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CTIVE APPLICATIONS\CNPI_2016_IRM\Draft Decision Response\"/>
    </mc:Choice>
  </mc:AlternateContent>
  <bookViews>
    <workbookView xWindow="0" yWindow="0" windowWidth="28800" windowHeight="12135"/>
  </bookViews>
  <sheets>
    <sheet name="Cover" sheetId="10" r:id="rId1"/>
    <sheet name="Rates" sheetId="1" r:id="rId2"/>
    <sheet name="FE - Residential RPP" sheetId="54" r:id="rId3"/>
    <sheet name="FE - Residential RPP (2)" sheetId="67" r:id="rId4"/>
    <sheet name="FE - Residential" sheetId="32" r:id="rId5"/>
    <sheet name="FE - GS &lt; 50 kW RPP" sheetId="57" r:id="rId6"/>
    <sheet name="FE - GS &lt; 50 kW" sheetId="35" r:id="rId7"/>
    <sheet name="FE - GS &gt; 50 kW" sheetId="41" r:id="rId8"/>
    <sheet name="FE - USL" sheetId="38" r:id="rId9"/>
    <sheet name="FE - Sentinel Lgt" sheetId="44" r:id="rId10"/>
    <sheet name="FE - Street Lgt" sheetId="47" r:id="rId11"/>
    <sheet name="EOP - Residential RPP" sheetId="55" r:id="rId12"/>
    <sheet name="EOP - Residential RPP (2)" sheetId="68" r:id="rId13"/>
    <sheet name="EOP - Residential" sheetId="33" r:id="rId14"/>
    <sheet name="EOP - GS &lt; 50 kW RPP" sheetId="58" r:id="rId15"/>
    <sheet name="EOP - GS &lt; 50 kW" sheetId="36" r:id="rId16"/>
    <sheet name="EOP - GS &gt; 50 kW" sheetId="42" r:id="rId17"/>
    <sheet name="EOP - USL" sheetId="39" r:id="rId18"/>
    <sheet name="EOP - Sentinel Lgt" sheetId="45" r:id="rId19"/>
    <sheet name="EOP - Street Lgt" sheetId="48" r:id="rId20"/>
    <sheet name="PC - Residential RPP" sheetId="56" r:id="rId21"/>
    <sheet name="PC - Residential RPP (2)" sheetId="69" r:id="rId22"/>
    <sheet name="PC - Residential" sheetId="34" r:id="rId23"/>
    <sheet name="PC - GS &lt; 50 KW RPP" sheetId="59" r:id="rId24"/>
    <sheet name="PC - GS &lt; 50 KW" sheetId="37" r:id="rId25"/>
    <sheet name="PC - GS &gt; 50 kW" sheetId="43" r:id="rId26"/>
    <sheet name="PC - USL" sheetId="40" r:id="rId27"/>
    <sheet name="PC - Sentinel Lgt" sheetId="46" r:id="rId28"/>
    <sheet name="PC - Street Lgt" sheetId="49" r:id="rId29"/>
    <sheet name="Summary - FE" sheetId="51" r:id="rId30"/>
    <sheet name="Summary - EOP" sheetId="52" r:id="rId31"/>
    <sheet name="Summary - PC" sheetId="53" r:id="rId32"/>
    <sheet name="Sheet1" sheetId="50" r:id="rId33"/>
  </sheets>
  <calcPr calcId="152511"/>
</workbook>
</file>

<file path=xl/calcChain.xml><?xml version="1.0" encoding="utf-8"?>
<calcChain xmlns="http://schemas.openxmlformats.org/spreadsheetml/2006/main">
  <c r="C32" i="49" l="1"/>
  <c r="C32" i="46"/>
  <c r="H23" i="53" l="1"/>
  <c r="I23" i="53" s="1"/>
  <c r="G23" i="53"/>
  <c r="F23" i="53"/>
  <c r="H10" i="53"/>
  <c r="I10" i="53" s="1"/>
  <c r="G10" i="53"/>
  <c r="F10" i="53"/>
  <c r="C23" i="53"/>
  <c r="C10" i="53"/>
  <c r="H23" i="52"/>
  <c r="I23" i="52" s="1"/>
  <c r="G23" i="52"/>
  <c r="F23" i="52"/>
  <c r="H10" i="52"/>
  <c r="I10" i="52" s="1"/>
  <c r="G10" i="52"/>
  <c r="F10" i="52"/>
  <c r="C23" i="52"/>
  <c r="C10" i="52"/>
  <c r="H23" i="51"/>
  <c r="I23" i="51" s="1"/>
  <c r="G23" i="51"/>
  <c r="F23" i="51"/>
  <c r="C23" i="51"/>
  <c r="H10" i="51"/>
  <c r="I10" i="51" s="1"/>
  <c r="G10" i="51"/>
  <c r="F10" i="51"/>
  <c r="C10" i="51"/>
  <c r="H33" i="49"/>
  <c r="I33" i="49" s="1"/>
  <c r="G33" i="49"/>
  <c r="B33" i="49"/>
  <c r="H33" i="46"/>
  <c r="I33" i="46" s="1"/>
  <c r="G33" i="46"/>
  <c r="B33" i="46"/>
  <c r="H33" i="40"/>
  <c r="I33" i="40" s="1"/>
  <c r="G33" i="40"/>
  <c r="B33" i="40"/>
  <c r="H33" i="43"/>
  <c r="I33" i="43" s="1"/>
  <c r="G33" i="43"/>
  <c r="B33" i="43"/>
  <c r="H34" i="37"/>
  <c r="I34" i="37" s="1"/>
  <c r="G34" i="37"/>
  <c r="B34" i="37"/>
  <c r="H34" i="59"/>
  <c r="I34" i="59" s="1"/>
  <c r="G34" i="59"/>
  <c r="B34" i="59"/>
  <c r="H34" i="34"/>
  <c r="I34" i="34" s="1"/>
  <c r="G34" i="34"/>
  <c r="B34" i="34"/>
  <c r="G42" i="69"/>
  <c r="C42" i="69"/>
  <c r="B42" i="69"/>
  <c r="G40" i="69"/>
  <c r="C40" i="69"/>
  <c r="B40" i="69"/>
  <c r="G37" i="69"/>
  <c r="D37" i="69"/>
  <c r="C37" i="69"/>
  <c r="B37" i="69"/>
  <c r="H36" i="69"/>
  <c r="G36" i="69"/>
  <c r="I36" i="69" s="1"/>
  <c r="D36" i="69"/>
  <c r="E36" i="69" s="1"/>
  <c r="C36" i="69"/>
  <c r="B36" i="69"/>
  <c r="G35" i="69"/>
  <c r="D35" i="69"/>
  <c r="H35" i="69" s="1"/>
  <c r="C35" i="69"/>
  <c r="E35" i="69" s="1"/>
  <c r="B35" i="69"/>
  <c r="H34" i="69"/>
  <c r="G34" i="69"/>
  <c r="I34" i="69" s="1"/>
  <c r="B34" i="69"/>
  <c r="G33" i="69"/>
  <c r="D33" i="69"/>
  <c r="H33" i="69" s="1"/>
  <c r="I33" i="69" s="1"/>
  <c r="C33" i="69"/>
  <c r="E33" i="69" s="1"/>
  <c r="B33" i="69"/>
  <c r="I32" i="69"/>
  <c r="K32" i="69" s="1"/>
  <c r="H32" i="69"/>
  <c r="G32" i="69"/>
  <c r="C32" i="69"/>
  <c r="E32" i="69" s="1"/>
  <c r="B32" i="69"/>
  <c r="G31" i="69"/>
  <c r="C31" i="69"/>
  <c r="B31" i="69"/>
  <c r="G30" i="69"/>
  <c r="C30" i="69"/>
  <c r="B30" i="69"/>
  <c r="G28" i="69"/>
  <c r="C28" i="69"/>
  <c r="B28" i="69"/>
  <c r="G27" i="69"/>
  <c r="C27" i="69"/>
  <c r="B27" i="69"/>
  <c r="G25" i="69"/>
  <c r="D25" i="69"/>
  <c r="C25" i="69"/>
  <c r="B25" i="69"/>
  <c r="H24" i="69"/>
  <c r="G24" i="69"/>
  <c r="D24" i="69"/>
  <c r="E24" i="69" s="1"/>
  <c r="C24" i="69"/>
  <c r="B24" i="69"/>
  <c r="G23" i="69"/>
  <c r="D23" i="69"/>
  <c r="H23" i="69" s="1"/>
  <c r="C23" i="69"/>
  <c r="B23" i="69"/>
  <c r="G22" i="69"/>
  <c r="D22" i="69"/>
  <c r="H22" i="69" s="1"/>
  <c r="I22" i="69" s="1"/>
  <c r="C22" i="69"/>
  <c r="B22" i="69"/>
  <c r="I21" i="69"/>
  <c r="K21" i="69" s="1"/>
  <c r="H21" i="69"/>
  <c r="G21" i="69"/>
  <c r="C21" i="69"/>
  <c r="E21" i="69" s="1"/>
  <c r="L21" i="69" s="1"/>
  <c r="B21" i="69"/>
  <c r="I20" i="69"/>
  <c r="G20" i="69"/>
  <c r="D20" i="69"/>
  <c r="H20" i="69" s="1"/>
  <c r="C20" i="69"/>
  <c r="B20" i="69"/>
  <c r="H19" i="69"/>
  <c r="G19" i="69"/>
  <c r="I19" i="69" s="1"/>
  <c r="K19" i="69" s="1"/>
  <c r="E19" i="69"/>
  <c r="L19" i="69" s="1"/>
  <c r="C19" i="69"/>
  <c r="B19" i="69"/>
  <c r="H18" i="69"/>
  <c r="G18" i="69"/>
  <c r="D18" i="69"/>
  <c r="E18" i="69" s="1"/>
  <c r="C18" i="69"/>
  <c r="B18" i="69"/>
  <c r="H17" i="69"/>
  <c r="G17" i="69"/>
  <c r="C17" i="69"/>
  <c r="G15" i="69"/>
  <c r="D15" i="69"/>
  <c r="H15" i="69" s="1"/>
  <c r="C15" i="69"/>
  <c r="B15" i="69"/>
  <c r="H14" i="69"/>
  <c r="I14" i="69" s="1"/>
  <c r="G14" i="69"/>
  <c r="D14" i="69"/>
  <c r="C14" i="69"/>
  <c r="E14" i="69" s="1"/>
  <c r="B14" i="69"/>
  <c r="C9" i="69"/>
  <c r="C5" i="69"/>
  <c r="B3" i="69"/>
  <c r="B2" i="69"/>
  <c r="H34" i="56"/>
  <c r="I34" i="56" s="1"/>
  <c r="G34" i="56"/>
  <c r="B34" i="56"/>
  <c r="H32" i="48"/>
  <c r="I32" i="48"/>
  <c r="G32" i="48"/>
  <c r="B32" i="48"/>
  <c r="H32" i="45"/>
  <c r="I32" i="45" s="1"/>
  <c r="G32" i="45"/>
  <c r="B32" i="45"/>
  <c r="H32" i="39"/>
  <c r="I32" i="39" s="1"/>
  <c r="G32" i="39"/>
  <c r="B32" i="39"/>
  <c r="H32" i="42"/>
  <c r="I32" i="42" s="1"/>
  <c r="G32" i="42"/>
  <c r="B32" i="42"/>
  <c r="H33" i="36"/>
  <c r="I33" i="36" s="1"/>
  <c r="G33" i="36"/>
  <c r="B33" i="36"/>
  <c r="H33" i="58"/>
  <c r="I33" i="58"/>
  <c r="G33" i="58"/>
  <c r="B33" i="58"/>
  <c r="H33" i="33"/>
  <c r="I33" i="33" s="1"/>
  <c r="G33" i="33"/>
  <c r="B33" i="33"/>
  <c r="G41" i="68"/>
  <c r="C41" i="68"/>
  <c r="B41" i="68"/>
  <c r="G39" i="68"/>
  <c r="C39" i="68"/>
  <c r="B39" i="68"/>
  <c r="G36" i="68"/>
  <c r="I36" i="68" s="1"/>
  <c r="E36" i="68"/>
  <c r="D36" i="68"/>
  <c r="H36" i="68" s="1"/>
  <c r="C36" i="68"/>
  <c r="B36" i="68"/>
  <c r="H35" i="68"/>
  <c r="G35" i="68"/>
  <c r="D35" i="68"/>
  <c r="C35" i="68"/>
  <c r="E35" i="68" s="1"/>
  <c r="B35" i="68"/>
  <c r="G34" i="68"/>
  <c r="D34" i="68"/>
  <c r="H34" i="68" s="1"/>
  <c r="I34" i="68" s="1"/>
  <c r="K34" i="68" s="1"/>
  <c r="C34" i="68"/>
  <c r="E34" i="68" s="1"/>
  <c r="B34" i="68"/>
  <c r="H33" i="68"/>
  <c r="G33" i="68"/>
  <c r="I33" i="68" s="1"/>
  <c r="B33" i="68"/>
  <c r="G32" i="68"/>
  <c r="D32" i="68"/>
  <c r="H32" i="68" s="1"/>
  <c r="I32" i="68" s="1"/>
  <c r="C32" i="68"/>
  <c r="B32" i="68"/>
  <c r="H31" i="68"/>
  <c r="G31" i="68"/>
  <c r="I31" i="68" s="1"/>
  <c r="K31" i="68" s="1"/>
  <c r="E31" i="68"/>
  <c r="L31" i="68" s="1"/>
  <c r="C31" i="68"/>
  <c r="B31" i="68"/>
  <c r="G30" i="68"/>
  <c r="C30" i="68"/>
  <c r="B30" i="68"/>
  <c r="G29" i="68"/>
  <c r="C29" i="68"/>
  <c r="B29" i="68"/>
  <c r="G27" i="68"/>
  <c r="C27" i="68"/>
  <c r="B27" i="68"/>
  <c r="G26" i="68"/>
  <c r="D26" i="68"/>
  <c r="H26" i="68" s="1"/>
  <c r="I26" i="68" s="1"/>
  <c r="C26" i="68"/>
  <c r="B26" i="68"/>
  <c r="G24" i="68"/>
  <c r="I24" i="68" s="1"/>
  <c r="K24" i="68" s="1"/>
  <c r="E24" i="68"/>
  <c r="D24" i="68"/>
  <c r="H24" i="68" s="1"/>
  <c r="C24" i="68"/>
  <c r="B24" i="68"/>
  <c r="H23" i="68"/>
  <c r="G23" i="68"/>
  <c r="D23" i="68"/>
  <c r="C23" i="68"/>
  <c r="E23" i="68" s="1"/>
  <c r="B23" i="68"/>
  <c r="G22" i="68"/>
  <c r="D22" i="68"/>
  <c r="H22" i="68" s="1"/>
  <c r="I22" i="68" s="1"/>
  <c r="K22" i="68" s="1"/>
  <c r="C22" i="68"/>
  <c r="E22" i="68" s="1"/>
  <c r="B22" i="68"/>
  <c r="I21" i="68"/>
  <c r="K21" i="68" s="1"/>
  <c r="H21" i="68"/>
  <c r="G21" i="68"/>
  <c r="C21" i="68"/>
  <c r="E21" i="68" s="1"/>
  <c r="L21" i="68" s="1"/>
  <c r="B21" i="68"/>
  <c r="G20" i="68"/>
  <c r="D20" i="68"/>
  <c r="H20" i="68" s="1"/>
  <c r="I20" i="68" s="1"/>
  <c r="C20" i="68"/>
  <c r="B20" i="68"/>
  <c r="H19" i="68"/>
  <c r="G19" i="68"/>
  <c r="I19" i="68" s="1"/>
  <c r="K19" i="68" s="1"/>
  <c r="E19" i="68"/>
  <c r="L19" i="68" s="1"/>
  <c r="C19" i="68"/>
  <c r="B19" i="68"/>
  <c r="G18" i="68"/>
  <c r="D18" i="68"/>
  <c r="H18" i="68" s="1"/>
  <c r="C18" i="68"/>
  <c r="B18" i="68"/>
  <c r="G17" i="68"/>
  <c r="C17" i="68"/>
  <c r="H15" i="68"/>
  <c r="G15" i="68"/>
  <c r="I15" i="68" s="1"/>
  <c r="D15" i="68"/>
  <c r="C15" i="68"/>
  <c r="E15" i="68" s="1"/>
  <c r="B15" i="68"/>
  <c r="H14" i="68"/>
  <c r="I14" i="68" s="1"/>
  <c r="G14" i="68"/>
  <c r="D14" i="68"/>
  <c r="C14" i="68"/>
  <c r="E14" i="68" s="1"/>
  <c r="B14" i="68"/>
  <c r="C9" i="68"/>
  <c r="C5" i="68"/>
  <c r="D30" i="68" s="1"/>
  <c r="B3" i="68"/>
  <c r="B2" i="68"/>
  <c r="H33" i="55"/>
  <c r="I33" i="55" s="1"/>
  <c r="G33" i="55"/>
  <c r="B33" i="55"/>
  <c r="C38" i="44"/>
  <c r="C38" i="38"/>
  <c r="H32" i="47"/>
  <c r="I32" i="47" s="1"/>
  <c r="G32" i="47"/>
  <c r="B32" i="47"/>
  <c r="H32" i="44"/>
  <c r="I32" i="44"/>
  <c r="G32" i="44"/>
  <c r="B32" i="44"/>
  <c r="K36" i="69" l="1"/>
  <c r="I15" i="69"/>
  <c r="I23" i="69"/>
  <c r="E20" i="69"/>
  <c r="L20" i="69" s="1"/>
  <c r="I35" i="69"/>
  <c r="K35" i="69" s="1"/>
  <c r="L35" i="69" s="1"/>
  <c r="E15" i="69"/>
  <c r="I18" i="69"/>
  <c r="K18" i="69" s="1"/>
  <c r="L18" i="69" s="1"/>
  <c r="E22" i="69"/>
  <c r="E23" i="69"/>
  <c r="I24" i="69"/>
  <c r="K24" i="69" s="1"/>
  <c r="I16" i="69"/>
  <c r="K14" i="69"/>
  <c r="L14" i="69" s="1"/>
  <c r="E27" i="69"/>
  <c r="L36" i="69"/>
  <c r="L24" i="69"/>
  <c r="D30" i="69"/>
  <c r="D28" i="69"/>
  <c r="H28" i="69" s="1"/>
  <c r="I28" i="69" s="1"/>
  <c r="D17" i="69"/>
  <c r="E17" i="69" s="1"/>
  <c r="D27" i="69"/>
  <c r="H27" i="69" s="1"/>
  <c r="I27" i="69" s="1"/>
  <c r="H37" i="69"/>
  <c r="I37" i="69" s="1"/>
  <c r="E37" i="69"/>
  <c r="I17" i="69"/>
  <c r="H25" i="69"/>
  <c r="I25" i="69" s="1"/>
  <c r="K25" i="69" s="1"/>
  <c r="E25" i="69"/>
  <c r="D31" i="69"/>
  <c r="L32" i="69"/>
  <c r="K33" i="69"/>
  <c r="L33" i="69" s="1"/>
  <c r="K36" i="68"/>
  <c r="E18" i="68"/>
  <c r="I23" i="68"/>
  <c r="K23" i="68" s="1"/>
  <c r="L23" i="68" s="1"/>
  <c r="I35" i="68"/>
  <c r="K35" i="68" s="1"/>
  <c r="L35" i="68" s="1"/>
  <c r="E16" i="68"/>
  <c r="E30" i="68"/>
  <c r="H30" i="68"/>
  <c r="I30" i="68" s="1"/>
  <c r="K30" i="68" s="1"/>
  <c r="E29" i="68"/>
  <c r="K32" i="68"/>
  <c r="I16" i="68"/>
  <c r="K14" i="68"/>
  <c r="L14" i="68" s="1"/>
  <c r="K15" i="68"/>
  <c r="L15" i="68" s="1"/>
  <c r="I18" i="68"/>
  <c r="K18" i="68" s="1"/>
  <c r="L18" i="68" s="1"/>
  <c r="K20" i="68"/>
  <c r="L22" i="68"/>
  <c r="L24" i="68"/>
  <c r="L34" i="68"/>
  <c r="L36" i="68"/>
  <c r="E20" i="68"/>
  <c r="L20" i="68" s="1"/>
  <c r="E26" i="68"/>
  <c r="E32" i="68"/>
  <c r="D17" i="68"/>
  <c r="E17" i="68" s="1"/>
  <c r="D29" i="68"/>
  <c r="H29" i="68" s="1"/>
  <c r="I29" i="68" s="1"/>
  <c r="H17" i="68"/>
  <c r="I17" i="68" s="1"/>
  <c r="D27" i="68"/>
  <c r="H27" i="68" s="1"/>
  <c r="I27" i="68" s="1"/>
  <c r="H32" i="38"/>
  <c r="I32" i="38"/>
  <c r="G32" i="38"/>
  <c r="B32" i="38"/>
  <c r="H32" i="41"/>
  <c r="I32" i="41"/>
  <c r="G32" i="41"/>
  <c r="B32" i="41"/>
  <c r="H33" i="35"/>
  <c r="I33" i="35" s="1"/>
  <c r="G33" i="35"/>
  <c r="B33" i="35"/>
  <c r="H33" i="57"/>
  <c r="I33" i="57" s="1"/>
  <c r="G33" i="57"/>
  <c r="B33" i="57"/>
  <c r="G41" i="67"/>
  <c r="C41" i="67"/>
  <c r="B41" i="67"/>
  <c r="G39" i="67"/>
  <c r="C39" i="67"/>
  <c r="B39" i="67"/>
  <c r="H36" i="67"/>
  <c r="G36" i="67"/>
  <c r="I36" i="67" s="1"/>
  <c r="E36" i="67"/>
  <c r="D36" i="67"/>
  <c r="C36" i="67"/>
  <c r="B36" i="67"/>
  <c r="H35" i="67"/>
  <c r="G35" i="67"/>
  <c r="D35" i="67"/>
  <c r="C35" i="67"/>
  <c r="E35" i="67" s="1"/>
  <c r="B35" i="67"/>
  <c r="G34" i="67"/>
  <c r="D34" i="67"/>
  <c r="H34" i="67" s="1"/>
  <c r="I34" i="67" s="1"/>
  <c r="C34" i="67"/>
  <c r="E34" i="67" s="1"/>
  <c r="B34" i="67"/>
  <c r="L33" i="67"/>
  <c r="H33" i="67"/>
  <c r="I33" i="67" s="1"/>
  <c r="K33" i="67" s="1"/>
  <c r="G33" i="67"/>
  <c r="B33" i="67"/>
  <c r="H32" i="67"/>
  <c r="G32" i="67"/>
  <c r="I32" i="67" s="1"/>
  <c r="D32" i="67"/>
  <c r="C32" i="67"/>
  <c r="E32" i="67" s="1"/>
  <c r="L32" i="67" s="1"/>
  <c r="B32" i="67"/>
  <c r="H31" i="67"/>
  <c r="I31" i="67" s="1"/>
  <c r="G31" i="67"/>
  <c r="C31" i="67"/>
  <c r="E31" i="67" s="1"/>
  <c r="B31" i="67"/>
  <c r="G30" i="67"/>
  <c r="C30" i="67"/>
  <c r="B30" i="67"/>
  <c r="G29" i="67"/>
  <c r="D29" i="67"/>
  <c r="H29" i="67" s="1"/>
  <c r="I29" i="67" s="1"/>
  <c r="C29" i="67"/>
  <c r="B29" i="67"/>
  <c r="G27" i="67"/>
  <c r="C27" i="67"/>
  <c r="B27" i="67"/>
  <c r="G26" i="67"/>
  <c r="C26" i="67"/>
  <c r="B26" i="67"/>
  <c r="H24" i="67"/>
  <c r="I24" i="67" s="1"/>
  <c r="G24" i="67"/>
  <c r="D24" i="67"/>
  <c r="C24" i="67"/>
  <c r="E24" i="67" s="1"/>
  <c r="B24" i="67"/>
  <c r="G23" i="67"/>
  <c r="D23" i="67"/>
  <c r="H23" i="67" s="1"/>
  <c r="I23" i="67" s="1"/>
  <c r="C23" i="67"/>
  <c r="B23" i="67"/>
  <c r="H22" i="67"/>
  <c r="G22" i="67"/>
  <c r="I22" i="67" s="1"/>
  <c r="E22" i="67"/>
  <c r="D22" i="67"/>
  <c r="C22" i="67"/>
  <c r="B22" i="67"/>
  <c r="G21" i="67"/>
  <c r="I21" i="67" s="1"/>
  <c r="K21" i="67" s="1"/>
  <c r="E21" i="67"/>
  <c r="L21" i="67" s="1"/>
  <c r="C21" i="67"/>
  <c r="B21" i="67"/>
  <c r="H20" i="67"/>
  <c r="G20" i="67"/>
  <c r="D20" i="67"/>
  <c r="E20" i="67" s="1"/>
  <c r="L20" i="67" s="1"/>
  <c r="C20" i="67"/>
  <c r="B20" i="67"/>
  <c r="G19" i="67"/>
  <c r="I19" i="67" s="1"/>
  <c r="K19" i="67" s="1"/>
  <c r="E19" i="67"/>
  <c r="L19" i="67" s="1"/>
  <c r="C19" i="67"/>
  <c r="B19" i="67"/>
  <c r="H18" i="67"/>
  <c r="G18" i="67"/>
  <c r="I18" i="67" s="1"/>
  <c r="E18" i="67"/>
  <c r="D18" i="67"/>
  <c r="C18" i="67"/>
  <c r="B18" i="67"/>
  <c r="G17" i="67"/>
  <c r="C17" i="67"/>
  <c r="G15" i="67"/>
  <c r="D15" i="67"/>
  <c r="H15" i="67" s="1"/>
  <c r="C15" i="67"/>
  <c r="B15" i="67"/>
  <c r="H14" i="67"/>
  <c r="I14" i="67" s="1"/>
  <c r="G14" i="67"/>
  <c r="D14" i="67"/>
  <c r="C14" i="67"/>
  <c r="E14" i="67" s="1"/>
  <c r="B14" i="67"/>
  <c r="C9" i="67"/>
  <c r="C5" i="67"/>
  <c r="D27" i="67" s="1"/>
  <c r="B3" i="67"/>
  <c r="B2" i="67"/>
  <c r="H33" i="32"/>
  <c r="I33" i="32" s="1"/>
  <c r="G33" i="32"/>
  <c r="B33" i="32"/>
  <c r="D34" i="54"/>
  <c r="D35" i="54"/>
  <c r="D36" i="54"/>
  <c r="D15" i="54"/>
  <c r="G21" i="54"/>
  <c r="G20" i="54"/>
  <c r="L33" i="54"/>
  <c r="H33" i="54"/>
  <c r="I33" i="54" s="1"/>
  <c r="K33" i="54" s="1"/>
  <c r="G33" i="54"/>
  <c r="B33" i="54"/>
  <c r="L23" i="69" l="1"/>
  <c r="K37" i="69"/>
  <c r="L37" i="69" s="1"/>
  <c r="K22" i="69"/>
  <c r="L22" i="69" s="1"/>
  <c r="K23" i="69"/>
  <c r="K20" i="69"/>
  <c r="L15" i="69"/>
  <c r="E16" i="69"/>
  <c r="E26" i="69" s="1"/>
  <c r="K15" i="69"/>
  <c r="K28" i="69"/>
  <c r="H31" i="69"/>
  <c r="I31" i="69" s="1"/>
  <c r="E31" i="69"/>
  <c r="E28" i="69"/>
  <c r="K17" i="69"/>
  <c r="L17" i="69" s="1"/>
  <c r="H30" i="69"/>
  <c r="I30" i="69" s="1"/>
  <c r="E30" i="69"/>
  <c r="I26" i="69"/>
  <c r="L25" i="69"/>
  <c r="K27" i="69"/>
  <c r="L27" i="69" s="1"/>
  <c r="K17" i="68"/>
  <c r="E27" i="68"/>
  <c r="K27" i="68" s="1"/>
  <c r="L27" i="68" s="1"/>
  <c r="K29" i="68"/>
  <c r="L17" i="68"/>
  <c r="L32" i="68"/>
  <c r="I25" i="68"/>
  <c r="K16" i="68"/>
  <c r="L16" i="68" s="1"/>
  <c r="E25" i="68"/>
  <c r="K26" i="68"/>
  <c r="L26" i="68" s="1"/>
  <c r="L29" i="68"/>
  <c r="L30" i="68"/>
  <c r="I15" i="67"/>
  <c r="K18" i="67"/>
  <c r="L18" i="67" s="1"/>
  <c r="K22" i="67"/>
  <c r="L22" i="67" s="1"/>
  <c r="K36" i="67"/>
  <c r="L36" i="67" s="1"/>
  <c r="E15" i="67"/>
  <c r="I20" i="67"/>
  <c r="K20" i="67" s="1"/>
  <c r="I35" i="67"/>
  <c r="K35" i="67" s="1"/>
  <c r="L35" i="67" s="1"/>
  <c r="L14" i="67"/>
  <c r="E16" i="67"/>
  <c r="K24" i="67"/>
  <c r="K34" i="67"/>
  <c r="L34" i="67" s="1"/>
  <c r="K14" i="67"/>
  <c r="I16" i="67"/>
  <c r="E27" i="67"/>
  <c r="H27" i="67"/>
  <c r="I27" i="67" s="1"/>
  <c r="K27" i="67" s="1"/>
  <c r="L24" i="67"/>
  <c r="K31" i="67"/>
  <c r="L31" i="67" s="1"/>
  <c r="K32" i="67"/>
  <c r="H17" i="67"/>
  <c r="I17" i="67" s="1"/>
  <c r="E23" i="67"/>
  <c r="K23" i="67" s="1"/>
  <c r="D30" i="67"/>
  <c r="H30" i="67" s="1"/>
  <c r="I30" i="67" s="1"/>
  <c r="D26" i="67"/>
  <c r="H26" i="67" s="1"/>
  <c r="I26" i="67" s="1"/>
  <c r="E29" i="67"/>
  <c r="D17" i="67"/>
  <c r="E17" i="67" s="1"/>
  <c r="I237" i="1"/>
  <c r="I236" i="1"/>
  <c r="I224" i="1"/>
  <c r="I223" i="1"/>
  <c r="I211" i="1"/>
  <c r="I210" i="1"/>
  <c r="I198" i="1"/>
  <c r="I197" i="1"/>
  <c r="I185" i="1"/>
  <c r="I184" i="1"/>
  <c r="I171" i="1"/>
  <c r="I170" i="1"/>
  <c r="I154" i="1"/>
  <c r="I153" i="1"/>
  <c r="I142" i="1"/>
  <c r="I141" i="1"/>
  <c r="I130" i="1"/>
  <c r="I129" i="1"/>
  <c r="I118" i="1"/>
  <c r="I117" i="1"/>
  <c r="I106" i="1"/>
  <c r="I105" i="1"/>
  <c r="I93" i="1"/>
  <c r="I92" i="1"/>
  <c r="I228" i="1"/>
  <c r="I227" i="1"/>
  <c r="I146" i="1"/>
  <c r="I145" i="1"/>
  <c r="I215" i="1"/>
  <c r="I214" i="1"/>
  <c r="I134" i="1"/>
  <c r="I133" i="1"/>
  <c r="I202" i="1"/>
  <c r="I201" i="1"/>
  <c r="I122" i="1"/>
  <c r="I121" i="1"/>
  <c r="I189" i="1"/>
  <c r="I188" i="1"/>
  <c r="I110" i="1"/>
  <c r="I109" i="1"/>
  <c r="I176" i="1"/>
  <c r="I174" i="1"/>
  <c r="I98" i="1"/>
  <c r="I96" i="1"/>
  <c r="I162" i="1"/>
  <c r="I160" i="1"/>
  <c r="I85" i="1"/>
  <c r="I83" i="1"/>
  <c r="K16" i="69" l="1"/>
  <c r="L16" i="69" s="1"/>
  <c r="I29" i="69"/>
  <c r="K26" i="69"/>
  <c r="K30" i="69"/>
  <c r="L30" i="69" s="1"/>
  <c r="K31" i="69"/>
  <c r="L31" i="69" s="1"/>
  <c r="L28" i="69"/>
  <c r="L26" i="69"/>
  <c r="E29" i="69"/>
  <c r="I28" i="68"/>
  <c r="K25" i="68"/>
  <c r="L25" i="68"/>
  <c r="E28" i="68"/>
  <c r="K17" i="67"/>
  <c r="K15" i="67"/>
  <c r="L15" i="67" s="1"/>
  <c r="L17" i="67"/>
  <c r="K29" i="67"/>
  <c r="L29" i="67" s="1"/>
  <c r="K16" i="67"/>
  <c r="I25" i="67"/>
  <c r="E30" i="67"/>
  <c r="E25" i="67"/>
  <c r="L16" i="67"/>
  <c r="L23" i="67"/>
  <c r="L27" i="67"/>
  <c r="E26" i="67"/>
  <c r="D21" i="49"/>
  <c r="H21" i="49" s="1"/>
  <c r="D20" i="49"/>
  <c r="G20" i="49"/>
  <c r="G21" i="49"/>
  <c r="C20" i="49"/>
  <c r="C21" i="49"/>
  <c r="B20" i="49"/>
  <c r="B21" i="49"/>
  <c r="H20" i="46"/>
  <c r="G20" i="46"/>
  <c r="G21" i="46"/>
  <c r="D21" i="46"/>
  <c r="H21" i="46" s="1"/>
  <c r="D20" i="46"/>
  <c r="C20" i="46"/>
  <c r="E20" i="46" s="1"/>
  <c r="L20" i="46" s="1"/>
  <c r="C21" i="46"/>
  <c r="B20" i="46"/>
  <c r="B21" i="46"/>
  <c r="H21" i="40"/>
  <c r="G20" i="40"/>
  <c r="G21" i="40"/>
  <c r="D20" i="40"/>
  <c r="H20" i="40" s="1"/>
  <c r="C20" i="40"/>
  <c r="E20" i="40" s="1"/>
  <c r="L20" i="40" s="1"/>
  <c r="C21" i="40"/>
  <c r="B20" i="40"/>
  <c r="B21" i="40"/>
  <c r="H20" i="43"/>
  <c r="G20" i="43"/>
  <c r="G21" i="43"/>
  <c r="D21" i="43"/>
  <c r="H21" i="43" s="1"/>
  <c r="D20" i="43"/>
  <c r="C20" i="43"/>
  <c r="E20" i="43" s="1"/>
  <c r="L20" i="43" s="1"/>
  <c r="C21" i="43"/>
  <c r="B20" i="43"/>
  <c r="B21" i="43"/>
  <c r="H21" i="37"/>
  <c r="G20" i="37"/>
  <c r="G21" i="37"/>
  <c r="D21" i="37"/>
  <c r="D20" i="37"/>
  <c r="H20" i="37" s="1"/>
  <c r="C20" i="37"/>
  <c r="E20" i="37" s="1"/>
  <c r="L20" i="37" s="1"/>
  <c r="C21" i="37"/>
  <c r="B20" i="37"/>
  <c r="B21" i="37"/>
  <c r="H20" i="59"/>
  <c r="H21" i="59"/>
  <c r="G19" i="59"/>
  <c r="G20" i="59"/>
  <c r="G21" i="59"/>
  <c r="D20" i="59"/>
  <c r="C20" i="59"/>
  <c r="E20" i="59" s="1"/>
  <c r="L20" i="59" s="1"/>
  <c r="C21" i="59"/>
  <c r="E21" i="59" s="1"/>
  <c r="L21" i="59" s="1"/>
  <c r="B20" i="59"/>
  <c r="B21" i="59"/>
  <c r="H21" i="34"/>
  <c r="G20" i="34"/>
  <c r="G21" i="34"/>
  <c r="D21" i="34"/>
  <c r="D20" i="34"/>
  <c r="H20" i="34" s="1"/>
  <c r="C20" i="34"/>
  <c r="C21" i="34"/>
  <c r="B20" i="34"/>
  <c r="B21" i="34"/>
  <c r="H21" i="56"/>
  <c r="G19" i="56"/>
  <c r="G20" i="56"/>
  <c r="G21" i="56"/>
  <c r="D20" i="56"/>
  <c r="C20" i="56"/>
  <c r="C21" i="56"/>
  <c r="E21" i="56" s="1"/>
  <c r="L21" i="56" s="1"/>
  <c r="B20" i="56"/>
  <c r="B21" i="56"/>
  <c r="H20" i="48"/>
  <c r="H21" i="48"/>
  <c r="D21" i="48"/>
  <c r="D20" i="48"/>
  <c r="G20" i="48"/>
  <c r="I20" i="48" s="1"/>
  <c r="G21" i="48"/>
  <c r="I21" i="48" s="1"/>
  <c r="C20" i="48"/>
  <c r="C21" i="48"/>
  <c r="E21" i="48" s="1"/>
  <c r="L21" i="48" s="1"/>
  <c r="B20" i="48"/>
  <c r="B21" i="48"/>
  <c r="H21" i="45"/>
  <c r="G20" i="45"/>
  <c r="G21" i="45"/>
  <c r="I21" i="45" s="1"/>
  <c r="D21" i="45"/>
  <c r="D20" i="45"/>
  <c r="H20" i="45" s="1"/>
  <c r="C20" i="45"/>
  <c r="E20" i="45" s="1"/>
  <c r="L20" i="45" s="1"/>
  <c r="C21" i="45"/>
  <c r="E21" i="45" s="1"/>
  <c r="L21" i="45" s="1"/>
  <c r="B20" i="45"/>
  <c r="B21" i="45"/>
  <c r="H21" i="39"/>
  <c r="G20" i="39"/>
  <c r="G21" i="39"/>
  <c r="D21" i="39"/>
  <c r="D20" i="39"/>
  <c r="H20" i="39" s="1"/>
  <c r="C20" i="39"/>
  <c r="C21" i="39"/>
  <c r="B20" i="39"/>
  <c r="B21" i="39"/>
  <c r="H21" i="42"/>
  <c r="G20" i="42"/>
  <c r="G21" i="42"/>
  <c r="I21" i="42" s="1"/>
  <c r="D21" i="42"/>
  <c r="D20" i="42"/>
  <c r="H20" i="42" s="1"/>
  <c r="C20" i="42"/>
  <c r="E20" i="42" s="1"/>
  <c r="L20" i="42" s="1"/>
  <c r="C21" i="42"/>
  <c r="E21" i="42" s="1"/>
  <c r="L21" i="42" s="1"/>
  <c r="B20" i="42"/>
  <c r="B21" i="42"/>
  <c r="H21" i="36"/>
  <c r="G20" i="36"/>
  <c r="G21" i="36"/>
  <c r="D21" i="36"/>
  <c r="D20" i="36"/>
  <c r="H20" i="36" s="1"/>
  <c r="C20" i="36"/>
  <c r="C21" i="36"/>
  <c r="B20" i="36"/>
  <c r="B21" i="36"/>
  <c r="H21" i="58"/>
  <c r="D20" i="58"/>
  <c r="H20" i="58" s="1"/>
  <c r="G19" i="58"/>
  <c r="G20" i="58"/>
  <c r="G21" i="58"/>
  <c r="C20" i="58"/>
  <c r="E20" i="58" s="1"/>
  <c r="L20" i="58" s="1"/>
  <c r="C21" i="58"/>
  <c r="E21" i="58" s="1"/>
  <c r="L21" i="58" s="1"/>
  <c r="B20" i="58"/>
  <c r="B21" i="58"/>
  <c r="H20" i="33"/>
  <c r="D21" i="33"/>
  <c r="H21" i="33" s="1"/>
  <c r="D20" i="33"/>
  <c r="G20" i="33"/>
  <c r="I20" i="33" s="1"/>
  <c r="G21" i="33"/>
  <c r="C20" i="33"/>
  <c r="C21" i="33"/>
  <c r="E21" i="33" s="1"/>
  <c r="L21" i="33" s="1"/>
  <c r="B20" i="33"/>
  <c r="B21" i="33"/>
  <c r="G19" i="55"/>
  <c r="G20" i="55"/>
  <c r="G21" i="55"/>
  <c r="H21" i="55"/>
  <c r="D20" i="55"/>
  <c r="H20" i="55" s="1"/>
  <c r="C20" i="55"/>
  <c r="C21" i="55"/>
  <c r="E21" i="55" s="1"/>
  <c r="L21" i="55" s="1"/>
  <c r="B20" i="55"/>
  <c r="B21" i="55"/>
  <c r="H21" i="47"/>
  <c r="G20" i="47"/>
  <c r="G21" i="47"/>
  <c r="D21" i="47"/>
  <c r="D20" i="47"/>
  <c r="H20" i="47" s="1"/>
  <c r="C20" i="47"/>
  <c r="C21" i="47"/>
  <c r="B20" i="47"/>
  <c r="B21" i="47"/>
  <c r="D21" i="44"/>
  <c r="H21" i="44" s="1"/>
  <c r="D20" i="44"/>
  <c r="E20" i="44" s="1"/>
  <c r="G20" i="44"/>
  <c r="G21" i="44"/>
  <c r="C20" i="44"/>
  <c r="C21" i="44"/>
  <c r="E21" i="44" s="1"/>
  <c r="L21" i="44" s="1"/>
  <c r="B20" i="44"/>
  <c r="B21" i="44"/>
  <c r="H20" i="38"/>
  <c r="D21" i="38"/>
  <c r="H21" i="38" s="1"/>
  <c r="D20" i="38"/>
  <c r="G20" i="38"/>
  <c r="I20" i="38" s="1"/>
  <c r="G21" i="38"/>
  <c r="C20" i="38"/>
  <c r="C21" i="38"/>
  <c r="E21" i="38" s="1"/>
  <c r="L21" i="38" s="1"/>
  <c r="B20" i="38"/>
  <c r="B21" i="38"/>
  <c r="I267" i="1"/>
  <c r="H21" i="41"/>
  <c r="G20" i="41"/>
  <c r="G21" i="41"/>
  <c r="D21" i="41"/>
  <c r="D20" i="41"/>
  <c r="H20" i="41" s="1"/>
  <c r="C20" i="41"/>
  <c r="C21" i="41"/>
  <c r="B20" i="41"/>
  <c r="B21" i="41"/>
  <c r="H21" i="35"/>
  <c r="G20" i="35"/>
  <c r="G21" i="35"/>
  <c r="I21" i="35" s="1"/>
  <c r="D21" i="35"/>
  <c r="D20" i="35"/>
  <c r="H20" i="35" s="1"/>
  <c r="C20" i="35"/>
  <c r="E20" i="35" s="1"/>
  <c r="L20" i="35" s="1"/>
  <c r="C21" i="35"/>
  <c r="E21" i="35" s="1"/>
  <c r="L21" i="35" s="1"/>
  <c r="B20" i="35"/>
  <c r="B21" i="35"/>
  <c r="H20" i="57"/>
  <c r="H21" i="57"/>
  <c r="D20" i="57"/>
  <c r="G19" i="57"/>
  <c r="G20" i="57"/>
  <c r="I20" i="57" s="1"/>
  <c r="G21" i="57"/>
  <c r="C20" i="57"/>
  <c r="E20" i="57" s="1"/>
  <c r="C21" i="57"/>
  <c r="E21" i="57" s="1"/>
  <c r="L21" i="57" s="1"/>
  <c r="B20" i="57"/>
  <c r="B21" i="57"/>
  <c r="G20" i="32"/>
  <c r="G21" i="32"/>
  <c r="C20" i="32"/>
  <c r="C21" i="32"/>
  <c r="B20" i="32"/>
  <c r="B21" i="32"/>
  <c r="I21" i="54"/>
  <c r="D20" i="54"/>
  <c r="H20" i="54" s="1"/>
  <c r="I20" i="54" s="1"/>
  <c r="C20" i="54"/>
  <c r="C21" i="54"/>
  <c r="E21" i="54" s="1"/>
  <c r="L21" i="54" s="1"/>
  <c r="B21" i="54"/>
  <c r="B20" i="54"/>
  <c r="E39" i="69" l="1"/>
  <c r="K29" i="69"/>
  <c r="L29" i="69" s="1"/>
  <c r="I39" i="69"/>
  <c r="I38" i="68"/>
  <c r="K28" i="68"/>
  <c r="L28" i="68"/>
  <c r="E38" i="68"/>
  <c r="I28" i="67"/>
  <c r="K25" i="67"/>
  <c r="L25" i="67" s="1"/>
  <c r="E28" i="67"/>
  <c r="K30" i="67"/>
  <c r="L30" i="67" s="1"/>
  <c r="K26" i="67"/>
  <c r="L26" i="67" s="1"/>
  <c r="E20" i="54"/>
  <c r="L20" i="54" s="1"/>
  <c r="E20" i="38"/>
  <c r="K20" i="38" s="1"/>
  <c r="I20" i="37"/>
  <c r="K20" i="37" s="1"/>
  <c r="I20" i="40"/>
  <c r="K20" i="40" s="1"/>
  <c r="I20" i="35"/>
  <c r="K20" i="35" s="1"/>
  <c r="I20" i="42"/>
  <c r="K20" i="42" s="1"/>
  <c r="I20" i="45"/>
  <c r="K20" i="45" s="1"/>
  <c r="I20" i="59"/>
  <c r="K20" i="59" s="1"/>
  <c r="E21" i="43"/>
  <c r="L21" i="43" s="1"/>
  <c r="I21" i="43"/>
  <c r="E21" i="46"/>
  <c r="L21" i="46" s="1"/>
  <c r="I21" i="46"/>
  <c r="E21" i="41"/>
  <c r="L21" i="41" s="1"/>
  <c r="I21" i="41"/>
  <c r="I21" i="44"/>
  <c r="E21" i="47"/>
  <c r="L21" i="47" s="1"/>
  <c r="I21" i="47"/>
  <c r="I20" i="55"/>
  <c r="E20" i="33"/>
  <c r="L20" i="33" s="1"/>
  <c r="I20" i="58"/>
  <c r="K20" i="58" s="1"/>
  <c r="I21" i="58"/>
  <c r="K21" i="58" s="1"/>
  <c r="E21" i="36"/>
  <c r="L21" i="36" s="1"/>
  <c r="I21" i="36"/>
  <c r="E21" i="39"/>
  <c r="L21" i="39" s="1"/>
  <c r="I21" i="39"/>
  <c r="E20" i="56"/>
  <c r="L20" i="56" s="1"/>
  <c r="E21" i="34"/>
  <c r="L21" i="34" s="1"/>
  <c r="I21" i="34"/>
  <c r="I20" i="43"/>
  <c r="K20" i="43" s="1"/>
  <c r="I20" i="46"/>
  <c r="K20" i="46" s="1"/>
  <c r="E20" i="41"/>
  <c r="L20" i="41" s="1"/>
  <c r="I20" i="41"/>
  <c r="I21" i="38"/>
  <c r="K21" i="38" s="1"/>
  <c r="H20" i="44"/>
  <c r="I20" i="44" s="1"/>
  <c r="K20" i="44" s="1"/>
  <c r="E20" i="47"/>
  <c r="L20" i="47" s="1"/>
  <c r="I20" i="47"/>
  <c r="I21" i="33"/>
  <c r="K21" i="33" s="1"/>
  <c r="E20" i="36"/>
  <c r="L20" i="36" s="1"/>
  <c r="I20" i="36"/>
  <c r="K20" i="36" s="1"/>
  <c r="E20" i="39"/>
  <c r="L20" i="39" s="1"/>
  <c r="I20" i="39"/>
  <c r="E20" i="48"/>
  <c r="L20" i="48" s="1"/>
  <c r="H20" i="56"/>
  <c r="I20" i="56" s="1"/>
  <c r="E20" i="34"/>
  <c r="L20" i="34" s="1"/>
  <c r="I20" i="34"/>
  <c r="E21" i="37"/>
  <c r="L21" i="37" s="1"/>
  <c r="I21" i="37"/>
  <c r="K21" i="37" s="1"/>
  <c r="E21" i="40"/>
  <c r="L21" i="40" s="1"/>
  <c r="I21" i="40"/>
  <c r="E21" i="49"/>
  <c r="L21" i="49" s="1"/>
  <c r="I21" i="55"/>
  <c r="K21" i="55" s="1"/>
  <c r="L20" i="57"/>
  <c r="K20" i="57"/>
  <c r="K21" i="48"/>
  <c r="K21" i="42"/>
  <c r="K21" i="45"/>
  <c r="K21" i="35"/>
  <c r="K20" i="48"/>
  <c r="E20" i="49"/>
  <c r="L20" i="49" s="1"/>
  <c r="K21" i="36"/>
  <c r="I21" i="56"/>
  <c r="K21" i="56" s="1"/>
  <c r="I21" i="49"/>
  <c r="K21" i="49" s="1"/>
  <c r="I21" i="59"/>
  <c r="K21" i="59" s="1"/>
  <c r="K21" i="44"/>
  <c r="I21" i="57"/>
  <c r="K21" i="57" s="1"/>
  <c r="E20" i="55"/>
  <c r="L20" i="55" s="1"/>
  <c r="H20" i="49"/>
  <c r="I20" i="49" s="1"/>
  <c r="L20" i="44"/>
  <c r="L20" i="38"/>
  <c r="K21" i="54"/>
  <c r="K20" i="54"/>
  <c r="E267" i="1"/>
  <c r="K21" i="40" l="1"/>
  <c r="K20" i="34"/>
  <c r="E40" i="69"/>
  <c r="E41" i="69" s="1"/>
  <c r="I40" i="69"/>
  <c r="K39" i="69"/>
  <c r="L39" i="69" s="1"/>
  <c r="K20" i="39"/>
  <c r="E39" i="68"/>
  <c r="K38" i="68"/>
  <c r="L38" i="68" s="1"/>
  <c r="I39" i="68"/>
  <c r="E38" i="67"/>
  <c r="I38" i="67"/>
  <c r="K28" i="67"/>
  <c r="L28" i="67" s="1"/>
  <c r="K20" i="47"/>
  <c r="K20" i="41"/>
  <c r="K21" i="34"/>
  <c r="K21" i="46"/>
  <c r="K21" i="43"/>
  <c r="K21" i="41"/>
  <c r="K20" i="56"/>
  <c r="K21" i="47"/>
  <c r="K20" i="49"/>
  <c r="K20" i="33"/>
  <c r="K21" i="39"/>
  <c r="K20" i="55"/>
  <c r="C12" i="52"/>
  <c r="C25" i="52" s="1"/>
  <c r="C9" i="52"/>
  <c r="C22" i="52" s="1"/>
  <c r="C12" i="51"/>
  <c r="C25" i="51" s="1"/>
  <c r="C9" i="51"/>
  <c r="C22" i="51" s="1"/>
  <c r="C12" i="53"/>
  <c r="C25" i="53" s="1"/>
  <c r="C9" i="53"/>
  <c r="C22" i="53" s="1"/>
  <c r="E42" i="69" l="1"/>
  <c r="E43" i="69" s="1"/>
  <c r="K40" i="69"/>
  <c r="L40" i="69" s="1"/>
  <c r="I41" i="69"/>
  <c r="K39" i="68"/>
  <c r="L39" i="68" s="1"/>
  <c r="I40" i="68"/>
  <c r="E40" i="68"/>
  <c r="I39" i="67"/>
  <c r="I40" i="67" s="1"/>
  <c r="K38" i="67"/>
  <c r="L38" i="67" s="1"/>
  <c r="E39" i="67"/>
  <c r="G42" i="59"/>
  <c r="C42" i="59"/>
  <c r="B42" i="59"/>
  <c r="G40" i="59"/>
  <c r="C40" i="59"/>
  <c r="B40" i="59"/>
  <c r="G37" i="59"/>
  <c r="D37" i="59"/>
  <c r="H37" i="59" s="1"/>
  <c r="C37" i="59"/>
  <c r="B37" i="59"/>
  <c r="G36" i="59"/>
  <c r="D36" i="59"/>
  <c r="H36" i="59" s="1"/>
  <c r="C36" i="59"/>
  <c r="E36" i="59" s="1"/>
  <c r="B36" i="59"/>
  <c r="G35" i="59"/>
  <c r="D35" i="59"/>
  <c r="H35" i="59" s="1"/>
  <c r="C35" i="59"/>
  <c r="E35" i="59" s="1"/>
  <c r="B35" i="59"/>
  <c r="G33" i="59"/>
  <c r="D33" i="59"/>
  <c r="H33" i="59" s="1"/>
  <c r="C33" i="59"/>
  <c r="E33" i="59" s="1"/>
  <c r="B33" i="59"/>
  <c r="H32" i="59"/>
  <c r="G32" i="59"/>
  <c r="C32" i="59"/>
  <c r="E32" i="59" s="1"/>
  <c r="B32" i="59"/>
  <c r="G31" i="59"/>
  <c r="C31" i="59"/>
  <c r="B31" i="59"/>
  <c r="G30" i="59"/>
  <c r="C30" i="59"/>
  <c r="B30" i="59"/>
  <c r="G28" i="59"/>
  <c r="C28" i="59"/>
  <c r="B28" i="59"/>
  <c r="G27" i="59"/>
  <c r="C27" i="59"/>
  <c r="B27" i="59"/>
  <c r="G25" i="59"/>
  <c r="D25" i="59"/>
  <c r="H25" i="59" s="1"/>
  <c r="C25" i="59"/>
  <c r="B25" i="59"/>
  <c r="G24" i="59"/>
  <c r="D24" i="59"/>
  <c r="H24" i="59" s="1"/>
  <c r="C24" i="59"/>
  <c r="B24" i="59"/>
  <c r="G23" i="59"/>
  <c r="D23" i="59"/>
  <c r="H23" i="59" s="1"/>
  <c r="C23" i="59"/>
  <c r="B23" i="59"/>
  <c r="G22" i="59"/>
  <c r="D22" i="59"/>
  <c r="H22" i="59" s="1"/>
  <c r="C22" i="59"/>
  <c r="B22" i="59"/>
  <c r="H19" i="59"/>
  <c r="I19" i="59" s="1"/>
  <c r="C19" i="59"/>
  <c r="B19" i="59"/>
  <c r="G18" i="59"/>
  <c r="D18" i="59"/>
  <c r="H18" i="59" s="1"/>
  <c r="C18" i="59"/>
  <c r="E18" i="59" s="1"/>
  <c r="B18" i="59"/>
  <c r="G17" i="59"/>
  <c r="C17" i="59"/>
  <c r="G15" i="59"/>
  <c r="D15" i="59"/>
  <c r="H15" i="59" s="1"/>
  <c r="C15" i="59"/>
  <c r="B15" i="59"/>
  <c r="G14" i="59"/>
  <c r="D14" i="59"/>
  <c r="H14" i="59" s="1"/>
  <c r="C14" i="59"/>
  <c r="B14" i="59"/>
  <c r="C9" i="59"/>
  <c r="C5" i="59"/>
  <c r="D30" i="59" s="1"/>
  <c r="H30" i="59" s="1"/>
  <c r="B3" i="59"/>
  <c r="B2" i="59"/>
  <c r="G22" i="48"/>
  <c r="G19" i="48"/>
  <c r="G18" i="48"/>
  <c r="C22" i="48"/>
  <c r="C19" i="48"/>
  <c r="C18" i="48"/>
  <c r="G22" i="42"/>
  <c r="G19" i="42"/>
  <c r="G18" i="42"/>
  <c r="C22" i="42"/>
  <c r="C19" i="42"/>
  <c r="C18" i="42"/>
  <c r="G22" i="36"/>
  <c r="G19" i="36"/>
  <c r="G18" i="36"/>
  <c r="C22" i="36"/>
  <c r="C19" i="36"/>
  <c r="C18" i="36"/>
  <c r="G22" i="58"/>
  <c r="G18" i="58"/>
  <c r="C22" i="58"/>
  <c r="C19" i="58"/>
  <c r="C18" i="58"/>
  <c r="G22" i="47"/>
  <c r="G19" i="47"/>
  <c r="G18" i="47"/>
  <c r="C22" i="47"/>
  <c r="C19" i="47"/>
  <c r="C18" i="47"/>
  <c r="G19" i="44"/>
  <c r="G18" i="44"/>
  <c r="C22" i="44"/>
  <c r="C19" i="44"/>
  <c r="C18" i="44"/>
  <c r="G18" i="38"/>
  <c r="G19" i="38"/>
  <c r="G22" i="38"/>
  <c r="C22" i="38"/>
  <c r="C19" i="38"/>
  <c r="C18" i="38"/>
  <c r="G22" i="44"/>
  <c r="G41" i="58"/>
  <c r="C41" i="58"/>
  <c r="B41" i="58"/>
  <c r="G39" i="58"/>
  <c r="C39" i="58"/>
  <c r="B39" i="58"/>
  <c r="G36" i="58"/>
  <c r="D36" i="58"/>
  <c r="H36" i="58" s="1"/>
  <c r="C36" i="58"/>
  <c r="B36" i="58"/>
  <c r="G35" i="58"/>
  <c r="D35" i="58"/>
  <c r="H35" i="58" s="1"/>
  <c r="C35" i="58"/>
  <c r="B35" i="58"/>
  <c r="G34" i="58"/>
  <c r="D34" i="58"/>
  <c r="H34" i="58" s="1"/>
  <c r="C34" i="58"/>
  <c r="B34" i="58"/>
  <c r="G32" i="58"/>
  <c r="D32" i="58"/>
  <c r="H32" i="58" s="1"/>
  <c r="C32" i="58"/>
  <c r="B32" i="58"/>
  <c r="H31" i="58"/>
  <c r="G31" i="58"/>
  <c r="C31" i="58"/>
  <c r="E31" i="58" s="1"/>
  <c r="B31" i="58"/>
  <c r="G30" i="58"/>
  <c r="C30" i="58"/>
  <c r="B30" i="58"/>
  <c r="G29" i="58"/>
  <c r="C29" i="58"/>
  <c r="B29" i="58"/>
  <c r="G27" i="58"/>
  <c r="C27" i="58"/>
  <c r="B27" i="58"/>
  <c r="G26" i="58"/>
  <c r="C26" i="58"/>
  <c r="B26" i="58"/>
  <c r="G24" i="58"/>
  <c r="D24" i="58"/>
  <c r="H24" i="58" s="1"/>
  <c r="C24" i="58"/>
  <c r="B24" i="58"/>
  <c r="G23" i="58"/>
  <c r="D23" i="58"/>
  <c r="H23" i="58" s="1"/>
  <c r="C23" i="58"/>
  <c r="B23" i="58"/>
  <c r="D22" i="58"/>
  <c r="H22" i="58" s="1"/>
  <c r="B22" i="58"/>
  <c r="H19" i="58"/>
  <c r="I19" i="58" s="1"/>
  <c r="B19" i="58"/>
  <c r="D18" i="58"/>
  <c r="H18" i="58" s="1"/>
  <c r="B18" i="58"/>
  <c r="G17" i="58"/>
  <c r="C17" i="58"/>
  <c r="G15" i="58"/>
  <c r="D15" i="58"/>
  <c r="H15" i="58" s="1"/>
  <c r="C15" i="58"/>
  <c r="B15" i="58"/>
  <c r="G14" i="58"/>
  <c r="D14" i="58"/>
  <c r="H14" i="58" s="1"/>
  <c r="C14" i="58"/>
  <c r="B14" i="58"/>
  <c r="C9" i="58"/>
  <c r="C5" i="58"/>
  <c r="D27" i="58" s="1"/>
  <c r="H27" i="58" s="1"/>
  <c r="B3" i="58"/>
  <c r="B2" i="58"/>
  <c r="G41" i="57"/>
  <c r="C41" i="57"/>
  <c r="B41" i="57"/>
  <c r="G39" i="57"/>
  <c r="C39" i="57"/>
  <c r="B39" i="57"/>
  <c r="G36" i="57"/>
  <c r="D36" i="57"/>
  <c r="H36" i="57" s="1"/>
  <c r="C36" i="57"/>
  <c r="B36" i="57"/>
  <c r="G35" i="57"/>
  <c r="D35" i="57"/>
  <c r="H35" i="57" s="1"/>
  <c r="C35" i="57"/>
  <c r="B35" i="57"/>
  <c r="G34" i="57"/>
  <c r="D34" i="57"/>
  <c r="H34" i="57" s="1"/>
  <c r="C34" i="57"/>
  <c r="B34" i="57"/>
  <c r="G32" i="57"/>
  <c r="D32" i="57"/>
  <c r="H32" i="57" s="1"/>
  <c r="C32" i="57"/>
  <c r="B32" i="57"/>
  <c r="H31" i="57"/>
  <c r="G31" i="57"/>
  <c r="C31" i="57"/>
  <c r="E31" i="57" s="1"/>
  <c r="B31" i="57"/>
  <c r="G30" i="57"/>
  <c r="C30" i="57"/>
  <c r="B30" i="57"/>
  <c r="G29" i="57"/>
  <c r="C29" i="57"/>
  <c r="B29" i="57"/>
  <c r="G27" i="57"/>
  <c r="C27" i="57"/>
  <c r="B27" i="57"/>
  <c r="G26" i="57"/>
  <c r="C26" i="57"/>
  <c r="B26" i="57"/>
  <c r="G24" i="57"/>
  <c r="D24" i="57"/>
  <c r="H24" i="57" s="1"/>
  <c r="C24" i="57"/>
  <c r="B24" i="57"/>
  <c r="G23" i="57"/>
  <c r="D23" i="57"/>
  <c r="H23" i="57" s="1"/>
  <c r="C23" i="57"/>
  <c r="B23" i="57"/>
  <c r="G22" i="57"/>
  <c r="D22" i="57"/>
  <c r="H22" i="57" s="1"/>
  <c r="C22" i="57"/>
  <c r="B22" i="57"/>
  <c r="H19" i="57"/>
  <c r="I19" i="57" s="1"/>
  <c r="C19" i="57"/>
  <c r="B19" i="57"/>
  <c r="G18" i="57"/>
  <c r="D18" i="57"/>
  <c r="H18" i="57" s="1"/>
  <c r="C18" i="57"/>
  <c r="B18" i="57"/>
  <c r="G17" i="57"/>
  <c r="C17" i="57"/>
  <c r="G15" i="57"/>
  <c r="D15" i="57"/>
  <c r="H15" i="57" s="1"/>
  <c r="C15" i="57"/>
  <c r="B15" i="57"/>
  <c r="G14" i="57"/>
  <c r="D14" i="57"/>
  <c r="H14" i="57" s="1"/>
  <c r="C14" i="57"/>
  <c r="B14" i="57"/>
  <c r="C9" i="57"/>
  <c r="C5" i="57"/>
  <c r="D27" i="57" s="1"/>
  <c r="H27" i="57" s="1"/>
  <c r="B3" i="57"/>
  <c r="B2" i="57"/>
  <c r="G42" i="56"/>
  <c r="C42" i="56"/>
  <c r="B42" i="56"/>
  <c r="G40" i="56"/>
  <c r="C40" i="56"/>
  <c r="B40" i="56"/>
  <c r="G37" i="56"/>
  <c r="D37" i="56"/>
  <c r="H37" i="56" s="1"/>
  <c r="C37" i="56"/>
  <c r="B37" i="56"/>
  <c r="G36" i="56"/>
  <c r="D36" i="56"/>
  <c r="H36" i="56" s="1"/>
  <c r="C36" i="56"/>
  <c r="B36" i="56"/>
  <c r="G35" i="56"/>
  <c r="D35" i="56"/>
  <c r="H35" i="56" s="1"/>
  <c r="C35" i="56"/>
  <c r="B35" i="56"/>
  <c r="G33" i="56"/>
  <c r="D33" i="56"/>
  <c r="H33" i="56" s="1"/>
  <c r="C33" i="56"/>
  <c r="B33" i="56"/>
  <c r="H32" i="56"/>
  <c r="G32" i="56"/>
  <c r="C32" i="56"/>
  <c r="E32" i="56" s="1"/>
  <c r="B32" i="56"/>
  <c r="G31" i="56"/>
  <c r="C31" i="56"/>
  <c r="B31" i="56"/>
  <c r="G30" i="56"/>
  <c r="C30" i="56"/>
  <c r="B30" i="56"/>
  <c r="G28" i="56"/>
  <c r="C28" i="56"/>
  <c r="B28" i="56"/>
  <c r="G27" i="56"/>
  <c r="C27" i="56"/>
  <c r="B27" i="56"/>
  <c r="G25" i="56"/>
  <c r="D25" i="56"/>
  <c r="H25" i="56" s="1"/>
  <c r="C25" i="56"/>
  <c r="B25" i="56"/>
  <c r="G24" i="56"/>
  <c r="D24" i="56"/>
  <c r="H24" i="56" s="1"/>
  <c r="C24" i="56"/>
  <c r="B24" i="56"/>
  <c r="G23" i="56"/>
  <c r="D23" i="56"/>
  <c r="H23" i="56" s="1"/>
  <c r="C23" i="56"/>
  <c r="E23" i="56" s="1"/>
  <c r="B23" i="56"/>
  <c r="G22" i="56"/>
  <c r="D22" i="56"/>
  <c r="H22" i="56" s="1"/>
  <c r="C22" i="56"/>
  <c r="B22" i="56"/>
  <c r="H19" i="56"/>
  <c r="I19" i="56" s="1"/>
  <c r="C19" i="56"/>
  <c r="B19" i="56"/>
  <c r="G18" i="56"/>
  <c r="D18" i="56"/>
  <c r="H18" i="56" s="1"/>
  <c r="C18" i="56"/>
  <c r="B18" i="56"/>
  <c r="G17" i="56"/>
  <c r="C17" i="56"/>
  <c r="G15" i="56"/>
  <c r="D15" i="56"/>
  <c r="H15" i="56" s="1"/>
  <c r="C15" i="56"/>
  <c r="B15" i="56"/>
  <c r="G14" i="56"/>
  <c r="D14" i="56"/>
  <c r="H14" i="56" s="1"/>
  <c r="C14" i="56"/>
  <c r="B14" i="56"/>
  <c r="C9" i="56"/>
  <c r="C5" i="56"/>
  <c r="D31" i="56" s="1"/>
  <c r="B3" i="56"/>
  <c r="B2" i="56"/>
  <c r="G41" i="55"/>
  <c r="C41" i="55"/>
  <c r="B41" i="55"/>
  <c r="G39" i="55"/>
  <c r="C39" i="55"/>
  <c r="B39" i="55"/>
  <c r="G36" i="55"/>
  <c r="D36" i="55"/>
  <c r="H36" i="55" s="1"/>
  <c r="C36" i="55"/>
  <c r="B36" i="55"/>
  <c r="G35" i="55"/>
  <c r="D35" i="55"/>
  <c r="H35" i="55" s="1"/>
  <c r="C35" i="55"/>
  <c r="B35" i="55"/>
  <c r="G34" i="55"/>
  <c r="D34" i="55"/>
  <c r="H34" i="55" s="1"/>
  <c r="C34" i="55"/>
  <c r="B34" i="55"/>
  <c r="G32" i="55"/>
  <c r="D32" i="55"/>
  <c r="H32" i="55" s="1"/>
  <c r="C32" i="55"/>
  <c r="B32" i="55"/>
  <c r="H31" i="55"/>
  <c r="G31" i="55"/>
  <c r="C31" i="55"/>
  <c r="E31" i="55" s="1"/>
  <c r="B31" i="55"/>
  <c r="G30" i="55"/>
  <c r="C30" i="55"/>
  <c r="B30" i="55"/>
  <c r="G29" i="55"/>
  <c r="C29" i="55"/>
  <c r="B29" i="55"/>
  <c r="G27" i="55"/>
  <c r="C27" i="55"/>
  <c r="B27" i="55"/>
  <c r="G26" i="55"/>
  <c r="C26" i="55"/>
  <c r="B26" i="55"/>
  <c r="G24" i="55"/>
  <c r="D24" i="55"/>
  <c r="H24" i="55" s="1"/>
  <c r="C24" i="55"/>
  <c r="B24" i="55"/>
  <c r="G23" i="55"/>
  <c r="D23" i="55"/>
  <c r="H23" i="55" s="1"/>
  <c r="C23" i="55"/>
  <c r="B23" i="55"/>
  <c r="G22" i="55"/>
  <c r="D22" i="55"/>
  <c r="H22" i="55" s="1"/>
  <c r="C22" i="55"/>
  <c r="B22" i="55"/>
  <c r="H19" i="55"/>
  <c r="C19" i="55"/>
  <c r="B19" i="55"/>
  <c r="G18" i="55"/>
  <c r="D18" i="55"/>
  <c r="H18" i="55" s="1"/>
  <c r="C18" i="55"/>
  <c r="B18" i="55"/>
  <c r="G17" i="55"/>
  <c r="C17" i="55"/>
  <c r="G15" i="55"/>
  <c r="D15" i="55"/>
  <c r="H15" i="55" s="1"/>
  <c r="C15" i="55"/>
  <c r="B15" i="55"/>
  <c r="G14" i="55"/>
  <c r="D14" i="55"/>
  <c r="H14" i="55" s="1"/>
  <c r="C14" i="55"/>
  <c r="B14" i="55"/>
  <c r="C9" i="55"/>
  <c r="C5" i="55"/>
  <c r="D27" i="55" s="1"/>
  <c r="H27" i="55" s="1"/>
  <c r="B3" i="55"/>
  <c r="B2" i="55"/>
  <c r="G41" i="54"/>
  <c r="C41" i="54"/>
  <c r="B41" i="54"/>
  <c r="G39" i="54"/>
  <c r="C39" i="54"/>
  <c r="B39" i="54"/>
  <c r="G36" i="54"/>
  <c r="H36" i="54"/>
  <c r="C36" i="54"/>
  <c r="B36" i="54"/>
  <c r="G35" i="54"/>
  <c r="H35" i="54"/>
  <c r="C35" i="54"/>
  <c r="B35" i="54"/>
  <c r="G34" i="54"/>
  <c r="H34" i="54"/>
  <c r="C34" i="54"/>
  <c r="B34" i="54"/>
  <c r="G32" i="54"/>
  <c r="D32" i="54"/>
  <c r="H32" i="54" s="1"/>
  <c r="C32" i="54"/>
  <c r="B32" i="54"/>
  <c r="H31" i="54"/>
  <c r="G31" i="54"/>
  <c r="C31" i="54"/>
  <c r="E31" i="54" s="1"/>
  <c r="B31" i="54"/>
  <c r="G30" i="54"/>
  <c r="C30" i="54"/>
  <c r="B30" i="54"/>
  <c r="G29" i="54"/>
  <c r="C29" i="54"/>
  <c r="B29" i="54"/>
  <c r="G27" i="54"/>
  <c r="C27" i="54"/>
  <c r="B27" i="54"/>
  <c r="G26" i="54"/>
  <c r="C26" i="54"/>
  <c r="B26" i="54"/>
  <c r="G24" i="54"/>
  <c r="D24" i="54"/>
  <c r="H24" i="54" s="1"/>
  <c r="C24" i="54"/>
  <c r="B24" i="54"/>
  <c r="G23" i="54"/>
  <c r="D23" i="54"/>
  <c r="H23" i="54" s="1"/>
  <c r="C23" i="54"/>
  <c r="B23" i="54"/>
  <c r="G22" i="54"/>
  <c r="D22" i="54"/>
  <c r="H22" i="54" s="1"/>
  <c r="C22" i="54"/>
  <c r="B22" i="54"/>
  <c r="G19" i="54"/>
  <c r="C19" i="54"/>
  <c r="B19" i="54"/>
  <c r="G18" i="54"/>
  <c r="D18" i="54"/>
  <c r="H18" i="54" s="1"/>
  <c r="C18" i="54"/>
  <c r="B18" i="54"/>
  <c r="G17" i="54"/>
  <c r="C17" i="54"/>
  <c r="G15" i="54"/>
  <c r="H15" i="54"/>
  <c r="C15" i="54"/>
  <c r="B15" i="54"/>
  <c r="G14" i="54"/>
  <c r="D14" i="54"/>
  <c r="H14" i="54" s="1"/>
  <c r="C14" i="54"/>
  <c r="B14" i="54"/>
  <c r="C9" i="54"/>
  <c r="C5" i="54"/>
  <c r="D29" i="54" s="1"/>
  <c r="B3" i="54"/>
  <c r="B2" i="54"/>
  <c r="I42" i="69" l="1"/>
  <c r="K42" i="69" s="1"/>
  <c r="K41" i="69"/>
  <c r="L41" i="69" s="1"/>
  <c r="L42" i="69"/>
  <c r="E41" i="68"/>
  <c r="K40" i="68"/>
  <c r="L40" i="68" s="1"/>
  <c r="I41" i="68"/>
  <c r="I42" i="68" s="1"/>
  <c r="K39" i="67"/>
  <c r="L39" i="67" s="1"/>
  <c r="E40" i="67"/>
  <c r="K40" i="67"/>
  <c r="I41" i="67"/>
  <c r="I42" i="67" s="1"/>
  <c r="I31" i="54"/>
  <c r="K31" i="54" s="1"/>
  <c r="L31" i="54" s="1"/>
  <c r="E18" i="56"/>
  <c r="E22" i="59"/>
  <c r="E23" i="59"/>
  <c r="E24" i="59"/>
  <c r="E15" i="58"/>
  <c r="E14" i="55"/>
  <c r="E15" i="55"/>
  <c r="E19" i="55"/>
  <c r="I31" i="55"/>
  <c r="K31" i="55" s="1"/>
  <c r="L31" i="55" s="1"/>
  <c r="I24" i="54"/>
  <c r="I32" i="54"/>
  <c r="I23" i="59"/>
  <c r="I32" i="55"/>
  <c r="I36" i="57"/>
  <c r="E15" i="57"/>
  <c r="I34" i="58"/>
  <c r="E22" i="58"/>
  <c r="E22" i="54"/>
  <c r="E23" i="54"/>
  <c r="E32" i="54"/>
  <c r="L32" i="54" s="1"/>
  <c r="E34" i="54"/>
  <c r="E35" i="54"/>
  <c r="E22" i="55"/>
  <c r="E23" i="55"/>
  <c r="E34" i="55"/>
  <c r="E19" i="57"/>
  <c r="E22" i="57"/>
  <c r="E23" i="57"/>
  <c r="E32" i="57"/>
  <c r="L32" i="57" s="1"/>
  <c r="I31" i="58"/>
  <c r="K31" i="58" s="1"/>
  <c r="L31" i="58" s="1"/>
  <c r="E34" i="58"/>
  <c r="E14" i="59"/>
  <c r="E23" i="58"/>
  <c r="D17" i="55"/>
  <c r="E17" i="55" s="1"/>
  <c r="I23" i="55"/>
  <c r="E25" i="56"/>
  <c r="E36" i="56"/>
  <c r="I15" i="57"/>
  <c r="I35" i="54"/>
  <c r="I34" i="55"/>
  <c r="I18" i="56"/>
  <c r="K18" i="56" s="1"/>
  <c r="L18" i="56" s="1"/>
  <c r="I32" i="56"/>
  <c r="K32" i="56" s="1"/>
  <c r="L32" i="56" s="1"/>
  <c r="E35" i="57"/>
  <c r="D17" i="59"/>
  <c r="E17" i="59" s="1"/>
  <c r="I32" i="59"/>
  <c r="K32" i="59" s="1"/>
  <c r="L32" i="59" s="1"/>
  <c r="I35" i="59"/>
  <c r="K35" i="59" s="1"/>
  <c r="L35" i="59" s="1"/>
  <c r="I15" i="54"/>
  <c r="I18" i="54"/>
  <c r="E14" i="54"/>
  <c r="E15" i="54"/>
  <c r="E18" i="54"/>
  <c r="E19" i="54"/>
  <c r="I14" i="55"/>
  <c r="I24" i="55"/>
  <c r="D26" i="55"/>
  <c r="H26" i="55" s="1"/>
  <c r="I26" i="55" s="1"/>
  <c r="E35" i="55"/>
  <c r="I24" i="56"/>
  <c r="E35" i="56"/>
  <c r="E14" i="57"/>
  <c r="I31" i="57"/>
  <c r="K31" i="57" s="1"/>
  <c r="L31" i="57" s="1"/>
  <c r="E34" i="57"/>
  <c r="E14" i="58"/>
  <c r="I15" i="58"/>
  <c r="E35" i="58"/>
  <c r="E19" i="58"/>
  <c r="E15" i="59"/>
  <c r="I24" i="59"/>
  <c r="I36" i="59"/>
  <c r="K36" i="59" s="1"/>
  <c r="L36" i="59" s="1"/>
  <c r="I19" i="54"/>
  <c r="K19" i="54" s="1"/>
  <c r="E32" i="55"/>
  <c r="E15" i="56"/>
  <c r="E19" i="56"/>
  <c r="E24" i="56"/>
  <c r="E37" i="56"/>
  <c r="I14" i="57"/>
  <c r="I32" i="57"/>
  <c r="I34" i="57"/>
  <c r="I14" i="58"/>
  <c r="E32" i="58"/>
  <c r="I14" i="59"/>
  <c r="D31" i="59"/>
  <c r="H31" i="59" s="1"/>
  <c r="I31" i="59" s="1"/>
  <c r="I23" i="54"/>
  <c r="I22" i="55"/>
  <c r="D29" i="55"/>
  <c r="H29" i="55" s="1"/>
  <c r="I29" i="55" s="1"/>
  <c r="I36" i="56"/>
  <c r="I22" i="57"/>
  <c r="D17" i="58"/>
  <c r="E17" i="58" s="1"/>
  <c r="I22" i="58"/>
  <c r="I18" i="59"/>
  <c r="K18" i="59" s="1"/>
  <c r="L18" i="59" s="1"/>
  <c r="D28" i="59"/>
  <c r="H28" i="59" s="1"/>
  <c r="I28" i="59" s="1"/>
  <c r="H17" i="57"/>
  <c r="I17" i="57" s="1"/>
  <c r="D30" i="57"/>
  <c r="H30" i="57" s="1"/>
  <c r="I30" i="57" s="1"/>
  <c r="I36" i="54"/>
  <c r="I14" i="56"/>
  <c r="I22" i="56"/>
  <c r="I33" i="56"/>
  <c r="I24" i="57"/>
  <c r="D26" i="57"/>
  <c r="H26" i="57" s="1"/>
  <c r="I26" i="57" s="1"/>
  <c r="D29" i="57"/>
  <c r="I18" i="55"/>
  <c r="D17" i="57"/>
  <c r="E17" i="57" s="1"/>
  <c r="H17" i="58"/>
  <c r="I17" i="58" s="1"/>
  <c r="D30" i="58"/>
  <c r="H30" i="58" s="1"/>
  <c r="I30" i="58" s="1"/>
  <c r="I36" i="58"/>
  <c r="I15" i="59"/>
  <c r="H17" i="55"/>
  <c r="I17" i="55" s="1"/>
  <c r="D30" i="55"/>
  <c r="H30" i="55" s="1"/>
  <c r="I30" i="55" s="1"/>
  <c r="I36" i="55"/>
  <c r="I15" i="56"/>
  <c r="I23" i="56"/>
  <c r="K23" i="56" s="1"/>
  <c r="L23" i="56" s="1"/>
  <c r="I35" i="56"/>
  <c r="I18" i="57"/>
  <c r="I24" i="58"/>
  <c r="D26" i="58"/>
  <c r="H26" i="58" s="1"/>
  <c r="I26" i="58" s="1"/>
  <c r="D29" i="58"/>
  <c r="H29" i="58" s="1"/>
  <c r="I29" i="58" s="1"/>
  <c r="I32" i="58"/>
  <c r="I22" i="59"/>
  <c r="K22" i="59" s="1"/>
  <c r="L22" i="59" s="1"/>
  <c r="I25" i="59"/>
  <c r="I33" i="59"/>
  <c r="K33" i="59" s="1"/>
  <c r="L33" i="59" s="1"/>
  <c r="I30" i="59"/>
  <c r="I37" i="59"/>
  <c r="E30" i="59"/>
  <c r="E19" i="59"/>
  <c r="E25" i="59"/>
  <c r="D27" i="59"/>
  <c r="H27" i="59" s="1"/>
  <c r="I27" i="59" s="1"/>
  <c r="E37" i="59"/>
  <c r="H17" i="59"/>
  <c r="I17" i="59" s="1"/>
  <c r="I18" i="58"/>
  <c r="I19" i="55"/>
  <c r="E27" i="58"/>
  <c r="I23" i="58"/>
  <c r="I27" i="58"/>
  <c r="I35" i="58"/>
  <c r="E18" i="58"/>
  <c r="E24" i="58"/>
  <c r="E36" i="58"/>
  <c r="E27" i="57"/>
  <c r="I23" i="57"/>
  <c r="I27" i="57"/>
  <c r="I35" i="57"/>
  <c r="E18" i="57"/>
  <c r="E24" i="57"/>
  <c r="E36" i="57"/>
  <c r="H31" i="56"/>
  <c r="I31" i="56" s="1"/>
  <c r="E31" i="56"/>
  <c r="I25" i="56"/>
  <c r="I37" i="56"/>
  <c r="D27" i="56"/>
  <c r="E14" i="56"/>
  <c r="E22" i="56"/>
  <c r="D28" i="56"/>
  <c r="H28" i="56" s="1"/>
  <c r="I28" i="56" s="1"/>
  <c r="E33" i="56"/>
  <c r="H17" i="56"/>
  <c r="I17" i="56" s="1"/>
  <c r="D30" i="56"/>
  <c r="H30" i="56" s="1"/>
  <c r="I30" i="56" s="1"/>
  <c r="D17" i="56"/>
  <c r="E17" i="56" s="1"/>
  <c r="E27" i="55"/>
  <c r="I27" i="55"/>
  <c r="I35" i="55"/>
  <c r="I15" i="55"/>
  <c r="E18" i="55"/>
  <c r="E24" i="55"/>
  <c r="E36" i="55"/>
  <c r="I34" i="54"/>
  <c r="H29" i="54"/>
  <c r="I29" i="54" s="1"/>
  <c r="E29" i="54"/>
  <c r="I22" i="54"/>
  <c r="I14" i="54"/>
  <c r="H17" i="54"/>
  <c r="I17" i="54" s="1"/>
  <c r="D30" i="54"/>
  <c r="D17" i="54"/>
  <c r="E17" i="54" s="1"/>
  <c r="E24" i="54"/>
  <c r="D26" i="54"/>
  <c r="H26" i="54" s="1"/>
  <c r="I26" i="54" s="1"/>
  <c r="E36" i="54"/>
  <c r="D27" i="54"/>
  <c r="H27" i="54" s="1"/>
  <c r="I27" i="54" s="1"/>
  <c r="G18" i="49"/>
  <c r="G19" i="49"/>
  <c r="G22" i="49"/>
  <c r="G23" i="49"/>
  <c r="C18" i="49"/>
  <c r="C19" i="49"/>
  <c r="C22" i="49"/>
  <c r="C23" i="49"/>
  <c r="G18" i="46"/>
  <c r="G19" i="46"/>
  <c r="G22" i="46"/>
  <c r="G23" i="46"/>
  <c r="C18" i="46"/>
  <c r="C19" i="46"/>
  <c r="C22" i="46"/>
  <c r="C23" i="46"/>
  <c r="G18" i="40"/>
  <c r="G19" i="40"/>
  <c r="G22" i="40"/>
  <c r="G23" i="40"/>
  <c r="C18" i="40"/>
  <c r="C19" i="40"/>
  <c r="C22" i="40"/>
  <c r="C23" i="40"/>
  <c r="G18" i="43"/>
  <c r="G19" i="43"/>
  <c r="G22" i="43"/>
  <c r="G23" i="43"/>
  <c r="C18" i="43"/>
  <c r="C19" i="43"/>
  <c r="C22" i="43"/>
  <c r="C23" i="43"/>
  <c r="G18" i="37"/>
  <c r="G19" i="37"/>
  <c r="G22" i="37"/>
  <c r="G23" i="37"/>
  <c r="C18" i="37"/>
  <c r="C19" i="37"/>
  <c r="C22" i="37"/>
  <c r="C23" i="37"/>
  <c r="G18" i="34"/>
  <c r="G19" i="34"/>
  <c r="G22" i="34"/>
  <c r="G23" i="34"/>
  <c r="C18" i="34"/>
  <c r="C19" i="34"/>
  <c r="C22" i="34"/>
  <c r="C23" i="34"/>
  <c r="G18" i="45"/>
  <c r="G19" i="45"/>
  <c r="G22" i="45"/>
  <c r="C18" i="45"/>
  <c r="C19" i="45"/>
  <c r="C22" i="45"/>
  <c r="G18" i="39"/>
  <c r="G19" i="39"/>
  <c r="G22" i="39"/>
  <c r="C18" i="39"/>
  <c r="C19" i="39"/>
  <c r="C22" i="39"/>
  <c r="G18" i="33"/>
  <c r="G19" i="33"/>
  <c r="G22" i="33"/>
  <c r="C18" i="33"/>
  <c r="C19" i="33"/>
  <c r="C22" i="33"/>
  <c r="G18" i="41"/>
  <c r="G19" i="41"/>
  <c r="G22" i="41"/>
  <c r="C18" i="41"/>
  <c r="C19" i="41"/>
  <c r="C22" i="41"/>
  <c r="G18" i="35"/>
  <c r="G19" i="35"/>
  <c r="G22" i="35"/>
  <c r="C18" i="35"/>
  <c r="C19" i="35"/>
  <c r="C22" i="35"/>
  <c r="G22" i="32"/>
  <c r="C22" i="32"/>
  <c r="D23" i="49"/>
  <c r="H23" i="49" s="1"/>
  <c r="D19" i="49"/>
  <c r="H19" i="49" s="1"/>
  <c r="D18" i="49"/>
  <c r="D23" i="46"/>
  <c r="H23" i="46" s="1"/>
  <c r="D19" i="46"/>
  <c r="H19" i="46" s="1"/>
  <c r="D18" i="46"/>
  <c r="H18" i="46" s="1"/>
  <c r="D23" i="40"/>
  <c r="H23" i="40" s="1"/>
  <c r="D18" i="40"/>
  <c r="H18" i="40" s="1"/>
  <c r="D23" i="43"/>
  <c r="H23" i="43" s="1"/>
  <c r="D19" i="43"/>
  <c r="H19" i="43" s="1"/>
  <c r="D18" i="43"/>
  <c r="H18" i="43" s="1"/>
  <c r="D23" i="37"/>
  <c r="H23" i="37" s="1"/>
  <c r="D19" i="37"/>
  <c r="H19" i="37" s="1"/>
  <c r="I19" i="37" s="1"/>
  <c r="D18" i="37"/>
  <c r="H18" i="37" s="1"/>
  <c r="D23" i="34"/>
  <c r="H23" i="34" s="1"/>
  <c r="D19" i="34"/>
  <c r="H19" i="34" s="1"/>
  <c r="D18" i="34"/>
  <c r="H18" i="34" s="1"/>
  <c r="D22" i="48"/>
  <c r="E22" i="48" s="1"/>
  <c r="D19" i="48"/>
  <c r="H19" i="48" s="1"/>
  <c r="I19" i="48" s="1"/>
  <c r="D18" i="48"/>
  <c r="D22" i="45"/>
  <c r="H22" i="45" s="1"/>
  <c r="D19" i="45"/>
  <c r="H19" i="45" s="1"/>
  <c r="D18" i="45"/>
  <c r="H18" i="45" s="1"/>
  <c r="D22" i="39"/>
  <c r="H22" i="39" s="1"/>
  <c r="D19" i="39"/>
  <c r="D18" i="39"/>
  <c r="H18" i="39" s="1"/>
  <c r="D22" i="42"/>
  <c r="H22" i="42" s="1"/>
  <c r="I22" i="42" s="1"/>
  <c r="D19" i="42"/>
  <c r="H19" i="42" s="1"/>
  <c r="I19" i="42" s="1"/>
  <c r="D18" i="42"/>
  <c r="H18" i="42" s="1"/>
  <c r="I18" i="42" s="1"/>
  <c r="D22" i="36"/>
  <c r="E22" i="36" s="1"/>
  <c r="D19" i="36"/>
  <c r="E19" i="36" s="1"/>
  <c r="D18" i="36"/>
  <c r="H18" i="36" s="1"/>
  <c r="I18" i="36" s="1"/>
  <c r="D22" i="33"/>
  <c r="H22" i="33" s="1"/>
  <c r="D19" i="33"/>
  <c r="D18" i="33"/>
  <c r="D22" i="47"/>
  <c r="E22" i="47" s="1"/>
  <c r="D19" i="47"/>
  <c r="E19" i="47" s="1"/>
  <c r="D18" i="47"/>
  <c r="D22" i="44"/>
  <c r="D19" i="44"/>
  <c r="D18" i="44"/>
  <c r="E18" i="44" s="1"/>
  <c r="D22" i="38"/>
  <c r="E22" i="38" s="1"/>
  <c r="D19" i="38"/>
  <c r="E19" i="38" s="1"/>
  <c r="D18" i="38"/>
  <c r="D22" i="41"/>
  <c r="H22" i="41" s="1"/>
  <c r="D19" i="41"/>
  <c r="H19" i="41" s="1"/>
  <c r="D18" i="41"/>
  <c r="H18" i="41" s="1"/>
  <c r="D22" i="35"/>
  <c r="H22" i="35" s="1"/>
  <c r="D19" i="35"/>
  <c r="H19" i="35" s="1"/>
  <c r="D18" i="35"/>
  <c r="D22" i="32"/>
  <c r="H22" i="32" s="1"/>
  <c r="D21" i="32"/>
  <c r="H21" i="32" s="1"/>
  <c r="D20" i="32"/>
  <c r="H20" i="32" s="1"/>
  <c r="I43" i="69" l="1"/>
  <c r="K43" i="69" s="1"/>
  <c r="L43" i="69" s="1"/>
  <c r="K41" i="68"/>
  <c r="L41" i="68" s="1"/>
  <c r="E42" i="68"/>
  <c r="E41" i="67"/>
  <c r="K41" i="67" s="1"/>
  <c r="E42" i="67"/>
  <c r="L40" i="67"/>
  <c r="E19" i="39"/>
  <c r="K15" i="58"/>
  <c r="L15" i="58" s="1"/>
  <c r="K23" i="59"/>
  <c r="L23" i="59" s="1"/>
  <c r="K15" i="55"/>
  <c r="L15" i="55" s="1"/>
  <c r="K24" i="59"/>
  <c r="L24" i="59" s="1"/>
  <c r="E28" i="59"/>
  <c r="K28" i="59" s="1"/>
  <c r="L28" i="59" s="1"/>
  <c r="H22" i="48"/>
  <c r="I22" i="48" s="1"/>
  <c r="K22" i="48" s="1"/>
  <c r="I22" i="33"/>
  <c r="K19" i="55"/>
  <c r="L19" i="55" s="1"/>
  <c r="K14" i="55"/>
  <c r="L14" i="55" s="1"/>
  <c r="K23" i="55"/>
  <c r="L23" i="55" s="1"/>
  <c r="H22" i="38"/>
  <c r="I22" i="38" s="1"/>
  <c r="K22" i="38" s="1"/>
  <c r="K34" i="58"/>
  <c r="L34" i="58" s="1"/>
  <c r="K32" i="54"/>
  <c r="K37" i="56"/>
  <c r="L37" i="56" s="1"/>
  <c r="K17" i="59"/>
  <c r="L17" i="59" s="1"/>
  <c r="K22" i="57"/>
  <c r="L22" i="57" s="1"/>
  <c r="I19" i="43"/>
  <c r="K23" i="57"/>
  <c r="L23" i="57" s="1"/>
  <c r="K14" i="59"/>
  <c r="L14" i="59" s="1"/>
  <c r="E18" i="49"/>
  <c r="L19" i="54"/>
  <c r="K36" i="54"/>
  <c r="L36" i="54" s="1"/>
  <c r="K19" i="57"/>
  <c r="L19" i="57" s="1"/>
  <c r="K35" i="54"/>
  <c r="L35" i="54" s="1"/>
  <c r="K24" i="56"/>
  <c r="L24" i="56" s="1"/>
  <c r="K36" i="56"/>
  <c r="L36" i="56" s="1"/>
  <c r="K23" i="54"/>
  <c r="L23" i="54" s="1"/>
  <c r="I19" i="34"/>
  <c r="K24" i="54"/>
  <c r="L24" i="54" s="1"/>
  <c r="K35" i="56"/>
  <c r="L35" i="56" s="1"/>
  <c r="K14" i="58"/>
  <c r="L14" i="58" s="1"/>
  <c r="K14" i="57"/>
  <c r="L14" i="57" s="1"/>
  <c r="K24" i="55"/>
  <c r="L24" i="55" s="1"/>
  <c r="K22" i="55"/>
  <c r="L22" i="55" s="1"/>
  <c r="K35" i="57"/>
  <c r="L35" i="57" s="1"/>
  <c r="K34" i="57"/>
  <c r="L34" i="57" s="1"/>
  <c r="E18" i="33"/>
  <c r="K25" i="56"/>
  <c r="L25" i="56" s="1"/>
  <c r="K35" i="58"/>
  <c r="L35" i="58" s="1"/>
  <c r="K23" i="58"/>
  <c r="L23" i="58" s="1"/>
  <c r="K32" i="57"/>
  <c r="K15" i="57"/>
  <c r="L15" i="57" s="1"/>
  <c r="E19" i="40"/>
  <c r="K22" i="54"/>
  <c r="L22" i="54" s="1"/>
  <c r="K36" i="57"/>
  <c r="L36" i="57" s="1"/>
  <c r="K36" i="58"/>
  <c r="L36" i="58" s="1"/>
  <c r="K15" i="56"/>
  <c r="L15" i="56" s="1"/>
  <c r="E26" i="55"/>
  <c r="K26" i="55" s="1"/>
  <c r="L26" i="55" s="1"/>
  <c r="H19" i="40"/>
  <c r="I19" i="40" s="1"/>
  <c r="E19" i="48"/>
  <c r="K32" i="55"/>
  <c r="L32" i="55" s="1"/>
  <c r="H19" i="39"/>
  <c r="I19" i="39" s="1"/>
  <c r="K19" i="39" s="1"/>
  <c r="K34" i="54"/>
  <c r="L34" i="54" s="1"/>
  <c r="K22" i="58"/>
  <c r="L22" i="58" s="1"/>
  <c r="K34" i="55"/>
  <c r="L34" i="55" s="1"/>
  <c r="H19" i="47"/>
  <c r="I19" i="47" s="1"/>
  <c r="K19" i="47" s="1"/>
  <c r="L19" i="47" s="1"/>
  <c r="H18" i="33"/>
  <c r="I18" i="33" s="1"/>
  <c r="H22" i="36"/>
  <c r="I22" i="36" s="1"/>
  <c r="K22" i="36" s="1"/>
  <c r="L22" i="36" s="1"/>
  <c r="E22" i="39"/>
  <c r="L22" i="39" s="1"/>
  <c r="E23" i="34"/>
  <c r="E23" i="43"/>
  <c r="E23" i="40"/>
  <c r="L23" i="40" s="1"/>
  <c r="E26" i="57"/>
  <c r="K26" i="57" s="1"/>
  <c r="L26" i="57" s="1"/>
  <c r="H19" i="38"/>
  <c r="I19" i="38" s="1"/>
  <c r="K19" i="38" s="1"/>
  <c r="L19" i="38" s="1"/>
  <c r="H18" i="44"/>
  <c r="I18" i="44" s="1"/>
  <c r="K18" i="44" s="1"/>
  <c r="L18" i="44" s="1"/>
  <c r="H22" i="47"/>
  <c r="I22" i="47" s="1"/>
  <c r="K22" i="47" s="1"/>
  <c r="E21" i="32"/>
  <c r="L21" i="32" s="1"/>
  <c r="I20" i="32"/>
  <c r="E19" i="41"/>
  <c r="I18" i="41"/>
  <c r="K35" i="55"/>
  <c r="L35" i="55" s="1"/>
  <c r="I16" i="58"/>
  <c r="I25" i="58" s="1"/>
  <c r="E18" i="42"/>
  <c r="K18" i="42" s="1"/>
  <c r="I19" i="41"/>
  <c r="E18" i="39"/>
  <c r="E19" i="49"/>
  <c r="E20" i="32"/>
  <c r="E22" i="35"/>
  <c r="I19" i="35"/>
  <c r="E18" i="41"/>
  <c r="I19" i="45"/>
  <c r="E19" i="43"/>
  <c r="K27" i="58"/>
  <c r="L27" i="58" s="1"/>
  <c r="K19" i="58"/>
  <c r="L19" i="58" s="1"/>
  <c r="K14" i="56"/>
  <c r="L14" i="56" s="1"/>
  <c r="H19" i="36"/>
  <c r="I19" i="36" s="1"/>
  <c r="K19" i="36" s="1"/>
  <c r="L19" i="36" s="1"/>
  <c r="H18" i="49"/>
  <c r="E19" i="42"/>
  <c r="E19" i="45"/>
  <c r="L19" i="45" s="1"/>
  <c r="E22" i="42"/>
  <c r="K22" i="42" s="1"/>
  <c r="K29" i="54"/>
  <c r="L29" i="54" s="1"/>
  <c r="I16" i="57"/>
  <c r="I25" i="57" s="1"/>
  <c r="E29" i="55"/>
  <c r="K29" i="55" s="1"/>
  <c r="L29" i="55" s="1"/>
  <c r="E16" i="59"/>
  <c r="E26" i="59" s="1"/>
  <c r="K15" i="54"/>
  <c r="L15" i="54" s="1"/>
  <c r="E19" i="44"/>
  <c r="H19" i="44"/>
  <c r="I19" i="44" s="1"/>
  <c r="I22" i="35"/>
  <c r="E18" i="35"/>
  <c r="H18" i="35"/>
  <c r="I18" i="35" s="1"/>
  <c r="E22" i="32"/>
  <c r="E22" i="45"/>
  <c r="L22" i="45" s="1"/>
  <c r="E18" i="47"/>
  <c r="H18" i="47"/>
  <c r="I18" i="47" s="1"/>
  <c r="E18" i="36"/>
  <c r="K18" i="36" s="1"/>
  <c r="I23" i="34"/>
  <c r="E23" i="37"/>
  <c r="I23" i="37"/>
  <c r="I23" i="43"/>
  <c r="I23" i="40"/>
  <c r="E23" i="46"/>
  <c r="L23" i="46" s="1"/>
  <c r="I23" i="46"/>
  <c r="E23" i="49"/>
  <c r="L23" i="49" s="1"/>
  <c r="I23" i="49"/>
  <c r="E22" i="44"/>
  <c r="H22" i="44"/>
  <c r="I22" i="44" s="1"/>
  <c r="E19" i="33"/>
  <c r="H19" i="33"/>
  <c r="I19" i="33" s="1"/>
  <c r="E19" i="34"/>
  <c r="K19" i="56"/>
  <c r="L19" i="56" s="1"/>
  <c r="H18" i="38"/>
  <c r="I18" i="38" s="1"/>
  <c r="E18" i="38"/>
  <c r="E18" i="48"/>
  <c r="H18" i="48"/>
  <c r="I18" i="48" s="1"/>
  <c r="I22" i="39"/>
  <c r="I18" i="45"/>
  <c r="E30" i="55"/>
  <c r="K30" i="55" s="1"/>
  <c r="L30" i="55" s="1"/>
  <c r="E26" i="58"/>
  <c r="K26" i="58" s="1"/>
  <c r="L26" i="58" s="1"/>
  <c r="I21" i="32"/>
  <c r="E22" i="41"/>
  <c r="I18" i="39"/>
  <c r="I22" i="45"/>
  <c r="E18" i="34"/>
  <c r="I18" i="34"/>
  <c r="E18" i="37"/>
  <c r="I18" i="37"/>
  <c r="E18" i="43"/>
  <c r="I18" i="43"/>
  <c r="E18" i="40"/>
  <c r="I18" i="40"/>
  <c r="E18" i="46"/>
  <c r="I18" i="46"/>
  <c r="I18" i="49"/>
  <c r="K18" i="55"/>
  <c r="L18" i="55" s="1"/>
  <c r="E29" i="58"/>
  <c r="K29" i="58" s="1"/>
  <c r="L29" i="58" s="1"/>
  <c r="K18" i="54"/>
  <c r="L18" i="54" s="1"/>
  <c r="I22" i="32"/>
  <c r="E19" i="35"/>
  <c r="I22" i="41"/>
  <c r="E22" i="33"/>
  <c r="E18" i="45"/>
  <c r="E19" i="37"/>
  <c r="K19" i="37" s="1"/>
  <c r="E19" i="46"/>
  <c r="L19" i="46" s="1"/>
  <c r="I19" i="46"/>
  <c r="I19" i="49"/>
  <c r="K31" i="56"/>
  <c r="L31" i="56" s="1"/>
  <c r="E31" i="59"/>
  <c r="K31" i="59" s="1"/>
  <c r="K32" i="58"/>
  <c r="L32" i="58" s="1"/>
  <c r="K15" i="59"/>
  <c r="L15" i="59" s="1"/>
  <c r="K17" i="58"/>
  <c r="L17" i="58" s="1"/>
  <c r="K33" i="56"/>
  <c r="L33" i="56" s="1"/>
  <c r="H29" i="57"/>
  <c r="I29" i="57" s="1"/>
  <c r="E29" i="57"/>
  <c r="E27" i="54"/>
  <c r="K27" i="54" s="1"/>
  <c r="L27" i="54" s="1"/>
  <c r="I16" i="56"/>
  <c r="I26" i="56" s="1"/>
  <c r="I16" i="59"/>
  <c r="K27" i="55"/>
  <c r="L27" i="55" s="1"/>
  <c r="K17" i="56"/>
  <c r="L17" i="56" s="1"/>
  <c r="E30" i="57"/>
  <c r="K30" i="57" s="1"/>
  <c r="E30" i="58"/>
  <c r="K30" i="58" s="1"/>
  <c r="L30" i="58" s="1"/>
  <c r="K17" i="55"/>
  <c r="L17" i="55" s="1"/>
  <c r="K17" i="57"/>
  <c r="L17" i="57" s="1"/>
  <c r="K19" i="59"/>
  <c r="L19" i="59" s="1"/>
  <c r="K37" i="59"/>
  <c r="L37" i="59" s="1"/>
  <c r="K25" i="59"/>
  <c r="L25" i="59" s="1"/>
  <c r="K30" i="59"/>
  <c r="L30" i="59" s="1"/>
  <c r="E27" i="59"/>
  <c r="E16" i="58"/>
  <c r="K18" i="58"/>
  <c r="L18" i="58" s="1"/>
  <c r="K24" i="58"/>
  <c r="L24" i="58" s="1"/>
  <c r="K18" i="57"/>
  <c r="L18" i="57" s="1"/>
  <c r="K24" i="57"/>
  <c r="L24" i="57" s="1"/>
  <c r="K27" i="57"/>
  <c r="L27" i="57" s="1"/>
  <c r="E16" i="57"/>
  <c r="K22" i="56"/>
  <c r="L22" i="56" s="1"/>
  <c r="E30" i="56"/>
  <c r="E16" i="56"/>
  <c r="H27" i="56"/>
  <c r="I27" i="56" s="1"/>
  <c r="E27" i="56"/>
  <c r="E28" i="56"/>
  <c r="K28" i="56" s="1"/>
  <c r="I16" i="55"/>
  <c r="E16" i="55"/>
  <c r="K36" i="55"/>
  <c r="L36" i="55" s="1"/>
  <c r="K14" i="54"/>
  <c r="L14" i="54" s="1"/>
  <c r="I16" i="54"/>
  <c r="E26" i="54"/>
  <c r="K17" i="54"/>
  <c r="L17" i="54" s="1"/>
  <c r="E16" i="54"/>
  <c r="H30" i="54"/>
  <c r="I30" i="54" s="1"/>
  <c r="E30" i="54"/>
  <c r="L22" i="48"/>
  <c r="L19" i="39"/>
  <c r="L22" i="47"/>
  <c r="L22" i="38"/>
  <c r="B23" i="49"/>
  <c r="B19" i="49"/>
  <c r="B18" i="49"/>
  <c r="B23" i="46"/>
  <c r="B19" i="46"/>
  <c r="B18" i="46"/>
  <c r="B23" i="40"/>
  <c r="B19" i="40"/>
  <c r="B18" i="40"/>
  <c r="B23" i="43"/>
  <c r="B19" i="43"/>
  <c r="B18" i="43"/>
  <c r="B23" i="37"/>
  <c r="B19" i="37"/>
  <c r="B18" i="37"/>
  <c r="B23" i="34"/>
  <c r="B19" i="34"/>
  <c r="B18" i="34"/>
  <c r="B19" i="48"/>
  <c r="B22" i="48"/>
  <c r="B18" i="48"/>
  <c r="B19" i="45"/>
  <c r="B22" i="45"/>
  <c r="B18" i="45"/>
  <c r="B19" i="39"/>
  <c r="B22" i="39"/>
  <c r="B18" i="39"/>
  <c r="B19" i="42"/>
  <c r="B22" i="42"/>
  <c r="B18" i="42"/>
  <c r="B19" i="36"/>
  <c r="B22" i="36"/>
  <c r="B18" i="36"/>
  <c r="B19" i="33"/>
  <c r="B22" i="33"/>
  <c r="B18" i="33"/>
  <c r="B19" i="47"/>
  <c r="B22" i="47"/>
  <c r="B18" i="47"/>
  <c r="B19" i="44"/>
  <c r="B22" i="44"/>
  <c r="B18" i="44"/>
  <c r="B19" i="38"/>
  <c r="B22" i="38"/>
  <c r="B18" i="38"/>
  <c r="B19" i="41"/>
  <c r="B22" i="41"/>
  <c r="B18" i="41"/>
  <c r="B19" i="35"/>
  <c r="B22" i="35"/>
  <c r="B18" i="35"/>
  <c r="B22" i="32"/>
  <c r="K42" i="68" l="1"/>
  <c r="L42" i="68" s="1"/>
  <c r="L41" i="67"/>
  <c r="K42" i="67"/>
  <c r="L42" i="67" s="1"/>
  <c r="K20" i="32"/>
  <c r="K23" i="43"/>
  <c r="L23" i="43" s="1"/>
  <c r="K16" i="59"/>
  <c r="L16" i="59" s="1"/>
  <c r="K19" i="49"/>
  <c r="L19" i="49" s="1"/>
  <c r="K23" i="46"/>
  <c r="K23" i="37"/>
  <c r="L23" i="37" s="1"/>
  <c r="L18" i="42"/>
  <c r="L19" i="37"/>
  <c r="K18" i="49"/>
  <c r="L18" i="49" s="1"/>
  <c r="K16" i="58"/>
  <c r="L16" i="58" s="1"/>
  <c r="K19" i="42"/>
  <c r="L19" i="42" s="1"/>
  <c r="K18" i="43"/>
  <c r="L18" i="43" s="1"/>
  <c r="K18" i="34"/>
  <c r="L18" i="34" s="1"/>
  <c r="K22" i="35"/>
  <c r="L22" i="35" s="1"/>
  <c r="K19" i="41"/>
  <c r="L19" i="41" s="1"/>
  <c r="K18" i="41"/>
  <c r="L18" i="41" s="1"/>
  <c r="K19" i="46"/>
  <c r="K18" i="35"/>
  <c r="L18" i="35" s="1"/>
  <c r="K19" i="44"/>
  <c r="L19" i="44" s="1"/>
  <c r="K21" i="32"/>
  <c r="K18" i="37"/>
  <c r="L18" i="37" s="1"/>
  <c r="K18" i="39"/>
  <c r="L18" i="39" s="1"/>
  <c r="K23" i="40"/>
  <c r="L22" i="42"/>
  <c r="K19" i="45"/>
  <c r="L20" i="32"/>
  <c r="L31" i="59"/>
  <c r="K22" i="39"/>
  <c r="K19" i="33"/>
  <c r="L19" i="33" s="1"/>
  <c r="K22" i="33"/>
  <c r="L22" i="33" s="1"/>
  <c r="K19" i="40"/>
  <c r="L19" i="40" s="1"/>
  <c r="K18" i="33"/>
  <c r="L18" i="33" s="1"/>
  <c r="L18" i="36"/>
  <c r="K19" i="48"/>
  <c r="L19" i="48" s="1"/>
  <c r="I26" i="59"/>
  <c r="K26" i="59" s="1"/>
  <c r="L26" i="59" s="1"/>
  <c r="K18" i="45"/>
  <c r="L18" i="45" s="1"/>
  <c r="K22" i="45"/>
  <c r="K23" i="34"/>
  <c r="L23" i="34" s="1"/>
  <c r="K18" i="38"/>
  <c r="L18" i="38" s="1"/>
  <c r="K19" i="43"/>
  <c r="L19" i="43" s="1"/>
  <c r="K22" i="41"/>
  <c r="L22" i="41" s="1"/>
  <c r="K18" i="46"/>
  <c r="L18" i="46" s="1"/>
  <c r="K22" i="44"/>
  <c r="K22" i="32"/>
  <c r="L22" i="32" s="1"/>
  <c r="K18" i="48"/>
  <c r="L18" i="48" s="1"/>
  <c r="K23" i="49"/>
  <c r="K18" i="40"/>
  <c r="L18" i="40" s="1"/>
  <c r="K30" i="54"/>
  <c r="L30" i="54" s="1"/>
  <c r="K19" i="35"/>
  <c r="L19" i="35" s="1"/>
  <c r="L22" i="44"/>
  <c r="K18" i="47"/>
  <c r="L18" i="47" s="1"/>
  <c r="K27" i="56"/>
  <c r="L27" i="56" s="1"/>
  <c r="L30" i="57"/>
  <c r="K19" i="34"/>
  <c r="L19" i="34" s="1"/>
  <c r="K29" i="57"/>
  <c r="L29" i="57" s="1"/>
  <c r="E29" i="59"/>
  <c r="F12" i="53" s="1"/>
  <c r="K27" i="59"/>
  <c r="L27" i="59" s="1"/>
  <c r="I28" i="58"/>
  <c r="G12" i="52" s="1"/>
  <c r="E25" i="58"/>
  <c r="K25" i="58" s="1"/>
  <c r="I28" i="57"/>
  <c r="G12" i="51" s="1"/>
  <c r="E25" i="57"/>
  <c r="K16" i="57"/>
  <c r="L16" i="57" s="1"/>
  <c r="I29" i="56"/>
  <c r="G9" i="53" s="1"/>
  <c r="E26" i="56"/>
  <c r="K26" i="56" s="1"/>
  <c r="K30" i="56"/>
  <c r="L30" i="56" s="1"/>
  <c r="L28" i="56"/>
  <c r="K16" i="56"/>
  <c r="L16" i="56" s="1"/>
  <c r="E25" i="55"/>
  <c r="K16" i="55"/>
  <c r="L16" i="55" s="1"/>
  <c r="I25" i="55"/>
  <c r="E25" i="54"/>
  <c r="K16" i="54"/>
  <c r="L16" i="54" s="1"/>
  <c r="I25" i="54"/>
  <c r="K26" i="54"/>
  <c r="L26" i="54" s="1"/>
  <c r="B3" i="40"/>
  <c r="I29" i="59" l="1"/>
  <c r="G12" i="53" s="1"/>
  <c r="H12" i="53" s="1"/>
  <c r="I12" i="53" s="1"/>
  <c r="E39" i="59"/>
  <c r="I38" i="58"/>
  <c r="L25" i="58"/>
  <c r="E28" i="58"/>
  <c r="E28" i="57"/>
  <c r="F12" i="51" s="1"/>
  <c r="H12" i="51" s="1"/>
  <c r="I12" i="51" s="1"/>
  <c r="K25" i="57"/>
  <c r="L25" i="57" s="1"/>
  <c r="I38" i="57"/>
  <c r="I39" i="56"/>
  <c r="L26" i="56"/>
  <c r="E29" i="56"/>
  <c r="F9" i="53" s="1"/>
  <c r="E28" i="55"/>
  <c r="F9" i="52" s="1"/>
  <c r="I28" i="55"/>
  <c r="G9" i="52" s="1"/>
  <c r="K25" i="55"/>
  <c r="L25" i="55" s="1"/>
  <c r="E28" i="54"/>
  <c r="F9" i="51" s="1"/>
  <c r="I28" i="54"/>
  <c r="G9" i="51" s="1"/>
  <c r="K25" i="54"/>
  <c r="L25" i="54" s="1"/>
  <c r="G33" i="39"/>
  <c r="D33" i="39"/>
  <c r="C33" i="39"/>
  <c r="B33" i="39"/>
  <c r="D33" i="38"/>
  <c r="G33" i="38"/>
  <c r="C33" i="38"/>
  <c r="B33" i="38"/>
  <c r="I39" i="59" l="1"/>
  <c r="I40" i="59" s="1"/>
  <c r="K29" i="59"/>
  <c r="L29" i="59" s="1"/>
  <c r="H9" i="52"/>
  <c r="I9" i="52" s="1"/>
  <c r="K29" i="56"/>
  <c r="L29" i="56" s="1"/>
  <c r="H9" i="51"/>
  <c r="I9" i="51" s="1"/>
  <c r="K28" i="58"/>
  <c r="L28" i="58" s="1"/>
  <c r="F12" i="52"/>
  <c r="H12" i="52" s="1"/>
  <c r="I12" i="52" s="1"/>
  <c r="H9" i="53"/>
  <c r="I9" i="53" s="1"/>
  <c r="E40" i="59"/>
  <c r="E41" i="59" s="1"/>
  <c r="E38" i="58"/>
  <c r="K38" i="58" s="1"/>
  <c r="I39" i="58"/>
  <c r="E38" i="57"/>
  <c r="K38" i="57" s="1"/>
  <c r="I39" i="57"/>
  <c r="K28" i="57"/>
  <c r="L28" i="57" s="1"/>
  <c r="I40" i="56"/>
  <c r="E39" i="56"/>
  <c r="K28" i="55"/>
  <c r="L28" i="55" s="1"/>
  <c r="I38" i="55"/>
  <c r="E38" i="55"/>
  <c r="E38" i="54"/>
  <c r="K28" i="54"/>
  <c r="L28" i="54" s="1"/>
  <c r="I38" i="54"/>
  <c r="D17" i="53"/>
  <c r="D30" i="53" s="1"/>
  <c r="D16" i="53"/>
  <c r="D29" i="53" s="1"/>
  <c r="D14" i="53"/>
  <c r="D27" i="53" s="1"/>
  <c r="C17" i="53"/>
  <c r="C30" i="53" s="1"/>
  <c r="C16" i="53"/>
  <c r="C29" i="53" s="1"/>
  <c r="C15" i="53"/>
  <c r="C28" i="53" s="1"/>
  <c r="C14" i="53"/>
  <c r="C27" i="53" s="1"/>
  <c r="C13" i="53"/>
  <c r="C26" i="53" s="1"/>
  <c r="C11" i="53"/>
  <c r="C24" i="53" s="1"/>
  <c r="D17" i="52"/>
  <c r="D30" i="52" s="1"/>
  <c r="D16" i="52"/>
  <c r="D29" i="52" s="1"/>
  <c r="D14" i="52"/>
  <c r="D27" i="52" s="1"/>
  <c r="C17" i="52"/>
  <c r="C30" i="52" s="1"/>
  <c r="C16" i="52"/>
  <c r="C29" i="52" s="1"/>
  <c r="C15" i="52"/>
  <c r="C28" i="52" s="1"/>
  <c r="C14" i="52"/>
  <c r="C27" i="52" s="1"/>
  <c r="C13" i="52"/>
  <c r="C26" i="52" s="1"/>
  <c r="C11" i="52"/>
  <c r="C24" i="52" s="1"/>
  <c r="D17" i="51"/>
  <c r="D30" i="51" s="1"/>
  <c r="D16" i="51"/>
  <c r="D29" i="51" s="1"/>
  <c r="D14" i="51"/>
  <c r="D27" i="51" s="1"/>
  <c r="C17" i="51"/>
  <c r="C30" i="51" s="1"/>
  <c r="C16" i="51"/>
  <c r="C29" i="51" s="1"/>
  <c r="C15" i="51"/>
  <c r="C28" i="51" s="1"/>
  <c r="C14" i="51"/>
  <c r="C27" i="51" s="1"/>
  <c r="C13" i="51"/>
  <c r="C26" i="51" s="1"/>
  <c r="C11" i="51"/>
  <c r="C24" i="51" s="1"/>
  <c r="K39" i="59" l="1"/>
  <c r="L39" i="59" s="1"/>
  <c r="K40" i="59"/>
  <c r="L40" i="59" s="1"/>
  <c r="E42" i="59"/>
  <c r="E43" i="59" s="1"/>
  <c r="F25" i="53" s="1"/>
  <c r="I41" i="59"/>
  <c r="L38" i="58"/>
  <c r="E39" i="58"/>
  <c r="K39" i="58" s="1"/>
  <c r="I40" i="58"/>
  <c r="L38" i="57"/>
  <c r="E39" i="57"/>
  <c r="K39" i="57" s="1"/>
  <c r="I40" i="57"/>
  <c r="E40" i="56"/>
  <c r="K40" i="56" s="1"/>
  <c r="I41" i="56"/>
  <c r="K39" i="56"/>
  <c r="L39" i="56" s="1"/>
  <c r="E39" i="55"/>
  <c r="I39" i="55"/>
  <c r="I40" i="55" s="1"/>
  <c r="K38" i="55"/>
  <c r="L38" i="55" s="1"/>
  <c r="E39" i="54"/>
  <c r="E40" i="54" s="1"/>
  <c r="I39" i="54"/>
  <c r="K38" i="54"/>
  <c r="L38" i="54" s="1"/>
  <c r="G27" i="49"/>
  <c r="G26" i="49"/>
  <c r="C27" i="49"/>
  <c r="C26" i="49"/>
  <c r="G24" i="49"/>
  <c r="G17" i="49"/>
  <c r="C24" i="49"/>
  <c r="G15" i="49"/>
  <c r="G14" i="49"/>
  <c r="C15" i="49"/>
  <c r="C14" i="49"/>
  <c r="B3" i="49"/>
  <c r="G39" i="49"/>
  <c r="B39" i="49"/>
  <c r="G37" i="49"/>
  <c r="C37" i="49"/>
  <c r="B37" i="49"/>
  <c r="G34" i="49"/>
  <c r="D34" i="49"/>
  <c r="H34" i="49" s="1"/>
  <c r="C34" i="49"/>
  <c r="B34" i="49"/>
  <c r="G32" i="49"/>
  <c r="D32" i="49"/>
  <c r="H32" i="49" s="1"/>
  <c r="B32" i="49"/>
  <c r="G31" i="49"/>
  <c r="H31" i="49"/>
  <c r="C31" i="49"/>
  <c r="B31" i="49"/>
  <c r="G30" i="49"/>
  <c r="C30" i="49"/>
  <c r="B30" i="49"/>
  <c r="G29" i="49"/>
  <c r="C29" i="49"/>
  <c r="B29" i="49"/>
  <c r="D27" i="49"/>
  <c r="H27" i="49" s="1"/>
  <c r="B27" i="49"/>
  <c r="D26" i="49"/>
  <c r="B26" i="49"/>
  <c r="D24" i="49"/>
  <c r="H24" i="49" s="1"/>
  <c r="B24" i="49"/>
  <c r="D22" i="49"/>
  <c r="B22" i="49"/>
  <c r="C17" i="49"/>
  <c r="D15" i="49"/>
  <c r="H15" i="49" s="1"/>
  <c r="B15" i="49"/>
  <c r="D14" i="49"/>
  <c r="B14" i="49"/>
  <c r="C9" i="49"/>
  <c r="C5" i="49"/>
  <c r="D29" i="49" s="1"/>
  <c r="H29" i="49" s="1"/>
  <c r="B2" i="49"/>
  <c r="G26" i="48"/>
  <c r="G25" i="48"/>
  <c r="C26" i="48"/>
  <c r="C25" i="48"/>
  <c r="G15" i="48"/>
  <c r="G14" i="48"/>
  <c r="G23" i="48"/>
  <c r="G17" i="48"/>
  <c r="C23" i="48"/>
  <c r="C15" i="48"/>
  <c r="C14" i="48"/>
  <c r="D33" i="47"/>
  <c r="D33" i="48"/>
  <c r="H33" i="48" s="1"/>
  <c r="B3" i="48"/>
  <c r="G38" i="48"/>
  <c r="B38" i="48"/>
  <c r="G36" i="48"/>
  <c r="C36" i="48"/>
  <c r="B36" i="48"/>
  <c r="G33" i="48"/>
  <c r="C33" i="48"/>
  <c r="B33" i="48"/>
  <c r="G31" i="48"/>
  <c r="D31" i="48"/>
  <c r="H31" i="48" s="1"/>
  <c r="C31" i="48"/>
  <c r="B31" i="48"/>
  <c r="G30" i="48"/>
  <c r="H30" i="48"/>
  <c r="C30" i="48"/>
  <c r="B30" i="48"/>
  <c r="G29" i="48"/>
  <c r="C29" i="48"/>
  <c r="B29" i="48"/>
  <c r="G28" i="48"/>
  <c r="C28" i="48"/>
  <c r="B28" i="48"/>
  <c r="D26" i="48"/>
  <c r="H26" i="48" s="1"/>
  <c r="B26" i="48"/>
  <c r="D25" i="48"/>
  <c r="H25" i="48" s="1"/>
  <c r="B25" i="48"/>
  <c r="D23" i="48"/>
  <c r="H23" i="48" s="1"/>
  <c r="B23" i="48"/>
  <c r="C17" i="48"/>
  <c r="D15" i="48"/>
  <c r="H15" i="48" s="1"/>
  <c r="B15" i="48"/>
  <c r="D14" i="48"/>
  <c r="H14" i="48" s="1"/>
  <c r="B14" i="48"/>
  <c r="C9" i="48"/>
  <c r="C5" i="48"/>
  <c r="D17" i="48" s="1"/>
  <c r="B2" i="48"/>
  <c r="G26" i="47"/>
  <c r="G25" i="47"/>
  <c r="C26" i="47"/>
  <c r="C25" i="47"/>
  <c r="G15" i="47"/>
  <c r="G14" i="47"/>
  <c r="G23" i="47"/>
  <c r="G17" i="47"/>
  <c r="C23" i="47"/>
  <c r="C15" i="47"/>
  <c r="C14" i="47"/>
  <c r="B3" i="47"/>
  <c r="G38" i="47"/>
  <c r="B38" i="47"/>
  <c r="G36" i="47"/>
  <c r="C36" i="47"/>
  <c r="B36" i="47"/>
  <c r="G33" i="47"/>
  <c r="C33" i="47"/>
  <c r="B33" i="47"/>
  <c r="G31" i="47"/>
  <c r="D31" i="47"/>
  <c r="H31" i="47" s="1"/>
  <c r="C31" i="47"/>
  <c r="B31" i="47"/>
  <c r="G30" i="47"/>
  <c r="H30" i="47"/>
  <c r="C30" i="47"/>
  <c r="B30" i="47"/>
  <c r="G29" i="47"/>
  <c r="C29" i="47"/>
  <c r="B29" i="47"/>
  <c r="G28" i="47"/>
  <c r="C28" i="47"/>
  <c r="B28" i="47"/>
  <c r="D26" i="47"/>
  <c r="H26" i="47" s="1"/>
  <c r="B26" i="47"/>
  <c r="D25" i="47"/>
  <c r="H25" i="47" s="1"/>
  <c r="B25" i="47"/>
  <c r="D23" i="47"/>
  <c r="H23" i="47" s="1"/>
  <c r="B23" i="47"/>
  <c r="C17" i="47"/>
  <c r="D15" i="47"/>
  <c r="H15" i="47" s="1"/>
  <c r="B15" i="47"/>
  <c r="D14" i="47"/>
  <c r="H14" i="47" s="1"/>
  <c r="B14" i="47"/>
  <c r="C9" i="47"/>
  <c r="C5" i="47"/>
  <c r="D28" i="47" s="1"/>
  <c r="B2" i="47"/>
  <c r="D22" i="46"/>
  <c r="G24" i="46"/>
  <c r="G17" i="46"/>
  <c r="C24" i="46"/>
  <c r="B22" i="46"/>
  <c r="G15" i="46"/>
  <c r="G14" i="46"/>
  <c r="C15" i="46"/>
  <c r="C14" i="46"/>
  <c r="B3" i="46"/>
  <c r="B2" i="46"/>
  <c r="G39" i="46"/>
  <c r="C39" i="46"/>
  <c r="B39" i="46"/>
  <c r="G37" i="46"/>
  <c r="C37" i="46"/>
  <c r="B37" i="46"/>
  <c r="G34" i="46"/>
  <c r="D34" i="46"/>
  <c r="H34" i="46" s="1"/>
  <c r="C34" i="46"/>
  <c r="B34" i="46"/>
  <c r="G32" i="46"/>
  <c r="D32" i="46"/>
  <c r="H32" i="46" s="1"/>
  <c r="B32" i="46"/>
  <c r="H31" i="46"/>
  <c r="G31" i="46"/>
  <c r="C31" i="46"/>
  <c r="E31" i="46" s="1"/>
  <c r="B31" i="46"/>
  <c r="G30" i="46"/>
  <c r="C30" i="46"/>
  <c r="B30" i="46"/>
  <c r="G29" i="46"/>
  <c r="C29" i="46"/>
  <c r="B29" i="46"/>
  <c r="G27" i="46"/>
  <c r="D27" i="46"/>
  <c r="H27" i="46" s="1"/>
  <c r="C27" i="46"/>
  <c r="B27" i="46"/>
  <c r="G26" i="46"/>
  <c r="D26" i="46"/>
  <c r="H26" i="46" s="1"/>
  <c r="C26" i="46"/>
  <c r="B26" i="46"/>
  <c r="D24" i="46"/>
  <c r="B24" i="46"/>
  <c r="C17" i="46"/>
  <c r="D15" i="46"/>
  <c r="H15" i="46" s="1"/>
  <c r="B15" i="46"/>
  <c r="D14" i="46"/>
  <c r="B14" i="46"/>
  <c r="C9" i="46"/>
  <c r="C5" i="46"/>
  <c r="G31" i="45"/>
  <c r="C31" i="45"/>
  <c r="G26" i="45"/>
  <c r="G25" i="45"/>
  <c r="C26" i="45"/>
  <c r="C25" i="45"/>
  <c r="G23" i="45"/>
  <c r="G17" i="45"/>
  <c r="C23" i="45"/>
  <c r="G15" i="45"/>
  <c r="G14" i="45"/>
  <c r="C15" i="45"/>
  <c r="C14" i="45"/>
  <c r="B3" i="45"/>
  <c r="B2" i="45"/>
  <c r="G38" i="45"/>
  <c r="C38" i="45"/>
  <c r="B38" i="45"/>
  <c r="G36" i="45"/>
  <c r="C36" i="45"/>
  <c r="B36" i="45"/>
  <c r="G33" i="45"/>
  <c r="D33" i="45"/>
  <c r="H33" i="45" s="1"/>
  <c r="C33" i="45"/>
  <c r="B33" i="45"/>
  <c r="D31" i="45"/>
  <c r="B31" i="45"/>
  <c r="H30" i="45"/>
  <c r="G30" i="45"/>
  <c r="C30" i="45"/>
  <c r="E30" i="45" s="1"/>
  <c r="B30" i="45"/>
  <c r="G29" i="45"/>
  <c r="C29" i="45"/>
  <c r="B29" i="45"/>
  <c r="G28" i="45"/>
  <c r="C28" i="45"/>
  <c r="B28" i="45"/>
  <c r="D26" i="45"/>
  <c r="B26" i="45"/>
  <c r="D25" i="45"/>
  <c r="B25" i="45"/>
  <c r="D23" i="45"/>
  <c r="H23" i="45" s="1"/>
  <c r="B23" i="45"/>
  <c r="C17" i="45"/>
  <c r="D15" i="45"/>
  <c r="H15" i="45" s="1"/>
  <c r="B15" i="45"/>
  <c r="D14" i="45"/>
  <c r="B14" i="45"/>
  <c r="C9" i="45"/>
  <c r="C5" i="45"/>
  <c r="D28" i="45" s="1"/>
  <c r="H28" i="45" s="1"/>
  <c r="D34" i="43"/>
  <c r="H34" i="43" s="1"/>
  <c r="D33" i="42"/>
  <c r="H33" i="42" s="1"/>
  <c r="D33" i="41"/>
  <c r="H33" i="41" s="1"/>
  <c r="D33" i="44"/>
  <c r="H33" i="44" s="1"/>
  <c r="G26" i="44"/>
  <c r="G25" i="44"/>
  <c r="C26" i="44"/>
  <c r="C25" i="44"/>
  <c r="G23" i="44"/>
  <c r="G17" i="44"/>
  <c r="C23" i="44"/>
  <c r="G15" i="44"/>
  <c r="G14" i="44"/>
  <c r="C15" i="44"/>
  <c r="C14" i="44"/>
  <c r="B3" i="44"/>
  <c r="G38" i="44"/>
  <c r="B38" i="44"/>
  <c r="G36" i="44"/>
  <c r="C36" i="44"/>
  <c r="B36" i="44"/>
  <c r="G33" i="44"/>
  <c r="C33" i="44"/>
  <c r="B33" i="44"/>
  <c r="G31" i="44"/>
  <c r="D31" i="44"/>
  <c r="C31" i="44"/>
  <c r="B31" i="44"/>
  <c r="H30" i="44"/>
  <c r="G30" i="44"/>
  <c r="C30" i="44"/>
  <c r="E30" i="44" s="1"/>
  <c r="B30" i="44"/>
  <c r="G29" i="44"/>
  <c r="C29" i="44"/>
  <c r="B29" i="44"/>
  <c r="G28" i="44"/>
  <c r="C28" i="44"/>
  <c r="B28" i="44"/>
  <c r="D26" i="44"/>
  <c r="B26" i="44"/>
  <c r="D25" i="44"/>
  <c r="B25" i="44"/>
  <c r="D23" i="44"/>
  <c r="H23" i="44" s="1"/>
  <c r="B23" i="44"/>
  <c r="C17" i="44"/>
  <c r="D15" i="44"/>
  <c r="H15" i="44" s="1"/>
  <c r="B15" i="44"/>
  <c r="D14" i="44"/>
  <c r="B14" i="44"/>
  <c r="C9" i="44"/>
  <c r="C5" i="44"/>
  <c r="D28" i="44" s="1"/>
  <c r="H28" i="44" s="1"/>
  <c r="B2" i="44"/>
  <c r="G32" i="43"/>
  <c r="C32" i="43"/>
  <c r="G27" i="43"/>
  <c r="G26" i="43"/>
  <c r="C27" i="43"/>
  <c r="C26" i="43"/>
  <c r="G24" i="43"/>
  <c r="G17" i="43"/>
  <c r="C24" i="43"/>
  <c r="G15" i="43"/>
  <c r="G14" i="43"/>
  <c r="C15" i="43"/>
  <c r="C14" i="43"/>
  <c r="D22" i="43"/>
  <c r="H22" i="43" s="1"/>
  <c r="B22" i="43"/>
  <c r="B3" i="43"/>
  <c r="B2" i="43"/>
  <c r="G39" i="43"/>
  <c r="B39" i="43"/>
  <c r="G37" i="43"/>
  <c r="C37" i="43"/>
  <c r="B37" i="43"/>
  <c r="G34" i="43"/>
  <c r="C34" i="43"/>
  <c r="B34" i="43"/>
  <c r="D32" i="43"/>
  <c r="H32" i="43" s="1"/>
  <c r="B32" i="43"/>
  <c r="H31" i="43"/>
  <c r="G31" i="43"/>
  <c r="C31" i="43"/>
  <c r="E31" i="43" s="1"/>
  <c r="B31" i="43"/>
  <c r="G30" i="43"/>
  <c r="C30" i="43"/>
  <c r="B30" i="43"/>
  <c r="G29" i="43"/>
  <c r="C29" i="43"/>
  <c r="B29" i="43"/>
  <c r="D27" i="43"/>
  <c r="H27" i="43" s="1"/>
  <c r="B27" i="43"/>
  <c r="D26" i="43"/>
  <c r="H26" i="43" s="1"/>
  <c r="B26" i="43"/>
  <c r="D24" i="43"/>
  <c r="H24" i="43" s="1"/>
  <c r="B24" i="43"/>
  <c r="C17" i="43"/>
  <c r="D15" i="43"/>
  <c r="H15" i="43" s="1"/>
  <c r="B15" i="43"/>
  <c r="D14" i="43"/>
  <c r="H14" i="43" s="1"/>
  <c r="B14" i="43"/>
  <c r="C9" i="43"/>
  <c r="C5" i="43"/>
  <c r="D29" i="43" s="1"/>
  <c r="H29" i="43" s="1"/>
  <c r="G31" i="42"/>
  <c r="C31" i="42"/>
  <c r="G25" i="42"/>
  <c r="C26" i="42"/>
  <c r="C25" i="42"/>
  <c r="G23" i="42"/>
  <c r="G17" i="42"/>
  <c r="C23" i="42"/>
  <c r="C15" i="42"/>
  <c r="C14" i="42"/>
  <c r="B3" i="42"/>
  <c r="B2" i="42"/>
  <c r="G38" i="42"/>
  <c r="B38" i="42"/>
  <c r="G36" i="42"/>
  <c r="C36" i="42"/>
  <c r="B36" i="42"/>
  <c r="G33" i="42"/>
  <c r="C33" i="42"/>
  <c r="B33" i="42"/>
  <c r="D31" i="42"/>
  <c r="H31" i="42" s="1"/>
  <c r="B31" i="42"/>
  <c r="G30" i="42"/>
  <c r="H30" i="42"/>
  <c r="C30" i="42"/>
  <c r="E30" i="42" s="1"/>
  <c r="B30" i="42"/>
  <c r="G29" i="42"/>
  <c r="C29" i="42"/>
  <c r="B29" i="42"/>
  <c r="G28" i="42"/>
  <c r="C28" i="42"/>
  <c r="B28" i="42"/>
  <c r="G26" i="42"/>
  <c r="D26" i="42"/>
  <c r="H26" i="42" s="1"/>
  <c r="B26" i="42"/>
  <c r="D25" i="42"/>
  <c r="H25" i="42" s="1"/>
  <c r="B25" i="42"/>
  <c r="D23" i="42"/>
  <c r="H23" i="42" s="1"/>
  <c r="B23" i="42"/>
  <c r="C17" i="42"/>
  <c r="G15" i="42"/>
  <c r="D15" i="42"/>
  <c r="B15" i="42"/>
  <c r="G14" i="42"/>
  <c r="D14" i="42"/>
  <c r="H14" i="42" s="1"/>
  <c r="B14" i="42"/>
  <c r="C9" i="42"/>
  <c r="C5" i="42"/>
  <c r="H17" i="42" s="1"/>
  <c r="G33" i="41"/>
  <c r="C33" i="41"/>
  <c r="B33" i="41"/>
  <c r="G26" i="41"/>
  <c r="G25" i="41"/>
  <c r="D26" i="41"/>
  <c r="D25" i="41"/>
  <c r="C26" i="41"/>
  <c r="C25" i="41"/>
  <c r="G23" i="41"/>
  <c r="G17" i="41"/>
  <c r="C23" i="41"/>
  <c r="D23" i="41"/>
  <c r="H23" i="41" s="1"/>
  <c r="D15" i="41"/>
  <c r="H15" i="41" s="1"/>
  <c r="G15" i="41"/>
  <c r="G14" i="41"/>
  <c r="C15" i="41"/>
  <c r="C14" i="41"/>
  <c r="B3" i="41"/>
  <c r="G38" i="41"/>
  <c r="B38" i="41"/>
  <c r="G36" i="41"/>
  <c r="C36" i="41"/>
  <c r="B36" i="41"/>
  <c r="G31" i="41"/>
  <c r="D31" i="41"/>
  <c r="H31" i="41" s="1"/>
  <c r="C31" i="41"/>
  <c r="B31" i="41"/>
  <c r="G30" i="41"/>
  <c r="H30" i="41"/>
  <c r="C30" i="41"/>
  <c r="B30" i="41"/>
  <c r="G29" i="41"/>
  <c r="C29" i="41"/>
  <c r="B29" i="41"/>
  <c r="G28" i="41"/>
  <c r="C28" i="41"/>
  <c r="B28" i="41"/>
  <c r="B26" i="41"/>
  <c r="B25" i="41"/>
  <c r="B23" i="41"/>
  <c r="C17" i="41"/>
  <c r="B15" i="41"/>
  <c r="D14" i="41"/>
  <c r="H14" i="41" s="1"/>
  <c r="B14" i="41"/>
  <c r="C9" i="41"/>
  <c r="C5" i="41"/>
  <c r="D29" i="41" s="1"/>
  <c r="H29" i="41" s="1"/>
  <c r="B2" i="41"/>
  <c r="D22" i="40"/>
  <c r="D22" i="37"/>
  <c r="D22" i="34"/>
  <c r="G27" i="40"/>
  <c r="G26" i="40"/>
  <c r="C27" i="40"/>
  <c r="C26" i="40"/>
  <c r="G24" i="40"/>
  <c r="G17" i="40"/>
  <c r="C24" i="40"/>
  <c r="G15" i="40"/>
  <c r="G14" i="40"/>
  <c r="C15" i="40"/>
  <c r="C14" i="40"/>
  <c r="G32" i="40"/>
  <c r="C32" i="40"/>
  <c r="G32" i="35"/>
  <c r="C32" i="35"/>
  <c r="G33" i="34"/>
  <c r="C33" i="34"/>
  <c r="G33" i="37"/>
  <c r="C33" i="37"/>
  <c r="G41" i="40"/>
  <c r="C41" i="40"/>
  <c r="B41" i="40"/>
  <c r="G39" i="40"/>
  <c r="C39" i="40"/>
  <c r="B39" i="40"/>
  <c r="G36" i="40"/>
  <c r="D36" i="40"/>
  <c r="H36" i="40" s="1"/>
  <c r="C36" i="40"/>
  <c r="B36" i="40"/>
  <c r="G35" i="40"/>
  <c r="D35" i="40"/>
  <c r="C35" i="40"/>
  <c r="B35" i="40"/>
  <c r="G34" i="40"/>
  <c r="D34" i="40"/>
  <c r="H34" i="40" s="1"/>
  <c r="C34" i="40"/>
  <c r="B34" i="40"/>
  <c r="D32" i="40"/>
  <c r="H32" i="40" s="1"/>
  <c r="B32" i="40"/>
  <c r="G31" i="40"/>
  <c r="H31" i="40"/>
  <c r="C31" i="40"/>
  <c r="E31" i="40" s="1"/>
  <c r="B31" i="40"/>
  <c r="G30" i="40"/>
  <c r="C30" i="40"/>
  <c r="B30" i="40"/>
  <c r="G29" i="40"/>
  <c r="C29" i="40"/>
  <c r="B29" i="40"/>
  <c r="B27" i="40"/>
  <c r="B26" i="40"/>
  <c r="D24" i="40"/>
  <c r="H24" i="40" s="1"/>
  <c r="B24" i="40"/>
  <c r="B22" i="40"/>
  <c r="C17" i="40"/>
  <c r="D15" i="40"/>
  <c r="H15" i="40" s="1"/>
  <c r="B15" i="40"/>
  <c r="D14" i="40"/>
  <c r="B14" i="40"/>
  <c r="C9" i="40"/>
  <c r="C5" i="40"/>
  <c r="D26" i="40" s="1"/>
  <c r="H26" i="40" s="1"/>
  <c r="B2" i="40"/>
  <c r="G26" i="39"/>
  <c r="G25" i="39"/>
  <c r="C26" i="39"/>
  <c r="C25" i="39"/>
  <c r="G23" i="39"/>
  <c r="G17" i="39"/>
  <c r="C23" i="39"/>
  <c r="G15" i="39"/>
  <c r="G14" i="39"/>
  <c r="C15" i="39"/>
  <c r="C14" i="39"/>
  <c r="B3" i="39"/>
  <c r="G38" i="39"/>
  <c r="C38" i="39"/>
  <c r="B38" i="39"/>
  <c r="G36" i="39"/>
  <c r="C36" i="39"/>
  <c r="B36" i="39"/>
  <c r="H33" i="39"/>
  <c r="G31" i="39"/>
  <c r="D31" i="39"/>
  <c r="H31" i="39" s="1"/>
  <c r="C31" i="39"/>
  <c r="B31" i="39"/>
  <c r="G30" i="39"/>
  <c r="H30" i="39"/>
  <c r="C30" i="39"/>
  <c r="B30" i="39"/>
  <c r="G29" i="39"/>
  <c r="C29" i="39"/>
  <c r="B29" i="39"/>
  <c r="G28" i="39"/>
  <c r="C28" i="39"/>
  <c r="B28" i="39"/>
  <c r="B26" i="39"/>
  <c r="B25" i="39"/>
  <c r="D23" i="39"/>
  <c r="H23" i="39" s="1"/>
  <c r="B23" i="39"/>
  <c r="C17" i="39"/>
  <c r="D15" i="39"/>
  <c r="B15" i="39"/>
  <c r="D14" i="39"/>
  <c r="H14" i="39" s="1"/>
  <c r="B14" i="39"/>
  <c r="C9" i="39"/>
  <c r="C5" i="39"/>
  <c r="D25" i="39" s="1"/>
  <c r="H25" i="39" s="1"/>
  <c r="B2" i="39"/>
  <c r="G26" i="38"/>
  <c r="G25" i="38"/>
  <c r="C26" i="38"/>
  <c r="C25" i="38"/>
  <c r="G23" i="38"/>
  <c r="G17" i="38"/>
  <c r="C23" i="38"/>
  <c r="G15" i="38"/>
  <c r="G14" i="38"/>
  <c r="C15" i="38"/>
  <c r="C14" i="38"/>
  <c r="B3" i="38"/>
  <c r="G38" i="38"/>
  <c r="B38" i="38"/>
  <c r="G36" i="38"/>
  <c r="C36" i="38"/>
  <c r="B36" i="38"/>
  <c r="H33" i="38"/>
  <c r="G31" i="38"/>
  <c r="D31" i="38"/>
  <c r="H31" i="38" s="1"/>
  <c r="C31" i="38"/>
  <c r="B31" i="38"/>
  <c r="G30" i="38"/>
  <c r="H30" i="38"/>
  <c r="C30" i="38"/>
  <c r="B30" i="38"/>
  <c r="G29" i="38"/>
  <c r="C29" i="38"/>
  <c r="B29" i="38"/>
  <c r="G28" i="38"/>
  <c r="C28" i="38"/>
  <c r="B28" i="38"/>
  <c r="B26" i="38"/>
  <c r="B25" i="38"/>
  <c r="D23" i="38"/>
  <c r="H23" i="38" s="1"/>
  <c r="B23" i="38"/>
  <c r="C17" i="38"/>
  <c r="D15" i="38"/>
  <c r="B15" i="38"/>
  <c r="D14" i="38"/>
  <c r="H14" i="38" s="1"/>
  <c r="B14" i="38"/>
  <c r="C9" i="38"/>
  <c r="C5" i="38"/>
  <c r="D29" i="38" s="1"/>
  <c r="H29" i="38" s="1"/>
  <c r="B2" i="38"/>
  <c r="G28" i="37"/>
  <c r="G27" i="37"/>
  <c r="C28" i="37"/>
  <c r="C27" i="37"/>
  <c r="G25" i="37"/>
  <c r="G24" i="37"/>
  <c r="G17" i="37"/>
  <c r="C24" i="37"/>
  <c r="G15" i="37"/>
  <c r="G14" i="37"/>
  <c r="C15" i="37"/>
  <c r="C14" i="37"/>
  <c r="B3" i="37"/>
  <c r="G42" i="37"/>
  <c r="C42" i="37"/>
  <c r="B42" i="37"/>
  <c r="G40" i="37"/>
  <c r="C40" i="37"/>
  <c r="B40" i="37"/>
  <c r="G37" i="37"/>
  <c r="D37" i="37"/>
  <c r="H37" i="37" s="1"/>
  <c r="C37" i="37"/>
  <c r="B37" i="37"/>
  <c r="G36" i="37"/>
  <c r="D36" i="37"/>
  <c r="C36" i="37"/>
  <c r="B36" i="37"/>
  <c r="G35" i="37"/>
  <c r="D35" i="37"/>
  <c r="C35" i="37"/>
  <c r="B35" i="37"/>
  <c r="D33" i="37"/>
  <c r="H33" i="37" s="1"/>
  <c r="B33" i="37"/>
  <c r="H32" i="37"/>
  <c r="G32" i="37"/>
  <c r="C32" i="37"/>
  <c r="E32" i="37" s="1"/>
  <c r="B32" i="37"/>
  <c r="G31" i="37"/>
  <c r="C31" i="37"/>
  <c r="B31" i="37"/>
  <c r="G30" i="37"/>
  <c r="C30" i="37"/>
  <c r="B30" i="37"/>
  <c r="B28" i="37"/>
  <c r="B27" i="37"/>
  <c r="D25" i="37"/>
  <c r="C25" i="37"/>
  <c r="B25" i="37"/>
  <c r="D24" i="37"/>
  <c r="B24" i="37"/>
  <c r="B22" i="37"/>
  <c r="C17" i="37"/>
  <c r="D15" i="37"/>
  <c r="H15" i="37" s="1"/>
  <c r="B15" i="37"/>
  <c r="D14" i="37"/>
  <c r="B14" i="37"/>
  <c r="C9" i="37"/>
  <c r="C5" i="37"/>
  <c r="D27" i="37" s="1"/>
  <c r="H27" i="37" s="1"/>
  <c r="B2" i="37"/>
  <c r="G23" i="36"/>
  <c r="C23" i="36"/>
  <c r="G32" i="36"/>
  <c r="C32" i="36"/>
  <c r="G27" i="36"/>
  <c r="G26" i="36"/>
  <c r="C27" i="36"/>
  <c r="C26" i="36"/>
  <c r="G24" i="36"/>
  <c r="G17" i="36"/>
  <c r="G15" i="36"/>
  <c r="G14" i="36"/>
  <c r="C15" i="36"/>
  <c r="C14" i="36"/>
  <c r="B3" i="36"/>
  <c r="B2" i="36"/>
  <c r="G41" i="36"/>
  <c r="C41" i="36"/>
  <c r="B41" i="36"/>
  <c r="G39" i="36"/>
  <c r="C39" i="36"/>
  <c r="B39" i="36"/>
  <c r="G36" i="36"/>
  <c r="D36" i="36"/>
  <c r="H36" i="36" s="1"/>
  <c r="C36" i="36"/>
  <c r="E36" i="36" s="1"/>
  <c r="B36" i="36"/>
  <c r="G35" i="36"/>
  <c r="D35" i="36"/>
  <c r="H35" i="36" s="1"/>
  <c r="C35" i="36"/>
  <c r="B35" i="36"/>
  <c r="G34" i="36"/>
  <c r="D34" i="36"/>
  <c r="C34" i="36"/>
  <c r="B34" i="36"/>
  <c r="D32" i="36"/>
  <c r="H32" i="36" s="1"/>
  <c r="B32" i="36"/>
  <c r="G31" i="36"/>
  <c r="H31" i="36"/>
  <c r="C31" i="36"/>
  <c r="E31" i="36" s="1"/>
  <c r="B31" i="36"/>
  <c r="G30" i="36"/>
  <c r="C30" i="36"/>
  <c r="B30" i="36"/>
  <c r="G29" i="36"/>
  <c r="C29" i="36"/>
  <c r="B29" i="36"/>
  <c r="B27" i="36"/>
  <c r="B26" i="36"/>
  <c r="D24" i="36"/>
  <c r="H24" i="36" s="1"/>
  <c r="C24" i="36"/>
  <c r="B24" i="36"/>
  <c r="D23" i="36"/>
  <c r="B23" i="36"/>
  <c r="C17" i="36"/>
  <c r="D15" i="36"/>
  <c r="H15" i="36" s="1"/>
  <c r="B15" i="36"/>
  <c r="D14" i="36"/>
  <c r="B14" i="36"/>
  <c r="C9" i="36"/>
  <c r="C5" i="36"/>
  <c r="D30" i="36" s="1"/>
  <c r="G27" i="35"/>
  <c r="G26" i="35"/>
  <c r="G24" i="35"/>
  <c r="G23" i="35"/>
  <c r="G17" i="35"/>
  <c r="C23" i="35"/>
  <c r="C27" i="35"/>
  <c r="C26" i="35"/>
  <c r="G15" i="35"/>
  <c r="G14" i="35"/>
  <c r="C15" i="35"/>
  <c r="C14" i="35"/>
  <c r="B3" i="35"/>
  <c r="G41" i="35"/>
  <c r="C41" i="35"/>
  <c r="B41" i="35"/>
  <c r="G39" i="35"/>
  <c r="C39" i="35"/>
  <c r="B39" i="35"/>
  <c r="G36" i="35"/>
  <c r="D36" i="35"/>
  <c r="H36" i="35" s="1"/>
  <c r="C36" i="35"/>
  <c r="B36" i="35"/>
  <c r="G35" i="35"/>
  <c r="D35" i="35"/>
  <c r="H35" i="35" s="1"/>
  <c r="C35" i="35"/>
  <c r="B35" i="35"/>
  <c r="G34" i="35"/>
  <c r="D34" i="35"/>
  <c r="H34" i="35" s="1"/>
  <c r="C34" i="35"/>
  <c r="B34" i="35"/>
  <c r="D32" i="35"/>
  <c r="B32" i="35"/>
  <c r="H31" i="35"/>
  <c r="G31" i="35"/>
  <c r="C31" i="35"/>
  <c r="E31" i="35" s="1"/>
  <c r="B31" i="35"/>
  <c r="G30" i="35"/>
  <c r="C30" i="35"/>
  <c r="B30" i="35"/>
  <c r="G29" i="35"/>
  <c r="C29" i="35"/>
  <c r="B29" i="35"/>
  <c r="B27" i="35"/>
  <c r="B26" i="35"/>
  <c r="D24" i="35"/>
  <c r="H24" i="35" s="1"/>
  <c r="C24" i="35"/>
  <c r="B24" i="35"/>
  <c r="D23" i="35"/>
  <c r="H23" i="35" s="1"/>
  <c r="B23" i="35"/>
  <c r="C17" i="35"/>
  <c r="D15" i="35"/>
  <c r="B15" i="35"/>
  <c r="D14" i="35"/>
  <c r="H14" i="35" s="1"/>
  <c r="B14" i="35"/>
  <c r="C9" i="35"/>
  <c r="C5" i="35"/>
  <c r="B2" i="35"/>
  <c r="B3" i="34"/>
  <c r="B3" i="33"/>
  <c r="B3" i="32"/>
  <c r="B2" i="32"/>
  <c r="G28" i="34"/>
  <c r="G27" i="34"/>
  <c r="C28" i="34"/>
  <c r="C27" i="34"/>
  <c r="G25" i="34"/>
  <c r="G24" i="34"/>
  <c r="G17" i="34"/>
  <c r="B22" i="34"/>
  <c r="C24" i="34"/>
  <c r="G15" i="34"/>
  <c r="G14" i="34"/>
  <c r="C15" i="34"/>
  <c r="C14" i="34"/>
  <c r="B2" i="34"/>
  <c r="G42" i="34"/>
  <c r="C42" i="34"/>
  <c r="B42" i="34"/>
  <c r="G40" i="34"/>
  <c r="C40" i="34"/>
  <c r="B40" i="34"/>
  <c r="G37" i="34"/>
  <c r="D37" i="34"/>
  <c r="H37" i="34" s="1"/>
  <c r="C37" i="34"/>
  <c r="B37" i="34"/>
  <c r="G36" i="34"/>
  <c r="D36" i="34"/>
  <c r="H36" i="34" s="1"/>
  <c r="C36" i="34"/>
  <c r="B36" i="34"/>
  <c r="G35" i="34"/>
  <c r="D35" i="34"/>
  <c r="H35" i="34" s="1"/>
  <c r="C35" i="34"/>
  <c r="B35" i="34"/>
  <c r="D33" i="34"/>
  <c r="H33" i="34" s="1"/>
  <c r="B33" i="34"/>
  <c r="H32" i="34"/>
  <c r="G32" i="34"/>
  <c r="C32" i="34"/>
  <c r="E32" i="34" s="1"/>
  <c r="B32" i="34"/>
  <c r="G31" i="34"/>
  <c r="C31" i="34"/>
  <c r="B31" i="34"/>
  <c r="G30" i="34"/>
  <c r="C30" i="34"/>
  <c r="B30" i="34"/>
  <c r="B28" i="34"/>
  <c r="B27" i="34"/>
  <c r="D25" i="34"/>
  <c r="H25" i="34" s="1"/>
  <c r="C25" i="34"/>
  <c r="B25" i="34"/>
  <c r="D24" i="34"/>
  <c r="H24" i="34" s="1"/>
  <c r="B24" i="34"/>
  <c r="C17" i="34"/>
  <c r="D15" i="34"/>
  <c r="H15" i="34" s="1"/>
  <c r="B15" i="34"/>
  <c r="D14" i="34"/>
  <c r="H14" i="34" s="1"/>
  <c r="B14" i="34"/>
  <c r="C9" i="34"/>
  <c r="C5" i="34"/>
  <c r="D27" i="34" s="1"/>
  <c r="H27" i="34" s="1"/>
  <c r="B2" i="33"/>
  <c r="G32" i="33"/>
  <c r="C32" i="33"/>
  <c r="G27" i="33"/>
  <c r="G26" i="33"/>
  <c r="C27" i="33"/>
  <c r="C26" i="33"/>
  <c r="G24" i="33"/>
  <c r="G23" i="33"/>
  <c r="G17" i="33"/>
  <c r="C23" i="33"/>
  <c r="G15" i="33"/>
  <c r="G14" i="33"/>
  <c r="C15" i="33"/>
  <c r="C14" i="33"/>
  <c r="E24" i="43" l="1"/>
  <c r="H22" i="34"/>
  <c r="I22" i="34" s="1"/>
  <c r="E22" i="34"/>
  <c r="H22" i="40"/>
  <c r="I22" i="40" s="1"/>
  <c r="E22" i="40"/>
  <c r="H22" i="46"/>
  <c r="I22" i="46" s="1"/>
  <c r="E22" i="46"/>
  <c r="H22" i="49"/>
  <c r="I22" i="49" s="1"/>
  <c r="E22" i="49"/>
  <c r="H22" i="37"/>
  <c r="I22" i="37" s="1"/>
  <c r="E22" i="37"/>
  <c r="E40" i="57"/>
  <c r="E41" i="57" s="1"/>
  <c r="E42" i="57" s="1"/>
  <c r="F25" i="51" s="1"/>
  <c r="K39" i="54"/>
  <c r="L39" i="54" s="1"/>
  <c r="I42" i="59"/>
  <c r="K42" i="59" s="1"/>
  <c r="L42" i="59" s="1"/>
  <c r="K41" i="59"/>
  <c r="L41" i="59" s="1"/>
  <c r="L39" i="58"/>
  <c r="I41" i="58"/>
  <c r="E40" i="58"/>
  <c r="K40" i="58" s="1"/>
  <c r="I41" i="57"/>
  <c r="L39" i="57"/>
  <c r="I42" i="56"/>
  <c r="I43" i="56" s="1"/>
  <c r="G22" i="53" s="1"/>
  <c r="L40" i="56"/>
  <c r="E41" i="56"/>
  <c r="I41" i="55"/>
  <c r="I42" i="55" s="1"/>
  <c r="G22" i="52" s="1"/>
  <c r="K39" i="55"/>
  <c r="L39" i="55" s="1"/>
  <c r="E40" i="55"/>
  <c r="K40" i="55" s="1"/>
  <c r="E41" i="54"/>
  <c r="E42" i="54" s="1"/>
  <c r="F22" i="51" s="1"/>
  <c r="I40" i="54"/>
  <c r="E14" i="36"/>
  <c r="E14" i="35"/>
  <c r="E27" i="46"/>
  <c r="I30" i="45"/>
  <c r="K30" i="45" s="1"/>
  <c r="L30" i="45" s="1"/>
  <c r="E15" i="39"/>
  <c r="I23" i="45"/>
  <c r="I27" i="46"/>
  <c r="E32" i="46"/>
  <c r="E32" i="40"/>
  <c r="E33" i="37"/>
  <c r="I24" i="34"/>
  <c r="E14" i="34"/>
  <c r="E24" i="34"/>
  <c r="E33" i="34"/>
  <c r="E35" i="34"/>
  <c r="E15" i="45"/>
  <c r="E14" i="42"/>
  <c r="E15" i="36"/>
  <c r="E35" i="36"/>
  <c r="E24" i="36"/>
  <c r="I32" i="36"/>
  <c r="E33" i="47"/>
  <c r="E14" i="41"/>
  <c r="E24" i="35"/>
  <c r="E36" i="35"/>
  <c r="E26" i="45"/>
  <c r="E26" i="42"/>
  <c r="I36" i="40"/>
  <c r="I30" i="47"/>
  <c r="I14" i="35"/>
  <c r="I24" i="43"/>
  <c r="I36" i="34"/>
  <c r="E15" i="35"/>
  <c r="D29" i="47"/>
  <c r="H29" i="47" s="1"/>
  <c r="I29" i="47" s="1"/>
  <c r="I28" i="45"/>
  <c r="I27" i="49"/>
  <c r="E25" i="37"/>
  <c r="I32" i="37"/>
  <c r="K32" i="37" s="1"/>
  <c r="L32" i="37" s="1"/>
  <c r="I33" i="45"/>
  <c r="I24" i="36"/>
  <c r="I35" i="36"/>
  <c r="E24" i="37"/>
  <c r="I31" i="43"/>
  <c r="K31" i="43" s="1"/>
  <c r="L31" i="43" s="1"/>
  <c r="I22" i="43"/>
  <c r="E14" i="44"/>
  <c r="I33" i="42"/>
  <c r="E25" i="45"/>
  <c r="I26" i="46"/>
  <c r="H17" i="47"/>
  <c r="I17" i="47" s="1"/>
  <c r="H17" i="48"/>
  <c r="I17" i="48" s="1"/>
  <c r="I15" i="49"/>
  <c r="H17" i="49"/>
  <c r="I17" i="49" s="1"/>
  <c r="E14" i="37"/>
  <c r="I32" i="34"/>
  <c r="K32" i="34" s="1"/>
  <c r="L32" i="34" s="1"/>
  <c r="I34" i="35"/>
  <c r="I15" i="37"/>
  <c r="E36" i="37"/>
  <c r="I37" i="37"/>
  <c r="I14" i="41"/>
  <c r="E26" i="49"/>
  <c r="H26" i="49"/>
  <c r="I26" i="49" s="1"/>
  <c r="E27" i="49"/>
  <c r="E15" i="46"/>
  <c r="I32" i="46"/>
  <c r="E27" i="43"/>
  <c r="E26" i="43"/>
  <c r="E15" i="48"/>
  <c r="E31" i="48"/>
  <c r="H25" i="45"/>
  <c r="I25" i="45" s="1"/>
  <c r="E23" i="45"/>
  <c r="E28" i="45"/>
  <c r="E25" i="42"/>
  <c r="I14" i="43"/>
  <c r="H35" i="37"/>
  <c r="I35" i="37" s="1"/>
  <c r="E35" i="37"/>
  <c r="D17" i="42"/>
  <c r="E17" i="42" s="1"/>
  <c r="D28" i="42"/>
  <c r="H28" i="42" s="1"/>
  <c r="I28" i="42" s="1"/>
  <c r="I14" i="42"/>
  <c r="I25" i="42"/>
  <c r="I15" i="34"/>
  <c r="H15" i="42"/>
  <c r="I15" i="42" s="1"/>
  <c r="E15" i="42"/>
  <c r="E14" i="46"/>
  <c r="H14" i="46"/>
  <c r="I14" i="46" s="1"/>
  <c r="I33" i="44"/>
  <c r="D29" i="46"/>
  <c r="H29" i="46" s="1"/>
  <c r="I29" i="46" s="1"/>
  <c r="D30" i="46"/>
  <c r="H30" i="46" s="1"/>
  <c r="I30" i="46" s="1"/>
  <c r="E25" i="34"/>
  <c r="E36" i="34"/>
  <c r="E37" i="34"/>
  <c r="E15" i="34"/>
  <c r="E35" i="35"/>
  <c r="I36" i="35"/>
  <c r="I31" i="36"/>
  <c r="K31" i="36" s="1"/>
  <c r="L31" i="36" s="1"/>
  <c r="E34" i="36"/>
  <c r="E37" i="37"/>
  <c r="I14" i="38"/>
  <c r="I31" i="40"/>
  <c r="K31" i="40" s="1"/>
  <c r="L31" i="40" s="1"/>
  <c r="E31" i="45"/>
  <c r="E34" i="46"/>
  <c r="I23" i="47"/>
  <c r="E26" i="47"/>
  <c r="E24" i="49"/>
  <c r="I37" i="34"/>
  <c r="I14" i="34"/>
  <c r="I24" i="35"/>
  <c r="I36" i="36"/>
  <c r="K36" i="36" s="1"/>
  <c r="L36" i="36" s="1"/>
  <c r="E32" i="36"/>
  <c r="E15" i="38"/>
  <c r="E14" i="38"/>
  <c r="D29" i="39"/>
  <c r="E29" i="39" s="1"/>
  <c r="I30" i="39"/>
  <c r="E34" i="40"/>
  <c r="E14" i="43"/>
  <c r="I28" i="44"/>
  <c r="E25" i="44"/>
  <c r="I30" i="44"/>
  <c r="K30" i="44" s="1"/>
  <c r="L30" i="44" s="1"/>
  <c r="E31" i="44"/>
  <c r="L31" i="44" s="1"/>
  <c r="E33" i="45"/>
  <c r="E26" i="46"/>
  <c r="I34" i="46"/>
  <c r="I15" i="46"/>
  <c r="I23" i="48"/>
  <c r="E26" i="48"/>
  <c r="D28" i="48"/>
  <c r="H28" i="48" s="1"/>
  <c r="I28" i="48" s="1"/>
  <c r="D29" i="48"/>
  <c r="H29" i="48" s="1"/>
  <c r="I29" i="48" s="1"/>
  <c r="I30" i="48"/>
  <c r="E14" i="48"/>
  <c r="I29" i="49"/>
  <c r="D30" i="49"/>
  <c r="H30" i="49" s="1"/>
  <c r="I30" i="49" s="1"/>
  <c r="I31" i="49"/>
  <c r="I32" i="49"/>
  <c r="I31" i="35"/>
  <c r="K31" i="35" s="1"/>
  <c r="L31" i="35" s="1"/>
  <c r="E14" i="49"/>
  <c r="E29" i="49"/>
  <c r="E32" i="49"/>
  <c r="E34" i="49"/>
  <c r="I34" i="49"/>
  <c r="E15" i="49"/>
  <c r="H14" i="49"/>
  <c r="I14" i="49" s="1"/>
  <c r="E31" i="49"/>
  <c r="I24" i="49"/>
  <c r="D17" i="49"/>
  <c r="E17" i="49" s="1"/>
  <c r="I25" i="48"/>
  <c r="I31" i="48"/>
  <c r="E17" i="48"/>
  <c r="I33" i="48"/>
  <c r="E33" i="48"/>
  <c r="I26" i="48"/>
  <c r="E25" i="48"/>
  <c r="I15" i="48"/>
  <c r="I14" i="48"/>
  <c r="E30" i="48"/>
  <c r="E23" i="48"/>
  <c r="I25" i="47"/>
  <c r="E31" i="47"/>
  <c r="L31" i="47" s="1"/>
  <c r="E15" i="47"/>
  <c r="I31" i="47"/>
  <c r="I26" i="47"/>
  <c r="I15" i="47"/>
  <c r="E25" i="47"/>
  <c r="H33" i="47"/>
  <c r="I33" i="47" s="1"/>
  <c r="E14" i="47"/>
  <c r="I14" i="47"/>
  <c r="E30" i="47"/>
  <c r="H28" i="47"/>
  <c r="I28" i="47" s="1"/>
  <c r="E28" i="47"/>
  <c r="E23" i="47"/>
  <c r="D17" i="47"/>
  <c r="E17" i="47" s="1"/>
  <c r="H17" i="46"/>
  <c r="I17" i="46" s="1"/>
  <c r="I31" i="46"/>
  <c r="K31" i="46" s="1"/>
  <c r="L31" i="46" s="1"/>
  <c r="H24" i="46"/>
  <c r="I24" i="46" s="1"/>
  <c r="E24" i="46"/>
  <c r="D17" i="46"/>
  <c r="E17" i="46" s="1"/>
  <c r="I15" i="45"/>
  <c r="E14" i="45"/>
  <c r="D29" i="45"/>
  <c r="H29" i="45" s="1"/>
  <c r="I29" i="45" s="1"/>
  <c r="H14" i="45"/>
  <c r="I14" i="45" s="1"/>
  <c r="H17" i="45"/>
  <c r="I17" i="45" s="1"/>
  <c r="H26" i="45"/>
  <c r="I26" i="45" s="1"/>
  <c r="H31" i="45"/>
  <c r="I31" i="45" s="1"/>
  <c r="D17" i="45"/>
  <c r="E17" i="45" s="1"/>
  <c r="E26" i="44"/>
  <c r="I15" i="44"/>
  <c r="H25" i="44"/>
  <c r="I25" i="44" s="1"/>
  <c r="E23" i="44"/>
  <c r="I23" i="44"/>
  <c r="E15" i="44"/>
  <c r="E28" i="44"/>
  <c r="E33" i="44"/>
  <c r="D29" i="44"/>
  <c r="H29" i="44" s="1"/>
  <c r="I29" i="44" s="1"/>
  <c r="H14" i="44"/>
  <c r="I14" i="44" s="1"/>
  <c r="H17" i="44"/>
  <c r="I17" i="44" s="1"/>
  <c r="H26" i="44"/>
  <c r="I26" i="44" s="1"/>
  <c r="H31" i="44"/>
  <c r="I31" i="44" s="1"/>
  <c r="D17" i="44"/>
  <c r="E17" i="44" s="1"/>
  <c r="I26" i="43"/>
  <c r="E22" i="43"/>
  <c r="I15" i="43"/>
  <c r="E15" i="43"/>
  <c r="E32" i="43"/>
  <c r="E34" i="43"/>
  <c r="I34" i="43"/>
  <c r="I27" i="43"/>
  <c r="I32" i="43"/>
  <c r="E29" i="43"/>
  <c r="I29" i="43"/>
  <c r="D30" i="43"/>
  <c r="H30" i="43" s="1"/>
  <c r="I30" i="43" s="1"/>
  <c r="H17" i="43"/>
  <c r="I17" i="43" s="1"/>
  <c r="D17" i="43"/>
  <c r="E17" i="43" s="1"/>
  <c r="I23" i="42"/>
  <c r="E23" i="42"/>
  <c r="I26" i="42"/>
  <c r="E31" i="42"/>
  <c r="E33" i="42"/>
  <c r="I31" i="42"/>
  <c r="I17" i="42"/>
  <c r="I30" i="42"/>
  <c r="K30" i="42" s="1"/>
  <c r="L30" i="42" s="1"/>
  <c r="D29" i="42"/>
  <c r="H29" i="42" s="1"/>
  <c r="I29" i="42" s="1"/>
  <c r="I30" i="41"/>
  <c r="I33" i="41"/>
  <c r="E15" i="41"/>
  <c r="E23" i="41"/>
  <c r="E31" i="41"/>
  <c r="L31" i="41" s="1"/>
  <c r="I23" i="41"/>
  <c r="I29" i="41"/>
  <c r="E33" i="41"/>
  <c r="I15" i="41"/>
  <c r="I31" i="41"/>
  <c r="E29" i="41"/>
  <c r="D17" i="41"/>
  <c r="E17" i="41" s="1"/>
  <c r="E30" i="41"/>
  <c r="D28" i="41"/>
  <c r="H28" i="41" s="1"/>
  <c r="I28" i="41" s="1"/>
  <c r="H17" i="41"/>
  <c r="I17" i="41" s="1"/>
  <c r="I26" i="40"/>
  <c r="I15" i="40"/>
  <c r="I34" i="40"/>
  <c r="E35" i="40"/>
  <c r="E14" i="40"/>
  <c r="E36" i="40"/>
  <c r="E24" i="40"/>
  <c r="E26" i="40"/>
  <c r="I24" i="40"/>
  <c r="E15" i="40"/>
  <c r="I32" i="40"/>
  <c r="D17" i="40"/>
  <c r="E17" i="40" s="1"/>
  <c r="D27" i="40"/>
  <c r="H27" i="40" s="1"/>
  <c r="I27" i="40" s="1"/>
  <c r="H14" i="40"/>
  <c r="I14" i="40" s="1"/>
  <c r="D29" i="40"/>
  <c r="H35" i="40"/>
  <c r="I35" i="40" s="1"/>
  <c r="D30" i="40"/>
  <c r="H17" i="40"/>
  <c r="I17" i="40" s="1"/>
  <c r="I25" i="39"/>
  <c r="I31" i="38"/>
  <c r="I33" i="38"/>
  <c r="E14" i="39"/>
  <c r="E31" i="39"/>
  <c r="E33" i="39"/>
  <c r="I31" i="39"/>
  <c r="I14" i="39"/>
  <c r="E30" i="39"/>
  <c r="H17" i="39"/>
  <c r="I17" i="39" s="1"/>
  <c r="D26" i="39"/>
  <c r="H26" i="39" s="1"/>
  <c r="I26" i="39" s="1"/>
  <c r="E23" i="39"/>
  <c r="I23" i="39"/>
  <c r="I33" i="39"/>
  <c r="E25" i="39"/>
  <c r="H15" i="39"/>
  <c r="I15" i="39" s="1"/>
  <c r="D28" i="39"/>
  <c r="D17" i="39"/>
  <c r="E17" i="39" s="1"/>
  <c r="E31" i="38"/>
  <c r="L31" i="38" s="1"/>
  <c r="I23" i="38"/>
  <c r="H15" i="38"/>
  <c r="I15" i="38" s="1"/>
  <c r="E23" i="38"/>
  <c r="E29" i="38"/>
  <c r="E33" i="38"/>
  <c r="I30" i="38"/>
  <c r="I29" i="38"/>
  <c r="D17" i="38"/>
  <c r="E17" i="38" s="1"/>
  <c r="D25" i="38"/>
  <c r="H25" i="38" s="1"/>
  <c r="I25" i="38" s="1"/>
  <c r="D26" i="38"/>
  <c r="E30" i="38"/>
  <c r="D28" i="38"/>
  <c r="H28" i="38" s="1"/>
  <c r="I28" i="38" s="1"/>
  <c r="H17" i="38"/>
  <c r="I17" i="38" s="1"/>
  <c r="I27" i="37"/>
  <c r="E15" i="37"/>
  <c r="H24" i="37"/>
  <c r="I24" i="37" s="1"/>
  <c r="E27" i="37"/>
  <c r="I33" i="37"/>
  <c r="D17" i="37"/>
  <c r="E17" i="37" s="1"/>
  <c r="D28" i="37"/>
  <c r="H28" i="37" s="1"/>
  <c r="I28" i="37" s="1"/>
  <c r="H14" i="37"/>
  <c r="I14" i="37" s="1"/>
  <c r="H25" i="37"/>
  <c r="I25" i="37" s="1"/>
  <c r="D30" i="37"/>
  <c r="H36" i="37"/>
  <c r="I36" i="37" s="1"/>
  <c r="D31" i="37"/>
  <c r="H17" i="37"/>
  <c r="I17" i="37" s="1"/>
  <c r="E23" i="36"/>
  <c r="I15" i="36"/>
  <c r="H30" i="36"/>
  <c r="I30" i="36" s="1"/>
  <c r="E30" i="36"/>
  <c r="D17" i="36"/>
  <c r="E17" i="36" s="1"/>
  <c r="D26" i="36"/>
  <c r="H26" i="36" s="1"/>
  <c r="I26" i="36" s="1"/>
  <c r="H14" i="36"/>
  <c r="I14" i="36" s="1"/>
  <c r="H23" i="36"/>
  <c r="I23" i="36" s="1"/>
  <c r="D27" i="36"/>
  <c r="H27" i="36" s="1"/>
  <c r="I27" i="36" s="1"/>
  <c r="H34" i="36"/>
  <c r="I34" i="36" s="1"/>
  <c r="D29" i="36"/>
  <c r="H17" i="36"/>
  <c r="I17" i="36" s="1"/>
  <c r="I23" i="35"/>
  <c r="H15" i="35"/>
  <c r="I15" i="35" s="1"/>
  <c r="E23" i="35"/>
  <c r="I35" i="35"/>
  <c r="E34" i="35"/>
  <c r="H32" i="35"/>
  <c r="I32" i="35" s="1"/>
  <c r="E32" i="35"/>
  <c r="D26" i="35"/>
  <c r="D17" i="35"/>
  <c r="E17" i="35" s="1"/>
  <c r="D30" i="35"/>
  <c r="H30" i="35" s="1"/>
  <c r="I30" i="35" s="1"/>
  <c r="H17" i="35"/>
  <c r="I17" i="35" s="1"/>
  <c r="D27" i="35"/>
  <c r="D29" i="35"/>
  <c r="H29" i="35" s="1"/>
  <c r="I29" i="35" s="1"/>
  <c r="H17" i="34"/>
  <c r="I17" i="34" s="1"/>
  <c r="I25" i="34"/>
  <c r="D31" i="34"/>
  <c r="H31" i="34" s="1"/>
  <c r="I31" i="34" s="1"/>
  <c r="I35" i="34"/>
  <c r="I27" i="34"/>
  <c r="D28" i="34"/>
  <c r="H28" i="34" s="1"/>
  <c r="I28" i="34" s="1"/>
  <c r="E27" i="34"/>
  <c r="I33" i="34"/>
  <c r="D30" i="34"/>
  <c r="D17" i="34"/>
  <c r="E17" i="34" s="1"/>
  <c r="G41" i="33"/>
  <c r="C41" i="33"/>
  <c r="B41" i="33"/>
  <c r="G39" i="33"/>
  <c r="C39" i="33"/>
  <c r="B39" i="33"/>
  <c r="G36" i="33"/>
  <c r="D36" i="33"/>
  <c r="H36" i="33" s="1"/>
  <c r="C36" i="33"/>
  <c r="B36" i="33"/>
  <c r="G35" i="33"/>
  <c r="D35" i="33"/>
  <c r="H35" i="33" s="1"/>
  <c r="C35" i="33"/>
  <c r="B35" i="33"/>
  <c r="G34" i="33"/>
  <c r="D34" i="33"/>
  <c r="H34" i="33" s="1"/>
  <c r="C34" i="33"/>
  <c r="B34" i="33"/>
  <c r="D32" i="33"/>
  <c r="H32" i="33" s="1"/>
  <c r="B32" i="33"/>
  <c r="H31" i="33"/>
  <c r="G31" i="33"/>
  <c r="C31" i="33"/>
  <c r="E31" i="33" s="1"/>
  <c r="B31" i="33"/>
  <c r="G30" i="33"/>
  <c r="C30" i="33"/>
  <c r="B30" i="33"/>
  <c r="G29" i="33"/>
  <c r="C29" i="33"/>
  <c r="B29" i="33"/>
  <c r="B27" i="33"/>
  <c r="B26" i="33"/>
  <c r="D24" i="33"/>
  <c r="H24" i="33" s="1"/>
  <c r="C24" i="33"/>
  <c r="B24" i="33"/>
  <c r="D23" i="33"/>
  <c r="H23" i="33" s="1"/>
  <c r="B23" i="33"/>
  <c r="C17" i="33"/>
  <c r="D15" i="33"/>
  <c r="E15" i="33" s="1"/>
  <c r="B15" i="33"/>
  <c r="D14" i="33"/>
  <c r="H14" i="33" s="1"/>
  <c r="E14" i="33"/>
  <c r="B14" i="33"/>
  <c r="C9" i="33"/>
  <c r="C5" i="33"/>
  <c r="D26" i="33" s="1"/>
  <c r="D32" i="32"/>
  <c r="H32" i="32" s="1"/>
  <c r="K37" i="34" l="1"/>
  <c r="L37" i="34" s="1"/>
  <c r="E35" i="33"/>
  <c r="E36" i="33"/>
  <c r="K24" i="43"/>
  <c r="L24" i="43" s="1"/>
  <c r="K22" i="49"/>
  <c r="L22" i="49" s="1"/>
  <c r="K22" i="40"/>
  <c r="L22" i="40" s="1"/>
  <c r="K22" i="37"/>
  <c r="L22" i="37" s="1"/>
  <c r="K22" i="46"/>
  <c r="L22" i="46" s="1"/>
  <c r="K22" i="34"/>
  <c r="L22" i="34" s="1"/>
  <c r="K40" i="57"/>
  <c r="L40" i="57" s="1"/>
  <c r="K41" i="57"/>
  <c r="L41" i="57" s="1"/>
  <c r="I42" i="57"/>
  <c r="I43" i="59"/>
  <c r="I42" i="58"/>
  <c r="G25" i="52" s="1"/>
  <c r="L40" i="58"/>
  <c r="E41" i="58"/>
  <c r="E42" i="56"/>
  <c r="K42" i="56" s="1"/>
  <c r="K41" i="56"/>
  <c r="L41" i="56" s="1"/>
  <c r="L40" i="55"/>
  <c r="E41" i="55"/>
  <c r="E42" i="55" s="1"/>
  <c r="I41" i="54"/>
  <c r="K41" i="54" s="1"/>
  <c r="L41" i="54" s="1"/>
  <c r="K40" i="54"/>
  <c r="L40" i="54" s="1"/>
  <c r="K22" i="43"/>
  <c r="L22" i="43" s="1"/>
  <c r="K24" i="36"/>
  <c r="L24" i="36" s="1"/>
  <c r="K27" i="46"/>
  <c r="L27" i="46" s="1"/>
  <c r="K25" i="45"/>
  <c r="L25" i="45" s="1"/>
  <c r="K15" i="39"/>
  <c r="L15" i="39" s="1"/>
  <c r="K14" i="35"/>
  <c r="L14" i="35" s="1"/>
  <c r="K35" i="34"/>
  <c r="L35" i="34" s="1"/>
  <c r="K36" i="35"/>
  <c r="L36" i="35" s="1"/>
  <c r="K33" i="47"/>
  <c r="L33" i="47" s="1"/>
  <c r="K15" i="36"/>
  <c r="L15" i="36" s="1"/>
  <c r="K23" i="41"/>
  <c r="L23" i="41" s="1"/>
  <c r="K24" i="34"/>
  <c r="L24" i="34" s="1"/>
  <c r="K32" i="46"/>
  <c r="L32" i="46" s="1"/>
  <c r="K14" i="46"/>
  <c r="L14" i="46" s="1"/>
  <c r="K36" i="40"/>
  <c r="L36" i="40" s="1"/>
  <c r="K32" i="40"/>
  <c r="L32" i="40" s="1"/>
  <c r="K33" i="37"/>
  <c r="L33" i="37" s="1"/>
  <c r="K14" i="34"/>
  <c r="L14" i="34" s="1"/>
  <c r="K33" i="34"/>
  <c r="L33" i="34" s="1"/>
  <c r="K15" i="45"/>
  <c r="L15" i="45" s="1"/>
  <c r="K33" i="39"/>
  <c r="L33" i="39" s="1"/>
  <c r="K14" i="42"/>
  <c r="L14" i="42" s="1"/>
  <c r="K35" i="36"/>
  <c r="L35" i="36" s="1"/>
  <c r="K32" i="36"/>
  <c r="L32" i="36" s="1"/>
  <c r="H15" i="33"/>
  <c r="I15" i="33" s="1"/>
  <c r="K15" i="33" s="1"/>
  <c r="L15" i="33" s="1"/>
  <c r="E23" i="33"/>
  <c r="E24" i="33"/>
  <c r="K15" i="47"/>
  <c r="L15" i="47" s="1"/>
  <c r="K14" i="41"/>
  <c r="L14" i="41" s="1"/>
  <c r="K24" i="35"/>
  <c r="L24" i="35" s="1"/>
  <c r="E31" i="34"/>
  <c r="K31" i="34" s="1"/>
  <c r="L31" i="34" s="1"/>
  <c r="K26" i="42"/>
  <c r="L26" i="42" s="1"/>
  <c r="K30" i="47"/>
  <c r="L30" i="47" s="1"/>
  <c r="K34" i="36"/>
  <c r="L34" i="36" s="1"/>
  <c r="K27" i="37"/>
  <c r="L27" i="37" s="1"/>
  <c r="K26" i="45"/>
  <c r="L26" i="45" s="1"/>
  <c r="E29" i="47"/>
  <c r="K29" i="47" s="1"/>
  <c r="E30" i="46"/>
  <c r="K30" i="46" s="1"/>
  <c r="L30" i="46" s="1"/>
  <c r="K33" i="45"/>
  <c r="L33" i="45" s="1"/>
  <c r="K25" i="42"/>
  <c r="L25" i="42" s="1"/>
  <c r="K25" i="44"/>
  <c r="L25" i="44" s="1"/>
  <c r="K36" i="34"/>
  <c r="L36" i="34" s="1"/>
  <c r="K34" i="35"/>
  <c r="L34" i="35" s="1"/>
  <c r="K25" i="37"/>
  <c r="L25" i="37" s="1"/>
  <c r="K14" i="39"/>
  <c r="L14" i="39" s="1"/>
  <c r="K14" i="49"/>
  <c r="L14" i="49" s="1"/>
  <c r="K14" i="38"/>
  <c r="L14" i="38" s="1"/>
  <c r="K33" i="44"/>
  <c r="L33" i="44" s="1"/>
  <c r="K15" i="35"/>
  <c r="L15" i="35" s="1"/>
  <c r="K26" i="43"/>
  <c r="L26" i="43" s="1"/>
  <c r="K26" i="46"/>
  <c r="L26" i="46" s="1"/>
  <c r="K28" i="45"/>
  <c r="L28" i="45" s="1"/>
  <c r="K15" i="38"/>
  <c r="L15" i="38" s="1"/>
  <c r="K37" i="37"/>
  <c r="L37" i="37" s="1"/>
  <c r="K27" i="49"/>
  <c r="L27" i="49" s="1"/>
  <c r="K23" i="36"/>
  <c r="L23" i="36" s="1"/>
  <c r="K15" i="46"/>
  <c r="L15" i="46" s="1"/>
  <c r="K26" i="49"/>
  <c r="L26" i="49" s="1"/>
  <c r="K17" i="34"/>
  <c r="L17" i="34" s="1"/>
  <c r="K36" i="37"/>
  <c r="L36" i="37" s="1"/>
  <c r="K33" i="42"/>
  <c r="L33" i="42" s="1"/>
  <c r="E28" i="48"/>
  <c r="K28" i="48" s="1"/>
  <c r="L28" i="48" s="1"/>
  <c r="K31" i="48"/>
  <c r="L31" i="48" s="1"/>
  <c r="K15" i="42"/>
  <c r="L15" i="42" s="1"/>
  <c r="E28" i="34"/>
  <c r="K28" i="34" s="1"/>
  <c r="L28" i="34" s="1"/>
  <c r="K35" i="35"/>
  <c r="L35" i="35" s="1"/>
  <c r="K24" i="37"/>
  <c r="L24" i="37" s="1"/>
  <c r="K15" i="37"/>
  <c r="L15" i="37" s="1"/>
  <c r="K31" i="39"/>
  <c r="L31" i="39" s="1"/>
  <c r="K29" i="43"/>
  <c r="L29" i="43" s="1"/>
  <c r="E16" i="43"/>
  <c r="E25" i="43" s="1"/>
  <c r="K31" i="45"/>
  <c r="L31" i="45" s="1"/>
  <c r="I16" i="46"/>
  <c r="I25" i="46" s="1"/>
  <c r="K14" i="48"/>
  <c r="L14" i="48" s="1"/>
  <c r="K15" i="49"/>
  <c r="L15" i="49" s="1"/>
  <c r="K14" i="43"/>
  <c r="L14" i="43" s="1"/>
  <c r="K30" i="41"/>
  <c r="L30" i="41" s="1"/>
  <c r="K23" i="35"/>
  <c r="L23" i="35" s="1"/>
  <c r="E16" i="36"/>
  <c r="E25" i="36" s="1"/>
  <c r="K34" i="40"/>
  <c r="L34" i="40" s="1"/>
  <c r="K17" i="42"/>
  <c r="L17" i="42" s="1"/>
  <c r="K23" i="45"/>
  <c r="L23" i="45" s="1"/>
  <c r="K26" i="48"/>
  <c r="L26" i="48" s="1"/>
  <c r="K31" i="49"/>
  <c r="L31" i="49" s="1"/>
  <c r="K15" i="34"/>
  <c r="L15" i="34" s="1"/>
  <c r="K27" i="43"/>
  <c r="L27" i="43" s="1"/>
  <c r="K15" i="48"/>
  <c r="L15" i="48" s="1"/>
  <c r="E28" i="42"/>
  <c r="K28" i="42" s="1"/>
  <c r="L28" i="42" s="1"/>
  <c r="K25" i="47"/>
  <c r="L25" i="47" s="1"/>
  <c r="K28" i="44"/>
  <c r="L28" i="44" s="1"/>
  <c r="K31" i="44"/>
  <c r="K30" i="36"/>
  <c r="L30" i="36" s="1"/>
  <c r="K35" i="37"/>
  <c r="L35" i="37" s="1"/>
  <c r="E29" i="46"/>
  <c r="K29" i="46" s="1"/>
  <c r="L29" i="46" s="1"/>
  <c r="I36" i="33"/>
  <c r="E34" i="33"/>
  <c r="E16" i="34"/>
  <c r="E26" i="34" s="1"/>
  <c r="K25" i="34"/>
  <c r="L25" i="34" s="1"/>
  <c r="H29" i="39"/>
  <c r="I29" i="39" s="1"/>
  <c r="K29" i="39" s="1"/>
  <c r="L29" i="39" s="1"/>
  <c r="K26" i="40"/>
  <c r="L26" i="40" s="1"/>
  <c r="I16" i="42"/>
  <c r="I24" i="42" s="1"/>
  <c r="K34" i="43"/>
  <c r="L34" i="43" s="1"/>
  <c r="E29" i="45"/>
  <c r="K29" i="45" s="1"/>
  <c r="L29" i="45" s="1"/>
  <c r="K31" i="47"/>
  <c r="E29" i="48"/>
  <c r="K29" i="48" s="1"/>
  <c r="L29" i="48" s="1"/>
  <c r="K24" i="49"/>
  <c r="L24" i="49" s="1"/>
  <c r="K34" i="49"/>
  <c r="L34" i="49" s="1"/>
  <c r="K29" i="49"/>
  <c r="L29" i="49" s="1"/>
  <c r="K34" i="46"/>
  <c r="L34" i="46" s="1"/>
  <c r="E29" i="42"/>
  <c r="K29" i="42" s="1"/>
  <c r="L29" i="42" s="1"/>
  <c r="K30" i="39"/>
  <c r="L30" i="39" s="1"/>
  <c r="K33" i="38"/>
  <c r="L33" i="38" s="1"/>
  <c r="K26" i="47"/>
  <c r="L26" i="47" s="1"/>
  <c r="K30" i="48"/>
  <c r="L30" i="48" s="1"/>
  <c r="E30" i="49"/>
  <c r="K30" i="49" s="1"/>
  <c r="L30" i="49" s="1"/>
  <c r="I31" i="33"/>
  <c r="K31" i="33" s="1"/>
  <c r="L31" i="33" s="1"/>
  <c r="I16" i="49"/>
  <c r="I25" i="49" s="1"/>
  <c r="K32" i="49"/>
  <c r="L32" i="49" s="1"/>
  <c r="E16" i="49"/>
  <c r="E25" i="49" s="1"/>
  <c r="K17" i="49"/>
  <c r="L17" i="49" s="1"/>
  <c r="K25" i="48"/>
  <c r="L25" i="48" s="1"/>
  <c r="K17" i="48"/>
  <c r="L17" i="48" s="1"/>
  <c r="K33" i="48"/>
  <c r="L33" i="48" s="1"/>
  <c r="I16" i="48"/>
  <c r="I24" i="48" s="1"/>
  <c r="E16" i="48"/>
  <c r="K23" i="48"/>
  <c r="L23" i="48" s="1"/>
  <c r="K14" i="47"/>
  <c r="L14" i="47" s="1"/>
  <c r="I16" i="47"/>
  <c r="I24" i="47" s="1"/>
  <c r="K28" i="47"/>
  <c r="L28" i="47" s="1"/>
  <c r="K17" i="47"/>
  <c r="L17" i="47" s="1"/>
  <c r="K23" i="47"/>
  <c r="L23" i="47" s="1"/>
  <c r="E16" i="47"/>
  <c r="K17" i="46"/>
  <c r="L17" i="46" s="1"/>
  <c r="K24" i="46"/>
  <c r="L24" i="46" s="1"/>
  <c r="E16" i="46"/>
  <c r="E16" i="45"/>
  <c r="E24" i="45" s="1"/>
  <c r="K14" i="45"/>
  <c r="L14" i="45" s="1"/>
  <c r="I16" i="45"/>
  <c r="K17" i="45"/>
  <c r="L17" i="45" s="1"/>
  <c r="K26" i="44"/>
  <c r="L26" i="44" s="1"/>
  <c r="E16" i="44"/>
  <c r="E24" i="44" s="1"/>
  <c r="K23" i="44"/>
  <c r="L23" i="44" s="1"/>
  <c r="K15" i="44"/>
  <c r="L15" i="44" s="1"/>
  <c r="K17" i="44"/>
  <c r="L17" i="44" s="1"/>
  <c r="E29" i="44"/>
  <c r="K14" i="44"/>
  <c r="L14" i="44" s="1"/>
  <c r="I16" i="44"/>
  <c r="I16" i="43"/>
  <c r="K15" i="43"/>
  <c r="L15" i="43" s="1"/>
  <c r="K32" i="43"/>
  <c r="L32" i="43" s="1"/>
  <c r="K17" i="43"/>
  <c r="L17" i="43" s="1"/>
  <c r="E30" i="43"/>
  <c r="K30" i="43" s="1"/>
  <c r="K23" i="42"/>
  <c r="L23" i="42" s="1"/>
  <c r="E16" i="42"/>
  <c r="E24" i="42" s="1"/>
  <c r="E27" i="42" s="1"/>
  <c r="F14" i="52" s="1"/>
  <c r="K31" i="42"/>
  <c r="L31" i="42" s="1"/>
  <c r="K31" i="41"/>
  <c r="K33" i="41"/>
  <c r="L33" i="41" s="1"/>
  <c r="K29" i="41"/>
  <c r="L29" i="41" s="1"/>
  <c r="K15" i="41"/>
  <c r="L15" i="41" s="1"/>
  <c r="K17" i="41"/>
  <c r="L17" i="41" s="1"/>
  <c r="I16" i="41"/>
  <c r="I24" i="41" s="1"/>
  <c r="E26" i="41"/>
  <c r="H26" i="41"/>
  <c r="I26" i="41" s="1"/>
  <c r="H25" i="41"/>
  <c r="I25" i="41" s="1"/>
  <c r="E25" i="41"/>
  <c r="E28" i="41"/>
  <c r="K28" i="41" s="1"/>
  <c r="E16" i="41"/>
  <c r="K35" i="40"/>
  <c r="L35" i="40" s="1"/>
  <c r="E16" i="40"/>
  <c r="E25" i="40" s="1"/>
  <c r="E27" i="40"/>
  <c r="K15" i="40"/>
  <c r="L15" i="40" s="1"/>
  <c r="K24" i="40"/>
  <c r="L24" i="40" s="1"/>
  <c r="E29" i="40"/>
  <c r="H29" i="40"/>
  <c r="I29" i="40" s="1"/>
  <c r="K14" i="40"/>
  <c r="L14" i="40" s="1"/>
  <c r="I16" i="40"/>
  <c r="E30" i="40"/>
  <c r="H30" i="40"/>
  <c r="I30" i="40" s="1"/>
  <c r="K17" i="40"/>
  <c r="L17" i="40" s="1"/>
  <c r="E16" i="39"/>
  <c r="E24" i="39" s="1"/>
  <c r="E26" i="39"/>
  <c r="K23" i="39"/>
  <c r="L23" i="39" s="1"/>
  <c r="E28" i="39"/>
  <c r="H28" i="39"/>
  <c r="I28" i="39" s="1"/>
  <c r="K17" i="39"/>
  <c r="L17" i="39" s="1"/>
  <c r="K25" i="39"/>
  <c r="L25" i="39" s="1"/>
  <c r="I16" i="39"/>
  <c r="E16" i="38"/>
  <c r="E24" i="38" s="1"/>
  <c r="K31" i="38"/>
  <c r="K23" i="38"/>
  <c r="L23" i="38" s="1"/>
  <c r="K29" i="38"/>
  <c r="L29" i="38" s="1"/>
  <c r="K17" i="38"/>
  <c r="L17" i="38" s="1"/>
  <c r="E25" i="38"/>
  <c r="K25" i="38" s="1"/>
  <c r="K30" i="38"/>
  <c r="L30" i="38" s="1"/>
  <c r="I16" i="38"/>
  <c r="E26" i="38"/>
  <c r="H26" i="38"/>
  <c r="I26" i="38" s="1"/>
  <c r="E28" i="38"/>
  <c r="E16" i="37"/>
  <c r="E26" i="37" s="1"/>
  <c r="E30" i="37"/>
  <c r="H30" i="37"/>
  <c r="I30" i="37" s="1"/>
  <c r="K14" i="37"/>
  <c r="L14" i="37" s="1"/>
  <c r="I16" i="37"/>
  <c r="E28" i="37"/>
  <c r="K28" i="37" s="1"/>
  <c r="E31" i="37"/>
  <c r="H31" i="37"/>
  <c r="I31" i="37" s="1"/>
  <c r="K17" i="37"/>
  <c r="L17" i="37" s="1"/>
  <c r="K14" i="36"/>
  <c r="L14" i="36" s="1"/>
  <c r="I16" i="36"/>
  <c r="E29" i="36"/>
  <c r="H29" i="36"/>
  <c r="I29" i="36" s="1"/>
  <c r="K17" i="36"/>
  <c r="L17" i="36" s="1"/>
  <c r="E27" i="36"/>
  <c r="E26" i="36"/>
  <c r="K26" i="36" s="1"/>
  <c r="I16" i="35"/>
  <c r="I25" i="35" s="1"/>
  <c r="K17" i="35"/>
  <c r="L17" i="35" s="1"/>
  <c r="E16" i="35"/>
  <c r="E25" i="35" s="1"/>
  <c r="E29" i="35"/>
  <c r="H27" i="35"/>
  <c r="I27" i="35" s="1"/>
  <c r="E27" i="35"/>
  <c r="K32" i="35"/>
  <c r="L32" i="35" s="1"/>
  <c r="E30" i="35"/>
  <c r="H26" i="35"/>
  <c r="I26" i="35" s="1"/>
  <c r="E26" i="35"/>
  <c r="I16" i="34"/>
  <c r="I26" i="34" s="1"/>
  <c r="E30" i="34"/>
  <c r="H30" i="34"/>
  <c r="I30" i="34" s="1"/>
  <c r="K27" i="34"/>
  <c r="L27" i="34" s="1"/>
  <c r="I32" i="33"/>
  <c r="I34" i="33"/>
  <c r="I23" i="33"/>
  <c r="D27" i="33"/>
  <c r="H27" i="33" s="1"/>
  <c r="I27" i="33" s="1"/>
  <c r="I14" i="33"/>
  <c r="K14" i="33" s="1"/>
  <c r="L14" i="33" s="1"/>
  <c r="E16" i="33"/>
  <c r="H26" i="33"/>
  <c r="I26" i="33" s="1"/>
  <c r="E26" i="33"/>
  <c r="I24" i="33"/>
  <c r="I35" i="33"/>
  <c r="D29" i="33"/>
  <c r="H29" i="33" s="1"/>
  <c r="I29" i="33" s="1"/>
  <c r="E32" i="33"/>
  <c r="H17" i="33"/>
  <c r="I17" i="33" s="1"/>
  <c r="D30" i="33"/>
  <c r="H30" i="33" s="1"/>
  <c r="I30" i="33" s="1"/>
  <c r="D17" i="33"/>
  <c r="E17" i="33" s="1"/>
  <c r="K36" i="33" l="1"/>
  <c r="L36" i="33" s="1"/>
  <c r="K35" i="33"/>
  <c r="L35" i="33" s="1"/>
  <c r="K42" i="55"/>
  <c r="L42" i="55" s="1"/>
  <c r="F22" i="52"/>
  <c r="K42" i="57"/>
  <c r="L42" i="57" s="1"/>
  <c r="G25" i="51"/>
  <c r="H25" i="51" s="1"/>
  <c r="I25" i="51" s="1"/>
  <c r="K43" i="59"/>
  <c r="L43" i="59" s="1"/>
  <c r="G25" i="53"/>
  <c r="H25" i="53" s="1"/>
  <c r="I25" i="53" s="1"/>
  <c r="K41" i="55"/>
  <c r="L41" i="55" s="1"/>
  <c r="K41" i="58"/>
  <c r="L41" i="58" s="1"/>
  <c r="E42" i="58"/>
  <c r="L42" i="56"/>
  <c r="E43" i="56"/>
  <c r="F22" i="53" s="1"/>
  <c r="H22" i="53" s="1"/>
  <c r="I22" i="53" s="1"/>
  <c r="I42" i="54"/>
  <c r="K24" i="33"/>
  <c r="L24" i="33" s="1"/>
  <c r="K23" i="33"/>
  <c r="L23" i="33" s="1"/>
  <c r="L29" i="47"/>
  <c r="K16" i="43"/>
  <c r="L16" i="43" s="1"/>
  <c r="K26" i="38"/>
  <c r="L26" i="38" s="1"/>
  <c r="K16" i="48"/>
  <c r="L16" i="48" s="1"/>
  <c r="K34" i="33"/>
  <c r="L34" i="33" s="1"/>
  <c r="K30" i="37"/>
  <c r="L30" i="37" s="1"/>
  <c r="K26" i="41"/>
  <c r="K29" i="40"/>
  <c r="L29" i="40" s="1"/>
  <c r="K16" i="49"/>
  <c r="L16" i="49" s="1"/>
  <c r="I28" i="49"/>
  <c r="G17" i="53" s="1"/>
  <c r="K25" i="49"/>
  <c r="L25" i="49" s="1"/>
  <c r="E28" i="49"/>
  <c r="F17" i="53" s="1"/>
  <c r="E24" i="48"/>
  <c r="K24" i="48" s="1"/>
  <c r="I27" i="48"/>
  <c r="G17" i="52" s="1"/>
  <c r="E24" i="47"/>
  <c r="K24" i="47" s="1"/>
  <c r="K16" i="47"/>
  <c r="L16" i="47" s="1"/>
  <c r="I27" i="47"/>
  <c r="G17" i="51" s="1"/>
  <c r="E25" i="46"/>
  <c r="K25" i="46" s="1"/>
  <c r="I28" i="46"/>
  <c r="G16" i="53" s="1"/>
  <c r="K16" i="46"/>
  <c r="L16" i="46" s="1"/>
  <c r="K16" i="45"/>
  <c r="L16" i="45" s="1"/>
  <c r="I24" i="45"/>
  <c r="E27" i="45"/>
  <c r="F16" i="52" s="1"/>
  <c r="K29" i="44"/>
  <c r="L29" i="44" s="1"/>
  <c r="E27" i="44"/>
  <c r="F16" i="51" s="1"/>
  <c r="K16" i="44"/>
  <c r="L16" i="44" s="1"/>
  <c r="I24" i="44"/>
  <c r="I25" i="43"/>
  <c r="K25" i="43" s="1"/>
  <c r="L25" i="43" s="1"/>
  <c r="E28" i="43"/>
  <c r="F14" i="53" s="1"/>
  <c r="L30" i="43"/>
  <c r="K16" i="42"/>
  <c r="L16" i="42" s="1"/>
  <c r="E35" i="42"/>
  <c r="I27" i="42"/>
  <c r="G14" i="52" s="1"/>
  <c r="H14" i="52" s="1"/>
  <c r="I14" i="52" s="1"/>
  <c r="K24" i="42"/>
  <c r="L24" i="42" s="1"/>
  <c r="K16" i="41"/>
  <c r="L16" i="41" s="1"/>
  <c r="E24" i="41"/>
  <c r="K24" i="41" s="1"/>
  <c r="K25" i="41"/>
  <c r="L25" i="41" s="1"/>
  <c r="L28" i="41"/>
  <c r="L26" i="41"/>
  <c r="I27" i="41"/>
  <c r="G14" i="51" s="1"/>
  <c r="K27" i="40"/>
  <c r="L27" i="40" s="1"/>
  <c r="K30" i="40"/>
  <c r="L30" i="40" s="1"/>
  <c r="E28" i="40"/>
  <c r="F15" i="53" s="1"/>
  <c r="I25" i="40"/>
  <c r="K16" i="40"/>
  <c r="L16" i="40" s="1"/>
  <c r="K26" i="39"/>
  <c r="L26" i="39" s="1"/>
  <c r="I24" i="39"/>
  <c r="K16" i="39"/>
  <c r="L16" i="39" s="1"/>
  <c r="E27" i="39"/>
  <c r="F15" i="52" s="1"/>
  <c r="K28" i="39"/>
  <c r="L28" i="39" s="1"/>
  <c r="E27" i="38"/>
  <c r="F15" i="51" s="1"/>
  <c r="L25" i="38"/>
  <c r="I24" i="38"/>
  <c r="K16" i="38"/>
  <c r="L16" i="38" s="1"/>
  <c r="K28" i="38"/>
  <c r="L28" i="38" s="1"/>
  <c r="K31" i="37"/>
  <c r="L31" i="37" s="1"/>
  <c r="L28" i="37"/>
  <c r="E29" i="37"/>
  <c r="F13" i="53" s="1"/>
  <c r="I26" i="37"/>
  <c r="K16" i="37"/>
  <c r="L16" i="37" s="1"/>
  <c r="K27" i="36"/>
  <c r="L27" i="36" s="1"/>
  <c r="E28" i="36"/>
  <c r="F13" i="52" s="1"/>
  <c r="L26" i="36"/>
  <c r="I25" i="36"/>
  <c r="K16" i="36"/>
  <c r="L16" i="36" s="1"/>
  <c r="K29" i="36"/>
  <c r="L29" i="36" s="1"/>
  <c r="K16" i="35"/>
  <c r="L16" i="35" s="1"/>
  <c r="K26" i="35"/>
  <c r="L26" i="35" s="1"/>
  <c r="E28" i="35"/>
  <c r="F13" i="51" s="1"/>
  <c r="K29" i="35"/>
  <c r="L29" i="35" s="1"/>
  <c r="K25" i="35"/>
  <c r="L25" i="35" s="1"/>
  <c r="I28" i="35"/>
  <c r="G13" i="51" s="1"/>
  <c r="K27" i="35"/>
  <c r="L27" i="35" s="1"/>
  <c r="K30" i="35"/>
  <c r="L30" i="35" s="1"/>
  <c r="K16" i="34"/>
  <c r="L16" i="34" s="1"/>
  <c r="K26" i="34"/>
  <c r="L26" i="34" s="1"/>
  <c r="I29" i="34"/>
  <c r="G11" i="53" s="1"/>
  <c r="K30" i="34"/>
  <c r="L30" i="34" s="1"/>
  <c r="E29" i="34"/>
  <c r="F11" i="53" s="1"/>
  <c r="E27" i="33"/>
  <c r="K27" i="33" s="1"/>
  <c r="K32" i="33"/>
  <c r="L32" i="33" s="1"/>
  <c r="E30" i="33"/>
  <c r="K30" i="33" s="1"/>
  <c r="K26" i="33"/>
  <c r="L26" i="33" s="1"/>
  <c r="E25" i="33"/>
  <c r="E29" i="33"/>
  <c r="K29" i="33" s="1"/>
  <c r="K17" i="33"/>
  <c r="L17" i="33" s="1"/>
  <c r="I16" i="33"/>
  <c r="G36" i="32"/>
  <c r="G35" i="32"/>
  <c r="G34" i="32"/>
  <c r="G32" i="32"/>
  <c r="I32" i="32" s="1"/>
  <c r="G31" i="32"/>
  <c r="G30" i="32"/>
  <c r="G29" i="32"/>
  <c r="G27" i="32"/>
  <c r="G26" i="32"/>
  <c r="G24" i="32"/>
  <c r="G23" i="32"/>
  <c r="G19" i="32"/>
  <c r="G18" i="32"/>
  <c r="G17" i="32"/>
  <c r="G15" i="32"/>
  <c r="G14" i="32"/>
  <c r="H31" i="32"/>
  <c r="D36" i="32"/>
  <c r="H36" i="32" s="1"/>
  <c r="D35" i="32"/>
  <c r="H35" i="32" s="1"/>
  <c r="D34" i="32"/>
  <c r="H34" i="32" s="1"/>
  <c r="D24" i="32"/>
  <c r="H24" i="32" s="1"/>
  <c r="D23" i="32"/>
  <c r="H23" i="32" s="1"/>
  <c r="D19" i="32"/>
  <c r="H19" i="32" s="1"/>
  <c r="D18" i="32"/>
  <c r="H18" i="32" s="1"/>
  <c r="D15" i="32"/>
  <c r="H15" i="32" s="1"/>
  <c r="D14" i="32"/>
  <c r="H14" i="32" s="1"/>
  <c r="G41" i="32"/>
  <c r="G39" i="32"/>
  <c r="C41" i="32"/>
  <c r="C39" i="32"/>
  <c r="C35" i="32"/>
  <c r="C36" i="32"/>
  <c r="C34" i="32"/>
  <c r="C32" i="32"/>
  <c r="E32" i="32" s="1"/>
  <c r="L32" i="32" s="1"/>
  <c r="C30" i="32"/>
  <c r="C31" i="32"/>
  <c r="E31" i="32" s="1"/>
  <c r="C29" i="32"/>
  <c r="C27" i="32"/>
  <c r="C26" i="32"/>
  <c r="C24" i="32"/>
  <c r="C23" i="32"/>
  <c r="C19" i="32"/>
  <c r="C18" i="32"/>
  <c r="C17" i="32"/>
  <c r="C15" i="32"/>
  <c r="C14" i="32"/>
  <c r="B41" i="32"/>
  <c r="B39" i="32"/>
  <c r="B35" i="32"/>
  <c r="B36" i="32"/>
  <c r="B34" i="32"/>
  <c r="B32" i="32"/>
  <c r="B30" i="32"/>
  <c r="B31" i="32"/>
  <c r="B29" i="32"/>
  <c r="B27" i="32"/>
  <c r="B26" i="32"/>
  <c r="B24" i="32"/>
  <c r="B23" i="32"/>
  <c r="B19" i="32"/>
  <c r="B18" i="32"/>
  <c r="B15" i="32"/>
  <c r="B14" i="32"/>
  <c r="C9" i="32"/>
  <c r="C5" i="32"/>
  <c r="D17" i="32" s="1"/>
  <c r="E15" i="32" l="1"/>
  <c r="E18" i="32"/>
  <c r="E24" i="32"/>
  <c r="K42" i="54"/>
  <c r="L42" i="54" s="1"/>
  <c r="G22" i="51"/>
  <c r="H22" i="51" s="1"/>
  <c r="I22" i="51" s="1"/>
  <c r="H22" i="52"/>
  <c r="I22" i="52" s="1"/>
  <c r="K42" i="58"/>
  <c r="L42" i="58" s="1"/>
  <c r="F25" i="52"/>
  <c r="H25" i="52" s="1"/>
  <c r="I25" i="52" s="1"/>
  <c r="K43" i="56"/>
  <c r="L43" i="56" s="1"/>
  <c r="E23" i="32"/>
  <c r="E34" i="32"/>
  <c r="I24" i="32"/>
  <c r="E14" i="32"/>
  <c r="I31" i="32"/>
  <c r="K31" i="32" s="1"/>
  <c r="L31" i="32" s="1"/>
  <c r="H13" i="51"/>
  <c r="I13" i="51" s="1"/>
  <c r="H11" i="53"/>
  <c r="I11" i="53" s="1"/>
  <c r="I28" i="43"/>
  <c r="G14" i="53" s="1"/>
  <c r="H14" i="53" s="1"/>
  <c r="I14" i="53" s="1"/>
  <c r="H17" i="53"/>
  <c r="I17" i="53" s="1"/>
  <c r="I35" i="32"/>
  <c r="I36" i="32"/>
  <c r="E36" i="32"/>
  <c r="I14" i="32"/>
  <c r="I18" i="32"/>
  <c r="E19" i="32"/>
  <c r="E35" i="32"/>
  <c r="I15" i="32"/>
  <c r="I19" i="32"/>
  <c r="I23" i="32"/>
  <c r="I34" i="32"/>
  <c r="E36" i="49"/>
  <c r="I36" i="49"/>
  <c r="K28" i="49"/>
  <c r="L28" i="49" s="1"/>
  <c r="E27" i="48"/>
  <c r="L24" i="48"/>
  <c r="I35" i="48"/>
  <c r="I35" i="47"/>
  <c r="E27" i="47"/>
  <c r="L24" i="47"/>
  <c r="I36" i="46"/>
  <c r="L25" i="46"/>
  <c r="E28" i="46"/>
  <c r="F16" i="53" s="1"/>
  <c r="H16" i="53" s="1"/>
  <c r="I16" i="53" s="1"/>
  <c r="I27" i="45"/>
  <c r="G16" i="52" s="1"/>
  <c r="H16" i="52" s="1"/>
  <c r="I16" i="52" s="1"/>
  <c r="K24" i="45"/>
  <c r="L24" i="45" s="1"/>
  <c r="E35" i="45"/>
  <c r="I27" i="44"/>
  <c r="G16" i="51" s="1"/>
  <c r="H16" i="51" s="1"/>
  <c r="I16" i="51" s="1"/>
  <c r="K24" i="44"/>
  <c r="L24" i="44" s="1"/>
  <c r="E35" i="44"/>
  <c r="E36" i="43"/>
  <c r="I35" i="42"/>
  <c r="K27" i="42"/>
  <c r="L27" i="42" s="1"/>
  <c r="E36" i="42"/>
  <c r="E37" i="42" s="1"/>
  <c r="I35" i="41"/>
  <c r="L24" i="41"/>
  <c r="E27" i="41"/>
  <c r="F14" i="51" s="1"/>
  <c r="H14" i="51" s="1"/>
  <c r="I14" i="51" s="1"/>
  <c r="E38" i="40"/>
  <c r="K25" i="40"/>
  <c r="L25" i="40" s="1"/>
  <c r="I28" i="40"/>
  <c r="G15" i="53" s="1"/>
  <c r="H15" i="53" s="1"/>
  <c r="I15" i="53" s="1"/>
  <c r="K24" i="39"/>
  <c r="L24" i="39" s="1"/>
  <c r="I27" i="39"/>
  <c r="G15" i="52" s="1"/>
  <c r="H15" i="52" s="1"/>
  <c r="I15" i="52" s="1"/>
  <c r="E35" i="39"/>
  <c r="I27" i="38"/>
  <c r="G15" i="51" s="1"/>
  <c r="H15" i="51" s="1"/>
  <c r="I15" i="51" s="1"/>
  <c r="K24" i="38"/>
  <c r="L24" i="38" s="1"/>
  <c r="E35" i="38"/>
  <c r="K26" i="37"/>
  <c r="L26" i="37" s="1"/>
  <c r="I29" i="37"/>
  <c r="G13" i="53" s="1"/>
  <c r="H13" i="53" s="1"/>
  <c r="I13" i="53" s="1"/>
  <c r="E39" i="37"/>
  <c r="E38" i="36"/>
  <c r="I28" i="36"/>
  <c r="G13" i="52" s="1"/>
  <c r="H13" i="52" s="1"/>
  <c r="I13" i="52" s="1"/>
  <c r="K25" i="36"/>
  <c r="L25" i="36" s="1"/>
  <c r="E38" i="35"/>
  <c r="I38" i="35"/>
  <c r="K28" i="35"/>
  <c r="L28" i="35" s="1"/>
  <c r="I39" i="34"/>
  <c r="K29" i="34"/>
  <c r="L29" i="34" s="1"/>
  <c r="E39" i="34"/>
  <c r="L27" i="33"/>
  <c r="E17" i="32"/>
  <c r="K32" i="32"/>
  <c r="D26" i="32"/>
  <c r="D30" i="32"/>
  <c r="H30" i="32" s="1"/>
  <c r="I30" i="32" s="1"/>
  <c r="D27" i="32"/>
  <c r="H27" i="32" s="1"/>
  <c r="I27" i="32" s="1"/>
  <c r="H17" i="32"/>
  <c r="I17" i="32" s="1"/>
  <c r="D29" i="32"/>
  <c r="I25" i="33"/>
  <c r="K16" i="33"/>
  <c r="L16" i="33" s="1"/>
  <c r="E28" i="33"/>
  <c r="F11" i="52" s="1"/>
  <c r="L29" i="33"/>
  <c r="L30" i="33"/>
  <c r="I261" i="1"/>
  <c r="I257" i="1"/>
  <c r="I256" i="1"/>
  <c r="K18" i="32" l="1"/>
  <c r="L18" i="32" s="1"/>
  <c r="K15" i="32"/>
  <c r="L15" i="32" s="1"/>
  <c r="K24" i="32"/>
  <c r="L24" i="32" s="1"/>
  <c r="K34" i="32"/>
  <c r="L34" i="32" s="1"/>
  <c r="E16" i="32"/>
  <c r="E25" i="32" s="1"/>
  <c r="K19" i="32"/>
  <c r="L19" i="32" s="1"/>
  <c r="I36" i="43"/>
  <c r="I37" i="43" s="1"/>
  <c r="K23" i="32"/>
  <c r="L23" i="32" s="1"/>
  <c r="K14" i="32"/>
  <c r="L14" i="32" s="1"/>
  <c r="K36" i="32"/>
  <c r="L36" i="32" s="1"/>
  <c r="K28" i="43"/>
  <c r="L28" i="43" s="1"/>
  <c r="K27" i="47"/>
  <c r="L27" i="47" s="1"/>
  <c r="F17" i="51"/>
  <c r="H17" i="51" s="1"/>
  <c r="I17" i="51" s="1"/>
  <c r="K27" i="48"/>
  <c r="L27" i="48" s="1"/>
  <c r="F17" i="52"/>
  <c r="H17" i="52" s="1"/>
  <c r="I17" i="52" s="1"/>
  <c r="K35" i="32"/>
  <c r="L35" i="32" s="1"/>
  <c r="I16" i="32"/>
  <c r="I25" i="32" s="1"/>
  <c r="K17" i="32"/>
  <c r="L17" i="32" s="1"/>
  <c r="I37" i="49"/>
  <c r="K36" i="49"/>
  <c r="L36" i="49" s="1"/>
  <c r="E37" i="49"/>
  <c r="E38" i="49" s="1"/>
  <c r="I36" i="48"/>
  <c r="E35" i="48"/>
  <c r="K35" i="48" s="1"/>
  <c r="E35" i="47"/>
  <c r="K35" i="47" s="1"/>
  <c r="I36" i="47"/>
  <c r="I37" i="47" s="1"/>
  <c r="E36" i="46"/>
  <c r="K36" i="46" s="1"/>
  <c r="K28" i="46"/>
  <c r="L28" i="46" s="1"/>
  <c r="I37" i="46"/>
  <c r="I38" i="46" s="1"/>
  <c r="I35" i="45"/>
  <c r="K27" i="45"/>
  <c r="L27" i="45" s="1"/>
  <c r="E36" i="45"/>
  <c r="E37" i="45" s="1"/>
  <c r="E36" i="44"/>
  <c r="I35" i="44"/>
  <c r="K27" i="44"/>
  <c r="L27" i="44" s="1"/>
  <c r="E37" i="43"/>
  <c r="E38" i="43" s="1"/>
  <c r="E38" i="42"/>
  <c r="E39" i="42" s="1"/>
  <c r="F27" i="52" s="1"/>
  <c r="I36" i="42"/>
  <c r="K36" i="42" s="1"/>
  <c r="L36" i="42" s="1"/>
  <c r="K35" i="42"/>
  <c r="L35" i="42" s="1"/>
  <c r="E35" i="41"/>
  <c r="K35" i="41" s="1"/>
  <c r="I36" i="41"/>
  <c r="K27" i="41"/>
  <c r="L27" i="41" s="1"/>
  <c r="E39" i="40"/>
  <c r="E40" i="40" s="1"/>
  <c r="I38" i="40"/>
  <c r="K28" i="40"/>
  <c r="L28" i="40" s="1"/>
  <c r="E36" i="39"/>
  <c r="I35" i="39"/>
  <c r="K27" i="39"/>
  <c r="L27" i="39" s="1"/>
  <c r="K27" i="38"/>
  <c r="L27" i="38" s="1"/>
  <c r="I35" i="38"/>
  <c r="E36" i="38"/>
  <c r="E37" i="38" s="1"/>
  <c r="E40" i="37"/>
  <c r="E41" i="37" s="1"/>
  <c r="I39" i="37"/>
  <c r="K29" i="37"/>
  <c r="L29" i="37" s="1"/>
  <c r="E39" i="36"/>
  <c r="K28" i="36"/>
  <c r="L28" i="36" s="1"/>
  <c r="I38" i="36"/>
  <c r="I39" i="35"/>
  <c r="K38" i="35"/>
  <c r="L38" i="35" s="1"/>
  <c r="E39" i="35"/>
  <c r="E40" i="35" s="1"/>
  <c r="E40" i="34"/>
  <c r="I40" i="34"/>
  <c r="I41" i="34" s="1"/>
  <c r="K39" i="34"/>
  <c r="L39" i="34" s="1"/>
  <c r="E27" i="32"/>
  <c r="E30" i="32"/>
  <c r="E26" i="32"/>
  <c r="H26" i="32"/>
  <c r="I26" i="32" s="1"/>
  <c r="E29" i="32"/>
  <c r="H29" i="32"/>
  <c r="I29" i="32" s="1"/>
  <c r="E38" i="33"/>
  <c r="K25" i="33"/>
  <c r="L25" i="33" s="1"/>
  <c r="I28" i="33"/>
  <c r="G11" i="52" s="1"/>
  <c r="H11" i="52" s="1"/>
  <c r="I11" i="52" s="1"/>
  <c r="K36" i="43" l="1"/>
  <c r="L36" i="43" s="1"/>
  <c r="K16" i="32"/>
  <c r="L16" i="32" s="1"/>
  <c r="K26" i="32"/>
  <c r="L26" i="32" s="1"/>
  <c r="E39" i="49"/>
  <c r="E40" i="49" s="1"/>
  <c r="F30" i="53" s="1"/>
  <c r="K37" i="49"/>
  <c r="L37" i="49" s="1"/>
  <c r="I38" i="49"/>
  <c r="I37" i="48"/>
  <c r="L35" i="48"/>
  <c r="E36" i="48"/>
  <c r="I38" i="47"/>
  <c r="I39" i="47" s="1"/>
  <c r="G30" i="51" s="1"/>
  <c r="L35" i="47"/>
  <c r="E36" i="47"/>
  <c r="K36" i="47" s="1"/>
  <c r="I39" i="46"/>
  <c r="L36" i="46"/>
  <c r="E37" i="46"/>
  <c r="K37" i="46" s="1"/>
  <c r="E38" i="45"/>
  <c r="E39" i="45" s="1"/>
  <c r="F29" i="52" s="1"/>
  <c r="I36" i="45"/>
  <c r="K36" i="45" s="1"/>
  <c r="L36" i="45" s="1"/>
  <c r="K35" i="45"/>
  <c r="L35" i="45" s="1"/>
  <c r="I36" i="44"/>
  <c r="K36" i="44" s="1"/>
  <c r="L36" i="44" s="1"/>
  <c r="K35" i="44"/>
  <c r="L35" i="44" s="1"/>
  <c r="E37" i="44"/>
  <c r="E39" i="43"/>
  <c r="E40" i="43" s="1"/>
  <c r="F27" i="53" s="1"/>
  <c r="K37" i="43"/>
  <c r="L37" i="43" s="1"/>
  <c r="I38" i="43"/>
  <c r="I37" i="42"/>
  <c r="I38" i="42" s="1"/>
  <c r="I37" i="41"/>
  <c r="L35" i="41"/>
  <c r="E36" i="41"/>
  <c r="E37" i="41" s="1"/>
  <c r="E41" i="40"/>
  <c r="I39" i="40"/>
  <c r="K39" i="40" s="1"/>
  <c r="L39" i="40" s="1"/>
  <c r="K38" i="40"/>
  <c r="L38" i="40" s="1"/>
  <c r="I36" i="39"/>
  <c r="K36" i="39" s="1"/>
  <c r="L36" i="39" s="1"/>
  <c r="K35" i="39"/>
  <c r="L35" i="39" s="1"/>
  <c r="E37" i="39"/>
  <c r="E38" i="38"/>
  <c r="I36" i="38"/>
  <c r="K36" i="38" s="1"/>
  <c r="L36" i="38" s="1"/>
  <c r="K35" i="38"/>
  <c r="L35" i="38" s="1"/>
  <c r="E42" i="37"/>
  <c r="E43" i="37" s="1"/>
  <c r="F26" i="53" s="1"/>
  <c r="I40" i="37"/>
  <c r="K40" i="37" s="1"/>
  <c r="L40" i="37" s="1"/>
  <c r="K39" i="37"/>
  <c r="L39" i="37" s="1"/>
  <c r="I39" i="36"/>
  <c r="K39" i="36" s="1"/>
  <c r="L39" i="36" s="1"/>
  <c r="K38" i="36"/>
  <c r="L38" i="36" s="1"/>
  <c r="E40" i="36"/>
  <c r="E41" i="35"/>
  <c r="E42" i="35" s="1"/>
  <c r="F26" i="51" s="1"/>
  <c r="K39" i="35"/>
  <c r="L39" i="35" s="1"/>
  <c r="I40" i="35"/>
  <c r="I42" i="34"/>
  <c r="I43" i="34" s="1"/>
  <c r="G24" i="53" s="1"/>
  <c r="K40" i="34"/>
  <c r="L40" i="34" s="1"/>
  <c r="E41" i="34"/>
  <c r="E28" i="32"/>
  <c r="K30" i="32"/>
  <c r="L30" i="32" s="1"/>
  <c r="K29" i="32"/>
  <c r="L29" i="32" s="1"/>
  <c r="K27" i="32"/>
  <c r="L27" i="32" s="1"/>
  <c r="I38" i="33"/>
  <c r="K28" i="33"/>
  <c r="L28" i="33" s="1"/>
  <c r="E39" i="33"/>
  <c r="E40" i="33" s="1"/>
  <c r="K25" i="32"/>
  <c r="L25" i="32" s="1"/>
  <c r="I28" i="32"/>
  <c r="G11" i="51" s="1"/>
  <c r="E38" i="32" l="1"/>
  <c r="F11" i="51"/>
  <c r="H11" i="51" s="1"/>
  <c r="I11" i="51" s="1"/>
  <c r="K38" i="49"/>
  <c r="L38" i="49" s="1"/>
  <c r="I39" i="49"/>
  <c r="K39" i="49" s="1"/>
  <c r="L39" i="49" s="1"/>
  <c r="K36" i="48"/>
  <c r="L36" i="48" s="1"/>
  <c r="E37" i="48"/>
  <c r="K37" i="48" s="1"/>
  <c r="I38" i="48"/>
  <c r="L36" i="47"/>
  <c r="E37" i="47"/>
  <c r="L37" i="46"/>
  <c r="I40" i="46"/>
  <c r="G29" i="53" s="1"/>
  <c r="E38" i="46"/>
  <c r="I37" i="45"/>
  <c r="I37" i="44"/>
  <c r="K37" i="44" s="1"/>
  <c r="L37" i="44" s="1"/>
  <c r="E38" i="44"/>
  <c r="K38" i="43"/>
  <c r="L38" i="43" s="1"/>
  <c r="I39" i="43"/>
  <c r="K39" i="43" s="1"/>
  <c r="L39" i="43" s="1"/>
  <c r="K37" i="42"/>
  <c r="L37" i="42" s="1"/>
  <c r="K38" i="42"/>
  <c r="L38" i="42" s="1"/>
  <c r="I39" i="42"/>
  <c r="E38" i="41"/>
  <c r="I38" i="41"/>
  <c r="I39" i="41" s="1"/>
  <c r="G27" i="51" s="1"/>
  <c r="K37" i="41"/>
  <c r="L37" i="41" s="1"/>
  <c r="K36" i="41"/>
  <c r="L36" i="41" s="1"/>
  <c r="I40" i="40"/>
  <c r="E42" i="40"/>
  <c r="F28" i="53" s="1"/>
  <c r="I37" i="39"/>
  <c r="I38" i="39" s="1"/>
  <c r="E38" i="39"/>
  <c r="I37" i="38"/>
  <c r="K37" i="38" s="1"/>
  <c r="L37" i="38" s="1"/>
  <c r="E39" i="38"/>
  <c r="F28" i="51" s="1"/>
  <c r="I41" i="37"/>
  <c r="I40" i="36"/>
  <c r="K40" i="36" s="1"/>
  <c r="L40" i="36" s="1"/>
  <c r="E41" i="36"/>
  <c r="E42" i="36" s="1"/>
  <c r="F26" i="52" s="1"/>
  <c r="K40" i="35"/>
  <c r="L40" i="35" s="1"/>
  <c r="I41" i="35"/>
  <c r="K41" i="35" s="1"/>
  <c r="L41" i="35" s="1"/>
  <c r="E42" i="34"/>
  <c r="E43" i="34" s="1"/>
  <c r="F24" i="53" s="1"/>
  <c r="H24" i="53" s="1"/>
  <c r="I24" i="53" s="1"/>
  <c r="K41" i="34"/>
  <c r="L41" i="34" s="1"/>
  <c r="E41" i="33"/>
  <c r="E42" i="33" s="1"/>
  <c r="F24" i="52" s="1"/>
  <c r="I39" i="33"/>
  <c r="K39" i="33" s="1"/>
  <c r="L39" i="33" s="1"/>
  <c r="K38" i="33"/>
  <c r="L38" i="33" s="1"/>
  <c r="E39" i="32"/>
  <c r="E40" i="32" s="1"/>
  <c r="I38" i="32"/>
  <c r="K28" i="32"/>
  <c r="L28" i="32" s="1"/>
  <c r="K39" i="42" l="1"/>
  <c r="L39" i="42" s="1"/>
  <c r="G27" i="52"/>
  <c r="H27" i="52" s="1"/>
  <c r="I27" i="52" s="1"/>
  <c r="I38" i="38"/>
  <c r="K38" i="38" s="1"/>
  <c r="L38" i="38" s="1"/>
  <c r="I40" i="49"/>
  <c r="E38" i="48"/>
  <c r="K38" i="48" s="1"/>
  <c r="L37" i="48"/>
  <c r="I39" i="48"/>
  <c r="G30" i="52" s="1"/>
  <c r="E38" i="47"/>
  <c r="E39" i="47" s="1"/>
  <c r="F30" i="51" s="1"/>
  <c r="H30" i="51" s="1"/>
  <c r="I30" i="51" s="1"/>
  <c r="K37" i="47"/>
  <c r="L37" i="47" s="1"/>
  <c r="E39" i="46"/>
  <c r="E40" i="46" s="1"/>
  <c r="F29" i="53" s="1"/>
  <c r="H29" i="53" s="1"/>
  <c r="I29" i="53" s="1"/>
  <c r="K38" i="46"/>
  <c r="L38" i="46" s="1"/>
  <c r="K37" i="45"/>
  <c r="L37" i="45" s="1"/>
  <c r="I38" i="45"/>
  <c r="K38" i="45" s="1"/>
  <c r="L38" i="45" s="1"/>
  <c r="I38" i="44"/>
  <c r="K38" i="44" s="1"/>
  <c r="L38" i="44" s="1"/>
  <c r="E39" i="44"/>
  <c r="F29" i="51" s="1"/>
  <c r="I40" i="43"/>
  <c r="K38" i="41"/>
  <c r="L38" i="41" s="1"/>
  <c r="E39" i="41"/>
  <c r="K40" i="40"/>
  <c r="L40" i="40" s="1"/>
  <c r="I41" i="40"/>
  <c r="K41" i="40" s="1"/>
  <c r="L41" i="40" s="1"/>
  <c r="K37" i="39"/>
  <c r="L37" i="39" s="1"/>
  <c r="K38" i="39"/>
  <c r="L38" i="39" s="1"/>
  <c r="I39" i="39"/>
  <c r="G28" i="52" s="1"/>
  <c r="E39" i="39"/>
  <c r="F28" i="52" s="1"/>
  <c r="K41" i="37"/>
  <c r="L41" i="37" s="1"/>
  <c r="I42" i="37"/>
  <c r="K42" i="37" s="1"/>
  <c r="L42" i="37" s="1"/>
  <c r="I41" i="36"/>
  <c r="K41" i="36" s="1"/>
  <c r="L41" i="36" s="1"/>
  <c r="I42" i="35"/>
  <c r="K42" i="34"/>
  <c r="L42" i="34" s="1"/>
  <c r="K43" i="34"/>
  <c r="L43" i="34" s="1"/>
  <c r="I40" i="33"/>
  <c r="E41" i="32"/>
  <c r="E42" i="32" s="1"/>
  <c r="F24" i="51" s="1"/>
  <c r="K38" i="32"/>
  <c r="L38" i="32" s="1"/>
  <c r="I39" i="32"/>
  <c r="K39" i="32" s="1"/>
  <c r="L39" i="32" s="1"/>
  <c r="K39" i="41" l="1"/>
  <c r="L39" i="41" s="1"/>
  <c r="F27" i="51"/>
  <c r="H27" i="51" s="1"/>
  <c r="I27" i="51" s="1"/>
  <c r="K40" i="43"/>
  <c r="L40" i="43" s="1"/>
  <c r="G27" i="53"/>
  <c r="H27" i="53" s="1"/>
  <c r="I27" i="53" s="1"/>
  <c r="K40" i="49"/>
  <c r="L40" i="49" s="1"/>
  <c r="G30" i="53"/>
  <c r="H30" i="53" s="1"/>
  <c r="I30" i="53" s="1"/>
  <c r="H28" i="52"/>
  <c r="I28" i="52" s="1"/>
  <c r="K42" i="35"/>
  <c r="L42" i="35" s="1"/>
  <c r="G26" i="51"/>
  <c r="H26" i="51" s="1"/>
  <c r="I26" i="51" s="1"/>
  <c r="I39" i="38"/>
  <c r="E39" i="48"/>
  <c r="L38" i="48"/>
  <c r="K39" i="47"/>
  <c r="L39" i="47" s="1"/>
  <c r="K38" i="47"/>
  <c r="L38" i="47" s="1"/>
  <c r="K40" i="46"/>
  <c r="L40" i="46" s="1"/>
  <c r="K39" i="46"/>
  <c r="L39" i="46" s="1"/>
  <c r="I39" i="45"/>
  <c r="I39" i="44"/>
  <c r="I43" i="37"/>
  <c r="I42" i="40"/>
  <c r="K39" i="39"/>
  <c r="L39" i="39" s="1"/>
  <c r="I42" i="36"/>
  <c r="K40" i="33"/>
  <c r="L40" i="33" s="1"/>
  <c r="I41" i="33"/>
  <c r="K41" i="33" s="1"/>
  <c r="L41" i="33" s="1"/>
  <c r="I40" i="32"/>
  <c r="K40" i="32" s="1"/>
  <c r="L40" i="32" s="1"/>
  <c r="K42" i="36" l="1"/>
  <c r="L42" i="36" s="1"/>
  <c r="G26" i="52"/>
  <c r="H26" i="52" s="1"/>
  <c r="I26" i="52" s="1"/>
  <c r="K39" i="48"/>
  <c r="F30" i="52"/>
  <c r="H30" i="52" s="1"/>
  <c r="I30" i="52" s="1"/>
  <c r="K39" i="44"/>
  <c r="L39" i="44" s="1"/>
  <c r="G29" i="51"/>
  <c r="H29" i="51" s="1"/>
  <c r="I29" i="51" s="1"/>
  <c r="K39" i="38"/>
  <c r="L39" i="38" s="1"/>
  <c r="G28" i="51"/>
  <c r="H28" i="51" s="1"/>
  <c r="I28" i="51" s="1"/>
  <c r="K42" i="40"/>
  <c r="L42" i="40" s="1"/>
  <c r="G28" i="53"/>
  <c r="H28" i="53" s="1"/>
  <c r="I28" i="53" s="1"/>
  <c r="K39" i="45"/>
  <c r="L39" i="45" s="1"/>
  <c r="G29" i="52"/>
  <c r="H29" i="52" s="1"/>
  <c r="I29" i="52" s="1"/>
  <c r="K43" i="37"/>
  <c r="L43" i="37" s="1"/>
  <c r="G26" i="53"/>
  <c r="H26" i="53" s="1"/>
  <c r="I26" i="53" s="1"/>
  <c r="L39" i="48"/>
  <c r="I42" i="33"/>
  <c r="I41" i="32"/>
  <c r="K41" i="32" s="1"/>
  <c r="L41" i="32" s="1"/>
  <c r="K42" i="33" l="1"/>
  <c r="L42" i="33" s="1"/>
  <c r="G24" i="52"/>
  <c r="H24" i="52" s="1"/>
  <c r="I24" i="52" s="1"/>
  <c r="I42" i="32"/>
  <c r="K42" i="32" l="1"/>
  <c r="L42" i="32" s="1"/>
  <c r="G24" i="51"/>
  <c r="H24" i="51" s="1"/>
  <c r="I24" i="51" s="1"/>
</calcChain>
</file>

<file path=xl/sharedStrings.xml><?xml version="1.0" encoding="utf-8"?>
<sst xmlns="http://schemas.openxmlformats.org/spreadsheetml/2006/main" count="1432" uniqueCount="107">
  <si>
    <t>Monthly Rates and Charges</t>
  </si>
  <si>
    <t>Monthly Service Charge</t>
  </si>
  <si>
    <t>Distribution Volumetric Rate</t>
  </si>
  <si>
    <t>Retail Transmission Rate - Network Service Rate</t>
  </si>
  <si>
    <t>Retail Transmission Rate - Line and Transformation Connection Service Rate</t>
  </si>
  <si>
    <t>Wholesale Market Service Rate</t>
  </si>
  <si>
    <t>Rural Rate Protection Charge</t>
  </si>
  <si>
    <t>Street Lighting</t>
  </si>
  <si>
    <t>$</t>
  </si>
  <si>
    <t>$/kWh</t>
  </si>
  <si>
    <t>$/kW</t>
  </si>
  <si>
    <t>Debt Retirement Charge</t>
  </si>
  <si>
    <t>%</t>
  </si>
  <si>
    <t>Loss Factor</t>
  </si>
  <si>
    <t>Metric</t>
  </si>
  <si>
    <t>Rate</t>
  </si>
  <si>
    <t>Charge</t>
  </si>
  <si>
    <t>General Service Less Than 50kW</t>
  </si>
  <si>
    <t>Standard Supply Service - Administrative Charge (if applicable)</t>
  </si>
  <si>
    <t>General Service 50kW to 4,999kW</t>
  </si>
  <si>
    <t xml:space="preserve">Unmetered Scattered Load </t>
  </si>
  <si>
    <t xml:space="preserve">Sentinel Lighting </t>
  </si>
  <si>
    <t>Service Charge</t>
  </si>
  <si>
    <t>Transformer Allowance for Ownership - per kW of billing demand/month</t>
  </si>
  <si>
    <t>Primary Metering Allowance for transformer losses - applied to measured demand and energy</t>
  </si>
  <si>
    <t>Total Loss Factor - Secondary Metered Customer &lt;5,000 kW</t>
  </si>
  <si>
    <t>Total Loss Factor - Primary Metered Customer &lt;5,000 kW</t>
  </si>
  <si>
    <t>Residential</t>
  </si>
  <si>
    <t>Allowances</t>
  </si>
  <si>
    <t>Volume / Demand</t>
  </si>
  <si>
    <t>HST</t>
  </si>
  <si>
    <t>OCEB</t>
  </si>
  <si>
    <t>Change</t>
  </si>
  <si>
    <t>Proposed</t>
  </si>
  <si>
    <t>Low Voltage Service Rate</t>
  </si>
  <si>
    <t>CNPI - Fort Erie Existing and Proposed Rates</t>
  </si>
  <si>
    <t>Sub-Total A (excluding pass through)</t>
  </si>
  <si>
    <t>Line Losses on Cost of Power</t>
  </si>
  <si>
    <t>TOU - Off Peak</t>
  </si>
  <si>
    <t>TOU - Mid Peak</t>
  </si>
  <si>
    <t>TOU - On Peak</t>
  </si>
  <si>
    <t>Common Tariffs</t>
  </si>
  <si>
    <t>Fort Erie</t>
  </si>
  <si>
    <t>Gananoque</t>
  </si>
  <si>
    <t>Port Colborne</t>
  </si>
  <si>
    <t>Smart Meter Entity Charge</t>
  </si>
  <si>
    <t>micro FIT Generator</t>
  </si>
  <si>
    <t>Monthly Service Charge (per customer)</t>
  </si>
  <si>
    <t>Monthly Service Charge (per connection)</t>
  </si>
  <si>
    <t>CNPI - Gananoque Existing and Proposed Rates</t>
  </si>
  <si>
    <t>CNPI - Port Colborne Existing and Proposed Rates</t>
  </si>
  <si>
    <t>Rate Rider for the Disposition of Deferred PILs Variance Account 1562 - effective until December 31, 2016</t>
  </si>
  <si>
    <t>CNPI - Fort Erie</t>
  </si>
  <si>
    <t>Total Loss factor</t>
  </si>
  <si>
    <t>Current Board Approved</t>
  </si>
  <si>
    <t>Impact</t>
  </si>
  <si>
    <t>Sub-Total B - Distribution (includes Sub-Total A)</t>
  </si>
  <si>
    <t>Sub-Total C  (includes Sub-Total B)</t>
  </si>
  <si>
    <t>Total Bill on TOU (before taxes)</t>
  </si>
  <si>
    <t>Total Bill including HST</t>
  </si>
  <si>
    <t>Total Bill on TOU (including OCEB)</t>
  </si>
  <si>
    <t>Number of Customers/Connections - Input Required</t>
  </si>
  <si>
    <t>Consumption - kWh - Input Required</t>
  </si>
  <si>
    <t>Demand - kW - Input Required</t>
  </si>
  <si>
    <t>Load Factor - % - Calculated</t>
  </si>
  <si>
    <t>Billing Component</t>
  </si>
  <si>
    <t>CNPI - Eastern Ontario Power</t>
  </si>
  <si>
    <t>CNPI - Port Colborne</t>
  </si>
  <si>
    <t>Energy Price</t>
  </si>
  <si>
    <t>Customer Classification and Billing Type</t>
  </si>
  <si>
    <t>Energy</t>
  </si>
  <si>
    <t>Demand</t>
  </si>
  <si>
    <t>Monthly Delivery Charge</t>
  </si>
  <si>
    <t>kWh</t>
  </si>
  <si>
    <t>kW</t>
  </si>
  <si>
    <t>Current</t>
  </si>
  <si>
    <t>Per Application</t>
  </si>
  <si>
    <t>GS&gt;50 kW</t>
  </si>
  <si>
    <t>USL</t>
  </si>
  <si>
    <t>Total Bill</t>
  </si>
  <si>
    <t>Canadian Niagara Power Inc.</t>
  </si>
  <si>
    <t>2015 4th Generation Incentive Rate-Setting</t>
  </si>
  <si>
    <t>Application</t>
  </si>
  <si>
    <t>2015 Distribution Bill Impact Module</t>
  </si>
  <si>
    <t>Rate Rider for Loss Revenue Adjustment Mechanism (LRAM) - effective until December 31, 2015</t>
  </si>
  <si>
    <t>Residential  RPP</t>
  </si>
  <si>
    <t>GS&lt;50 kW RPP</t>
  </si>
  <si>
    <t>Residential Non-RPP</t>
  </si>
  <si>
    <t>GS&lt;50 kW Non-RPP</t>
  </si>
  <si>
    <t>Rate Rider for Global Adjustment Sub-Account Disposition (2014) - effective until December 31, 2016 Applicable only for Non-RPP Customers</t>
  </si>
  <si>
    <t>Rate Rider for Deferral/Variance Account Disposition (2014) - effective until December 31, 2016</t>
  </si>
  <si>
    <t>EB-2015-0058</t>
  </si>
  <si>
    <t>Approved Rates 
EB-2014-0061</t>
  </si>
  <si>
    <t>Rate Rider for Deferral/Variance Account Disposition (2015) - effective until December 31, 2016</t>
  </si>
  <si>
    <t>Rate Rider for Global Adjustment Sub-Account Disposition (2015) - effective until December 31, 2016 Applicable only for Non-RPP Customers</t>
  </si>
  <si>
    <t>Rate Rider for Smart Meter Entity Charge - effective until October 31, 2018</t>
  </si>
  <si>
    <t>2016 Bill Impact</t>
  </si>
  <si>
    <t>Rate Rider for Deferral/Variance Account Disposition (2016) - effective until December 31, 2017</t>
  </si>
  <si>
    <t>Rate Rider for Global Adjustment Sub-Account Disposition (2016) - effective until December 31, 2017 Applicable only for Non-RPP Customers</t>
  </si>
  <si>
    <t>Draft Decision Rates
EB-2015-0058</t>
  </si>
  <si>
    <t>Ontario Electricity Support Program</t>
  </si>
  <si>
    <t>Response to Draft Decision</t>
  </si>
  <si>
    <t>December 4, 2015</t>
  </si>
  <si>
    <t>Non-RPP</t>
  </si>
  <si>
    <t>Selected Delivery Charge and Bill Impacts Per Draft Decision 
Fort Erie 2016</t>
  </si>
  <si>
    <t>Selected Delivery Charge and Bill Impacts Per Draft Decision
Gananoque 2016</t>
  </si>
  <si>
    <t>Selected Delivery Charge and Bill Impacts Per Draft Decision
Port Colborne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</si>
</sst>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00_);_(* \(#,##0.0000\);_(* &quot;-&quot;??_);_(@_)"/>
    <numFmt numFmtId="166" formatCode="0.0%"/>
    <numFmt numFmtId="167" formatCode="0.0000"/>
    <numFmt numFmtId="168" formatCode="_(* #,##0_);_(* \(#,##0\);_(* &quot;-&quot;??_);_(@_)"/>
    <numFmt numFmtId="169" formatCode="_-* #,##0_-;\-* #,##0_-;_-* &quot;-&quot;??_-;_-@_-"/>
    <numFmt numFmtId="170" formatCode="_(* #,##0.0_);_(* \(#,##0.0\);_(* &quot;-&quot;??_);_(@_)"/>
  </numFmts>
  <fonts count="10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26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23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164" fontId="0" fillId="0" borderId="0" xfId="1" applyFont="1"/>
    <xf numFmtId="165" fontId="0" fillId="0" borderId="0" xfId="1" applyNumberFormat="1" applyFont="1"/>
    <xf numFmtId="166" fontId="0" fillId="0" borderId="0" xfId="2" applyNumberFormat="1" applyFont="1"/>
    <xf numFmtId="166" fontId="0" fillId="0" borderId="0" xfId="0" applyNumberForma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0" fontId="0" fillId="0" borderId="0" xfId="2" applyNumberFormat="1" applyFont="1"/>
    <xf numFmtId="0" fontId="1" fillId="0" borderId="0" xfId="0" applyFont="1"/>
    <xf numFmtId="0" fontId="1" fillId="0" borderId="0" xfId="0" applyFont="1" applyAlignment="1">
      <alignment horizontal="center"/>
    </xf>
    <xf numFmtId="164" fontId="0" fillId="0" borderId="0" xfId="1" applyFont="1" applyFill="1"/>
    <xf numFmtId="165" fontId="0" fillId="0" borderId="0" xfId="1" applyNumberFormat="1" applyFont="1" applyFill="1"/>
    <xf numFmtId="0" fontId="0" fillId="0" borderId="0" xfId="0" applyFill="1"/>
    <xf numFmtId="9" fontId="0" fillId="0" borderId="0" xfId="2" applyFont="1" applyFill="1"/>
    <xf numFmtId="0" fontId="1" fillId="0" borderId="0" xfId="0" applyFont="1" applyAlignment="1">
      <alignment wrapText="1"/>
    </xf>
    <xf numFmtId="164" fontId="0" fillId="0" borderId="0" xfId="1" applyNumberFormat="1" applyFont="1"/>
    <xf numFmtId="167" fontId="0" fillId="0" borderId="0" xfId="0" applyNumberFormat="1"/>
    <xf numFmtId="9" fontId="0" fillId="0" borderId="0" xfId="2" applyFont="1"/>
    <xf numFmtId="0" fontId="0" fillId="0" borderId="0" xfId="0" applyAlignment="1">
      <alignment horizontal="center" vertical="center"/>
    </xf>
    <xf numFmtId="165" fontId="0" fillId="0" borderId="0" xfId="1" applyNumberFormat="1" applyFont="1" applyAlignment="1">
      <alignment vertical="center"/>
    </xf>
    <xf numFmtId="10" fontId="0" fillId="0" borderId="0" xfId="2" applyNumberFormat="1" applyFont="1" applyAlignment="1">
      <alignment vertical="center"/>
    </xf>
    <xf numFmtId="0" fontId="3" fillId="0" borderId="3" xfId="0" applyFont="1" applyBorder="1"/>
    <xf numFmtId="0" fontId="6" fillId="0" borderId="0" xfId="0" applyFont="1"/>
    <xf numFmtId="165" fontId="0" fillId="0" borderId="1" xfId="1" applyNumberFormat="1" applyFont="1" applyBorder="1"/>
    <xf numFmtId="0" fontId="1" fillId="0" borderId="10" xfId="0" applyFont="1" applyBorder="1"/>
    <xf numFmtId="165" fontId="0" fillId="0" borderId="12" xfId="1" applyNumberFormat="1" applyFont="1" applyBorder="1"/>
    <xf numFmtId="0" fontId="1" fillId="0" borderId="3" xfId="0" applyFont="1" applyBorder="1"/>
    <xf numFmtId="168" fontId="0" fillId="2" borderId="2" xfId="1" applyNumberFormat="1" applyFont="1" applyFill="1" applyBorder="1"/>
    <xf numFmtId="0" fontId="1" fillId="0" borderId="6" xfId="0" applyFont="1" applyBorder="1"/>
    <xf numFmtId="9" fontId="0" fillId="0" borderId="9" xfId="2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/>
    <xf numFmtId="164" fontId="0" fillId="0" borderId="1" xfId="1" applyNumberFormat="1" applyFont="1" applyBorder="1"/>
    <xf numFmtId="168" fontId="0" fillId="0" borderId="1" xfId="0" applyNumberFormat="1" applyBorder="1"/>
    <xf numFmtId="168" fontId="0" fillId="0" borderId="1" xfId="0" applyNumberFormat="1" applyFill="1" applyBorder="1"/>
    <xf numFmtId="164" fontId="0" fillId="0" borderId="1" xfId="0" applyNumberFormat="1" applyBorder="1"/>
    <xf numFmtId="169" fontId="0" fillId="0" borderId="1" xfId="0" applyNumberFormat="1" applyBorder="1"/>
    <xf numFmtId="9" fontId="0" fillId="0" borderId="1" xfId="0" applyNumberFormat="1" applyBorder="1"/>
    <xf numFmtId="43" fontId="0" fillId="0" borderId="1" xfId="0" applyNumberFormat="1" applyBorder="1"/>
    <xf numFmtId="0" fontId="0" fillId="0" borderId="4" xfId="0" applyBorder="1"/>
    <xf numFmtId="0" fontId="0" fillId="0" borderId="3" xfId="0" applyBorder="1"/>
    <xf numFmtId="0" fontId="0" fillId="0" borderId="0" xfId="0" applyBorder="1"/>
    <xf numFmtId="0" fontId="1" fillId="0" borderId="2" xfId="0" applyFont="1" applyBorder="1" applyAlignment="1">
      <alignment horizontal="center"/>
    </xf>
    <xf numFmtId="166" fontId="0" fillId="0" borderId="2" xfId="2" applyNumberFormat="1" applyFont="1" applyBorder="1"/>
    <xf numFmtId="0" fontId="0" fillId="0" borderId="3" xfId="0" applyBorder="1" applyAlignment="1">
      <alignment wrapText="1"/>
    </xf>
    <xf numFmtId="0" fontId="3" fillId="3" borderId="3" xfId="0" applyFont="1" applyFill="1" applyBorder="1"/>
    <xf numFmtId="165" fontId="0" fillId="3" borderId="1" xfId="1" applyNumberFormat="1" applyFont="1" applyFill="1" applyBorder="1"/>
    <xf numFmtId="0" fontId="0" fillId="3" borderId="1" xfId="0" applyFill="1" applyBorder="1"/>
    <xf numFmtId="164" fontId="0" fillId="3" borderId="1" xfId="0" applyNumberFormat="1" applyFill="1" applyBorder="1"/>
    <xf numFmtId="0" fontId="0" fillId="3" borderId="0" xfId="0" applyFill="1" applyBorder="1"/>
    <xf numFmtId="164" fontId="0" fillId="3" borderId="1" xfId="1" applyNumberFormat="1" applyFont="1" applyFill="1" applyBorder="1"/>
    <xf numFmtId="166" fontId="0" fillId="3" borderId="2" xfId="2" applyNumberFormat="1" applyFont="1" applyFill="1" applyBorder="1"/>
    <xf numFmtId="0" fontId="0" fillId="3" borderId="3" xfId="0" applyFill="1" applyBorder="1"/>
    <xf numFmtId="0" fontId="1" fillId="0" borderId="8" xfId="0" applyFont="1" applyBorder="1"/>
    <xf numFmtId="43" fontId="1" fillId="0" borderId="8" xfId="0" applyNumberFormat="1" applyFont="1" applyBorder="1"/>
    <xf numFmtId="0" fontId="1" fillId="0" borderId="7" xfId="0" applyFont="1" applyBorder="1"/>
    <xf numFmtId="164" fontId="1" fillId="0" borderId="8" xfId="1" applyNumberFormat="1" applyFont="1" applyBorder="1"/>
    <xf numFmtId="166" fontId="1" fillId="0" borderId="9" xfId="2" applyNumberFormat="1" applyFont="1" applyBorder="1"/>
    <xf numFmtId="170" fontId="0" fillId="2" borderId="2" xfId="1" applyNumberFormat="1" applyFont="1" applyFill="1" applyBorder="1"/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9" fillId="0" borderId="0" xfId="3" applyFont="1"/>
    <xf numFmtId="0" fontId="9" fillId="0" borderId="14" xfId="3" applyFont="1" applyBorder="1" applyAlignment="1">
      <alignment horizontal="center"/>
    </xf>
    <xf numFmtId="0" fontId="9" fillId="4" borderId="4" xfId="3" applyFont="1" applyFill="1" applyBorder="1"/>
    <xf numFmtId="0" fontId="9" fillId="0" borderId="16" xfId="3" applyFont="1" applyBorder="1" applyAlignment="1">
      <alignment horizontal="center"/>
    </xf>
    <xf numFmtId="0" fontId="9" fillId="4" borderId="0" xfId="3" applyFont="1" applyFill="1" applyBorder="1"/>
    <xf numFmtId="0" fontId="9" fillId="0" borderId="5" xfId="3" applyFont="1" applyBorder="1"/>
    <xf numFmtId="0" fontId="9" fillId="0" borderId="17" xfId="3" applyFont="1" applyBorder="1"/>
    <xf numFmtId="0" fontId="9" fillId="4" borderId="18" xfId="3" applyFont="1" applyFill="1" applyBorder="1"/>
    <xf numFmtId="0" fontId="9" fillId="0" borderId="1" xfId="3" applyFont="1" applyBorder="1" applyAlignment="1">
      <alignment horizontal="center"/>
    </xf>
    <xf numFmtId="0" fontId="9" fillId="0" borderId="2" xfId="3" applyFont="1" applyBorder="1" applyAlignment="1">
      <alignment horizontal="center"/>
    </xf>
    <xf numFmtId="0" fontId="9" fillId="0" borderId="3" xfId="3" applyFont="1" applyBorder="1"/>
    <xf numFmtId="168" fontId="9" fillId="0" borderId="1" xfId="1" applyNumberFormat="1" applyFont="1" applyBorder="1"/>
    <xf numFmtId="0" fontId="9" fillId="4" borderId="1" xfId="3" applyFont="1" applyFill="1" applyBorder="1"/>
    <xf numFmtId="44" fontId="9" fillId="0" borderId="1" xfId="3" applyNumberFormat="1" applyFont="1" applyBorder="1"/>
    <xf numFmtId="166" fontId="9" fillId="0" borderId="2" xfId="3" applyNumberFormat="1" applyFont="1" applyBorder="1" applyAlignment="1">
      <alignment horizontal="center"/>
    </xf>
    <xf numFmtId="168" fontId="9" fillId="4" borderId="1" xfId="1" applyNumberFormat="1" applyFont="1" applyFill="1" applyBorder="1"/>
    <xf numFmtId="0" fontId="9" fillId="4" borderId="19" xfId="3" applyFont="1" applyFill="1" applyBorder="1"/>
    <xf numFmtId="168" fontId="9" fillId="4" borderId="0" xfId="1" applyNumberFormat="1" applyFont="1" applyFill="1" applyBorder="1"/>
    <xf numFmtId="44" fontId="9" fillId="4" borderId="0" xfId="3" applyNumberFormat="1" applyFont="1" applyFill="1" applyBorder="1"/>
    <xf numFmtId="166" fontId="9" fillId="4" borderId="20" xfId="3" applyNumberFormat="1" applyFont="1" applyFill="1" applyBorder="1" applyAlignment="1">
      <alignment horizontal="center"/>
    </xf>
    <xf numFmtId="0" fontId="9" fillId="0" borderId="6" xfId="3" applyFont="1" applyBorder="1"/>
    <xf numFmtId="168" fontId="9" fillId="0" borderId="8" xfId="1" applyNumberFormat="1" applyFont="1" applyBorder="1"/>
    <xf numFmtId="0" fontId="9" fillId="4" borderId="7" xfId="3" applyFont="1" applyFill="1" applyBorder="1"/>
    <xf numFmtId="44" fontId="9" fillId="0" borderId="8" xfId="3" applyNumberFormat="1" applyFont="1" applyBorder="1"/>
    <xf numFmtId="166" fontId="9" fillId="0" borderId="9" xfId="3" applyNumberFormat="1" applyFont="1" applyBorder="1" applyAlignment="1">
      <alignment horizontal="center"/>
    </xf>
    <xf numFmtId="170" fontId="0" fillId="0" borderId="1" xfId="0" applyNumberFormat="1" applyBorder="1"/>
    <xf numFmtId="170" fontId="0" fillId="3" borderId="1" xfId="0" applyNumberFormat="1" applyFill="1" applyBorder="1"/>
    <xf numFmtId="170" fontId="0" fillId="0" borderId="1" xfId="0" applyNumberFormat="1" applyFill="1" applyBorder="1"/>
    <xf numFmtId="0" fontId="5" fillId="0" borderId="0" xfId="0" applyFont="1" applyAlignment="1">
      <alignment horizontal="center"/>
    </xf>
    <xf numFmtId="168" fontId="9" fillId="0" borderId="17" xfId="3" applyNumberFormat="1" applyFont="1" applyBorder="1"/>
    <xf numFmtId="43" fontId="9" fillId="0" borderId="1" xfId="3" applyNumberFormat="1" applyFont="1" applyBorder="1" applyAlignment="1">
      <alignment horizontal="center" vertical="center" wrapText="1"/>
    </xf>
    <xf numFmtId="0" fontId="9" fillId="0" borderId="14" xfId="3" applyFont="1" applyBorder="1" applyAlignment="1">
      <alignment horizontal="center" vertical="center"/>
    </xf>
    <xf numFmtId="0" fontId="9" fillId="0" borderId="16" xfId="3" applyFont="1" applyBorder="1" applyAlignment="1">
      <alignment horizontal="center" vertical="center"/>
    </xf>
    <xf numFmtId="164" fontId="9" fillId="0" borderId="1" xfId="1" applyNumberFormat="1" applyFont="1" applyBorder="1"/>
    <xf numFmtId="49" fontId="5" fillId="0" borderId="0" xfId="0" quotePrefix="1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quotePrefix="1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8" fillId="0" borderId="0" xfId="3" applyFont="1" applyBorder="1" applyAlignment="1">
      <alignment horizontal="center" vertical="center" wrapText="1"/>
    </xf>
    <xf numFmtId="0" fontId="8" fillId="0" borderId="7" xfId="3" applyFont="1" applyBorder="1" applyAlignment="1">
      <alignment horizontal="center" vertical="center" wrapText="1"/>
    </xf>
    <xf numFmtId="0" fontId="9" fillId="0" borderId="13" xfId="3" applyFont="1" applyBorder="1" applyAlignment="1">
      <alignment horizontal="center" wrapText="1"/>
    </xf>
    <xf numFmtId="0" fontId="9" fillId="0" borderId="15" xfId="3" applyFont="1" applyBorder="1" applyAlignment="1">
      <alignment horizontal="center" wrapText="1"/>
    </xf>
    <xf numFmtId="0" fontId="7" fillId="0" borderId="11" xfId="3" applyFont="1" applyBorder="1" applyAlignment="1">
      <alignment horizontal="center" vertical="center"/>
    </xf>
    <xf numFmtId="0" fontId="7" fillId="0" borderId="12" xfId="3" applyFont="1" applyBorder="1" applyAlignment="1">
      <alignment horizontal="center" vertical="center"/>
    </xf>
    <xf numFmtId="0" fontId="9" fillId="0" borderId="21" xfId="3" applyFont="1" applyBorder="1" applyAlignment="1">
      <alignment horizontal="center" vertical="center"/>
    </xf>
    <xf numFmtId="0" fontId="9" fillId="0" borderId="17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/>
    </xf>
    <xf numFmtId="0" fontId="9" fillId="0" borderId="2" xfId="3" applyFont="1" applyBorder="1" applyAlignment="1">
      <alignment horizontal="center" vertical="center"/>
    </xf>
    <xf numFmtId="0" fontId="9" fillId="0" borderId="13" xfId="3" applyFont="1" applyBorder="1" applyAlignment="1">
      <alignment horizontal="center" vertical="center" wrapText="1"/>
    </xf>
    <xf numFmtId="0" fontId="9" fillId="0" borderId="15" xfId="3" applyFont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590550</xdr:colOff>
      <xdr:row>9</xdr:row>
      <xdr:rowOff>142875</xdr:rowOff>
    </xdr:from>
    <xdr:to>
      <xdr:col>8</xdr:col>
      <xdr:colOff>1085850</xdr:colOff>
      <xdr:row>15</xdr:row>
      <xdr:rowOff>123825</xdr:rowOff>
    </xdr:to>
    <xdr:pic>
      <xdr:nvPicPr>
        <xdr:cNvPr id="1052" name="Picture 2" descr="CNP FORTIS 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600200"/>
          <a:ext cx="354330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20:I30"/>
  <sheetViews>
    <sheetView showGridLines="0" tabSelected="1" topLeftCell="A13" workbookViewId="0">
      <selection activeCell="G40" sqref="G40"/>
    </sheetView>
  </sheetViews>
  <sheetFormatPr defaultRowHeight="12.75" x14ac:dyDescent="0.2"/>
  <cols>
    <col min="1" max="1" width="5" customWidth="1"/>
    <col min="9" max="9" width="47" customWidth="1"/>
  </cols>
  <sheetData>
    <row r="20" spans="2:9" ht="33.75" x14ac:dyDescent="0.5">
      <c r="B20" s="101" t="s">
        <v>80</v>
      </c>
      <c r="C20" s="101"/>
      <c r="D20" s="101"/>
      <c r="E20" s="101"/>
      <c r="F20" s="101"/>
      <c r="G20" s="101"/>
      <c r="H20" s="101"/>
      <c r="I20" s="101"/>
    </row>
    <row r="21" spans="2:9" ht="33.75" x14ac:dyDescent="0.5">
      <c r="B21" s="101" t="s">
        <v>81</v>
      </c>
      <c r="C21" s="101"/>
      <c r="D21" s="101"/>
      <c r="E21" s="101"/>
      <c r="F21" s="101"/>
      <c r="G21" s="101"/>
      <c r="H21" s="101"/>
      <c r="I21" s="101"/>
    </row>
    <row r="22" spans="2:9" ht="33.75" x14ac:dyDescent="0.5">
      <c r="B22" s="101" t="s">
        <v>82</v>
      </c>
      <c r="C22" s="101"/>
      <c r="D22" s="101"/>
      <c r="E22" s="101"/>
      <c r="F22" s="101"/>
      <c r="G22" s="101"/>
      <c r="H22" s="101"/>
      <c r="I22" s="101"/>
    </row>
    <row r="23" spans="2:9" ht="33.75" x14ac:dyDescent="0.5">
      <c r="B23" s="94"/>
      <c r="C23" s="94"/>
      <c r="D23" s="94"/>
      <c r="E23" s="94"/>
      <c r="F23" s="94"/>
      <c r="G23" s="94"/>
      <c r="H23" s="94"/>
      <c r="I23" s="94"/>
    </row>
    <row r="24" spans="2:9" ht="33.75" x14ac:dyDescent="0.5">
      <c r="B24" s="101" t="s">
        <v>83</v>
      </c>
      <c r="C24" s="101"/>
      <c r="D24" s="101"/>
      <c r="E24" s="101"/>
      <c r="F24" s="101"/>
      <c r="G24" s="101"/>
      <c r="H24" s="101"/>
      <c r="I24" s="101"/>
    </row>
    <row r="28" spans="2:9" ht="33.75" x14ac:dyDescent="0.5">
      <c r="B28" s="101" t="s">
        <v>91</v>
      </c>
      <c r="C28" s="101"/>
      <c r="D28" s="101"/>
      <c r="E28" s="101"/>
      <c r="F28" s="101"/>
      <c r="G28" s="101"/>
      <c r="H28" s="101"/>
      <c r="I28" s="101"/>
    </row>
    <row r="29" spans="2:9" ht="33.75" x14ac:dyDescent="0.5">
      <c r="B29" s="101" t="s">
        <v>101</v>
      </c>
      <c r="C29" s="102"/>
      <c r="D29" s="102"/>
      <c r="E29" s="102"/>
      <c r="F29" s="102"/>
      <c r="G29" s="102"/>
      <c r="H29" s="102"/>
      <c r="I29" s="102"/>
    </row>
    <row r="30" spans="2:9" ht="33.75" x14ac:dyDescent="0.5">
      <c r="B30" s="100" t="s">
        <v>102</v>
      </c>
      <c r="C30" s="100"/>
      <c r="D30" s="100"/>
      <c r="E30" s="100"/>
      <c r="F30" s="100"/>
      <c r="G30" s="100"/>
      <c r="H30" s="100"/>
      <c r="I30" s="100"/>
    </row>
  </sheetData>
  <mergeCells count="7">
    <mergeCell ref="B30:I30"/>
    <mergeCell ref="B29:I29"/>
    <mergeCell ref="B20:I20"/>
    <mergeCell ref="B24:I24"/>
    <mergeCell ref="B21:I21"/>
    <mergeCell ref="B28:I28"/>
    <mergeCell ref="B22:I22"/>
  </mergeCells>
  <phoneticPr fontId="2" type="noConversion"/>
  <pageMargins left="0.74803149606299213" right="0.74803149606299213" top="0.98425196850393704" bottom="0.98425196850393704" header="0.51181102362204722" footer="0.51181102362204722"/>
  <pageSetup scale="77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L39"/>
  <sheetViews>
    <sheetView showGridLines="0" workbookViewId="0">
      <selection activeCell="C39" sqref="C39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Rates!B3</f>
        <v>CNPI - Fort Erie</v>
      </c>
    </row>
    <row r="3" spans="2:12" ht="15.75" x14ac:dyDescent="0.25">
      <c r="B3" s="24" t="str">
        <f>Rates!B55</f>
        <v xml:space="preserve">Sentinel Lighting 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60</v>
      </c>
    </row>
    <row r="8" spans="2:12" x14ac:dyDescent="0.2">
      <c r="B8" s="28" t="s">
        <v>63</v>
      </c>
      <c r="C8" s="62">
        <v>0.2</v>
      </c>
    </row>
    <row r="9" spans="2:12" ht="13.5" thickBot="1" x14ac:dyDescent="0.25">
      <c r="B9" s="30" t="s">
        <v>64</v>
      </c>
      <c r="C9" s="31">
        <f>IF(C8=0,"n/a",C7/(C8*24*365/12))</f>
        <v>0.41095890410958896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Rates!E56</f>
        <v>5.17</v>
      </c>
      <c r="D14" s="37">
        <f>C6</f>
        <v>1</v>
      </c>
      <c r="E14" s="36">
        <f>C14*D14</f>
        <v>5.17</v>
      </c>
      <c r="F14" s="45"/>
      <c r="G14" s="36">
        <f>Rates!I56</f>
        <v>5.09</v>
      </c>
      <c r="H14" s="37">
        <f>D14</f>
        <v>1</v>
      </c>
      <c r="I14" s="36">
        <f>G14*H14</f>
        <v>5.09</v>
      </c>
      <c r="J14" s="45"/>
      <c r="K14" s="36">
        <f>I14-E14</f>
        <v>-8.0000000000000071E-2</v>
      </c>
      <c r="L14" s="47">
        <f>IF((E14)=0," ",K14/E14)</f>
        <v>-1.547388781431336E-2</v>
      </c>
    </row>
    <row r="15" spans="2:12" x14ac:dyDescent="0.2">
      <c r="B15" s="44" t="str">
        <f>Rates!B8</f>
        <v>Distribution Volumetric Rate</v>
      </c>
      <c r="C15" s="25">
        <f>Rates!E57</f>
        <v>4.9564000000000004</v>
      </c>
      <c r="D15" s="38">
        <f>C8</f>
        <v>0.2</v>
      </c>
      <c r="E15" s="36">
        <f t="shared" ref="E15" si="0">C15*D15</f>
        <v>0.99128000000000016</v>
      </c>
      <c r="F15" s="45"/>
      <c r="G15" s="25">
        <f>Rates!I57</f>
        <v>5.9009999999999998</v>
      </c>
      <c r="H15" s="38">
        <f>D15</f>
        <v>0.2</v>
      </c>
      <c r="I15" s="36">
        <f t="shared" ref="I15" si="1">G15*H15</f>
        <v>1.1801999999999999</v>
      </c>
      <c r="J15" s="45"/>
      <c r="K15" s="36">
        <f t="shared" ref="K15:K39" si="2">I15-E15</f>
        <v>0.18891999999999975</v>
      </c>
      <c r="L15" s="47">
        <f t="shared" ref="L15:L39" si="3">IF((E15)=0," ",K15/E15)</f>
        <v>0.19058187394076317</v>
      </c>
    </row>
    <row r="16" spans="2:12" x14ac:dyDescent="0.2">
      <c r="B16" s="49" t="s">
        <v>36</v>
      </c>
      <c r="C16" s="50"/>
      <c r="D16" s="51"/>
      <c r="E16" s="52">
        <f>SUM(E14:E15)</f>
        <v>6.1612799999999996</v>
      </c>
      <c r="F16" s="53"/>
      <c r="G16" s="50"/>
      <c r="H16" s="51"/>
      <c r="I16" s="52">
        <f>SUM(I14:I15)</f>
        <v>6.2702</v>
      </c>
      <c r="J16" s="53"/>
      <c r="K16" s="54">
        <f t="shared" si="2"/>
        <v>0.10892000000000035</v>
      </c>
      <c r="L16" s="55">
        <f t="shared" si="3"/>
        <v>1.7678144801080351E-2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3.2520000000000016</v>
      </c>
      <c r="E17" s="36">
        <f t="shared" ref="E17:E23" si="4">C17*D17</f>
        <v>0.3501103200000002</v>
      </c>
      <c r="F17" s="45"/>
      <c r="G17" s="25">
        <f>Rates!I267</f>
        <v>0.10766000000000001</v>
      </c>
      <c r="H17" s="40">
        <f>(C5-1)*C7</f>
        <v>3.2520000000000016</v>
      </c>
      <c r="I17" s="36">
        <f t="shared" ref="I17:I23" si="5">G17*H17</f>
        <v>0.3501103200000002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Rates!B59</f>
        <v>Rate Rider for Deferral/Variance Account Disposition (2014) - effective until December 31, 2016</v>
      </c>
      <c r="C18" s="25">
        <f>Rates!E59</f>
        <v>0.1459</v>
      </c>
      <c r="D18" s="91">
        <f>C8</f>
        <v>0.2</v>
      </c>
      <c r="E18" s="36">
        <f t="shared" si="4"/>
        <v>2.9180000000000001E-2</v>
      </c>
      <c r="F18" s="45"/>
      <c r="G18" s="25">
        <f>Rates!I59</f>
        <v>0.1459</v>
      </c>
      <c r="H18" s="91">
        <f t="shared" ref="H18:H23" si="6">D18</f>
        <v>0.2</v>
      </c>
      <c r="I18" s="36">
        <f t="shared" si="5"/>
        <v>2.9180000000000001E-2</v>
      </c>
      <c r="J18" s="45"/>
      <c r="K18" s="36">
        <f t="shared" ref="K18:K22" si="7">I18-E18</f>
        <v>0</v>
      </c>
      <c r="L18" s="47">
        <f t="shared" ref="L18:L22" si="8">IF((E18)=0," ",K18/E18)</f>
        <v>0</v>
      </c>
    </row>
    <row r="19" spans="2:12" ht="25.5" x14ac:dyDescent="0.2">
      <c r="B19" s="48" t="str">
        <f>Rates!B60</f>
        <v>Rate Rider for Global Adjustment Sub-Account Disposition (2014) - effective until December 31, 2016 Applicable only for Non-RPP Customers</v>
      </c>
      <c r="C19" s="25">
        <f>Rates!E60</f>
        <v>-0.4758</v>
      </c>
      <c r="D19" s="91">
        <f>C8</f>
        <v>0.2</v>
      </c>
      <c r="E19" s="36">
        <f t="shared" si="4"/>
        <v>-9.5160000000000008E-2</v>
      </c>
      <c r="F19" s="45"/>
      <c r="G19" s="25">
        <f>Rates!I60</f>
        <v>-0.4758</v>
      </c>
      <c r="H19" s="91">
        <f t="shared" si="6"/>
        <v>0.2</v>
      </c>
      <c r="I19" s="36">
        <f t="shared" si="5"/>
        <v>-9.5160000000000008E-2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Rates!B61</f>
        <v>Rate Rider for Deferral/Variance Account Disposition (2016) - effective until December 31, 2017</v>
      </c>
      <c r="C20" s="25">
        <f>Rates!E61</f>
        <v>0</v>
      </c>
      <c r="D20" s="91">
        <f>C8</f>
        <v>0.2</v>
      </c>
      <c r="E20" s="36">
        <f t="shared" si="4"/>
        <v>0</v>
      </c>
      <c r="F20" s="45"/>
      <c r="G20" s="25">
        <f>Rates!I61</f>
        <v>-0.1318</v>
      </c>
      <c r="H20" s="91">
        <f t="shared" si="6"/>
        <v>0.2</v>
      </c>
      <c r="I20" s="36">
        <f t="shared" si="5"/>
        <v>-2.6360000000000001E-2</v>
      </c>
      <c r="J20" s="45"/>
      <c r="K20" s="36">
        <f t="shared" ref="K20:K21" si="9">I20-E20</f>
        <v>-2.6360000000000001E-2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Rates!B62</f>
        <v>Rate Rider for Global Adjustment Sub-Account Disposition (2016) - effective until December 31, 2017 Applicable only for Non-RPP Customers</v>
      </c>
      <c r="C21" s="25">
        <f>Rates!E62</f>
        <v>0</v>
      </c>
      <c r="D21" s="91">
        <f>C8</f>
        <v>0.2</v>
      </c>
      <c r="E21" s="36">
        <f t="shared" si="4"/>
        <v>0</v>
      </c>
      <c r="F21" s="45"/>
      <c r="G21" s="25">
        <f>Rates!I62</f>
        <v>0</v>
      </c>
      <c r="H21" s="91">
        <f t="shared" si="6"/>
        <v>0.2</v>
      </c>
      <c r="I21" s="36">
        <f t="shared" si="5"/>
        <v>0</v>
      </c>
      <c r="J21" s="45"/>
      <c r="K21" s="36">
        <f t="shared" si="9"/>
        <v>0</v>
      </c>
      <c r="L21" s="47" t="str">
        <f t="shared" si="10"/>
        <v xml:space="preserve"> </v>
      </c>
    </row>
    <row r="22" spans="2:12" x14ac:dyDescent="0.2">
      <c r="B22" s="48" t="str">
        <f>Rates!B63</f>
        <v>Rate Rider for Loss Revenue Adjustment Mechanism (LRAM) - effective until December 31, 2015</v>
      </c>
      <c r="C22" s="25">
        <f>Rates!E63</f>
        <v>0</v>
      </c>
      <c r="D22" s="91">
        <f>C8</f>
        <v>0.2</v>
      </c>
      <c r="E22" s="36">
        <f t="shared" si="4"/>
        <v>0</v>
      </c>
      <c r="F22" s="45"/>
      <c r="G22" s="25">
        <f>Rates!I63</f>
        <v>0</v>
      </c>
      <c r="H22" s="91">
        <f t="shared" si="6"/>
        <v>0.2</v>
      </c>
      <c r="I22" s="36">
        <f t="shared" si="5"/>
        <v>0</v>
      </c>
      <c r="J22" s="45"/>
      <c r="K22" s="36">
        <f t="shared" si="7"/>
        <v>0</v>
      </c>
      <c r="L22" s="47" t="str">
        <f t="shared" si="8"/>
        <v xml:space="preserve"> </v>
      </c>
    </row>
    <row r="23" spans="2:12" x14ac:dyDescent="0.2">
      <c r="B23" s="44" t="str">
        <f>Rates!B9</f>
        <v>Low Voltage Service Rate</v>
      </c>
      <c r="C23" s="25">
        <f>Rates!E58</f>
        <v>5.4199999999999998E-2</v>
      </c>
      <c r="D23" s="91">
        <f>C8</f>
        <v>0.2</v>
      </c>
      <c r="E23" s="36">
        <f t="shared" si="4"/>
        <v>1.0840000000000001E-2</v>
      </c>
      <c r="F23" s="45"/>
      <c r="G23" s="25">
        <f>Rates!I58</f>
        <v>5.4199999999999998E-2</v>
      </c>
      <c r="H23" s="91">
        <f t="shared" si="6"/>
        <v>0.2</v>
      </c>
      <c r="I23" s="36">
        <f t="shared" si="5"/>
        <v>1.0840000000000001E-2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9" t="s">
        <v>56</v>
      </c>
      <c r="C24" s="50"/>
      <c r="D24" s="92"/>
      <c r="E24" s="52">
        <f>SUM(E16:E23)</f>
        <v>6.4562503200000005</v>
      </c>
      <c r="F24" s="53"/>
      <c r="G24" s="50"/>
      <c r="H24" s="92"/>
      <c r="I24" s="52">
        <f>SUM(I16:I23)</f>
        <v>6.5388103199999996</v>
      </c>
      <c r="J24" s="53"/>
      <c r="K24" s="54">
        <f t="shared" si="2"/>
        <v>8.2559999999999079E-2</v>
      </c>
      <c r="L24" s="55">
        <f t="shared" si="3"/>
        <v>1.2787608272288779E-2</v>
      </c>
    </row>
    <row r="25" spans="2:12" x14ac:dyDescent="0.2">
      <c r="B25" s="44" t="str">
        <f>Rates!B15</f>
        <v>Retail Transmission Rate - Network Service Rate</v>
      </c>
      <c r="C25" s="25">
        <f>Rates!E64</f>
        <v>2.2526999999999999</v>
      </c>
      <c r="D25" s="91">
        <f>C8</f>
        <v>0.2</v>
      </c>
      <c r="E25" s="36">
        <f>C25*D25</f>
        <v>0.45054</v>
      </c>
      <c r="F25" s="45"/>
      <c r="G25" s="25">
        <f>Rates!I64</f>
        <v>2.2128999999999999</v>
      </c>
      <c r="H25" s="91">
        <f>D25</f>
        <v>0.2</v>
      </c>
      <c r="I25" s="36">
        <f>G25*H25</f>
        <v>0.44257999999999997</v>
      </c>
      <c r="J25" s="45"/>
      <c r="K25" s="36">
        <f t="shared" si="2"/>
        <v>-7.9600000000000226E-3</v>
      </c>
      <c r="L25" s="47">
        <f t="shared" si="3"/>
        <v>-1.7667687663692509E-2</v>
      </c>
    </row>
    <row r="26" spans="2:12" x14ac:dyDescent="0.2">
      <c r="B26" s="44" t="str">
        <f>Rates!B16</f>
        <v>Retail Transmission Rate - Line and Transformation Connection Service Rate</v>
      </c>
      <c r="C26" s="25">
        <f>Rates!E65</f>
        <v>1.6578999999999999</v>
      </c>
      <c r="D26" s="91">
        <f>C8</f>
        <v>0.2</v>
      </c>
      <c r="E26" s="36">
        <f>C26*D26</f>
        <v>0.33157999999999999</v>
      </c>
      <c r="F26" s="45"/>
      <c r="G26" s="25">
        <f>Rates!I65</f>
        <v>1.6977</v>
      </c>
      <c r="H26" s="91">
        <f>D26</f>
        <v>0.2</v>
      </c>
      <c r="I26" s="36">
        <f>G26*H26</f>
        <v>0.33954000000000001</v>
      </c>
      <c r="J26" s="45"/>
      <c r="K26" s="36">
        <f t="shared" si="2"/>
        <v>7.9600000000000226E-3</v>
      </c>
      <c r="L26" s="47">
        <f t="shared" si="3"/>
        <v>2.4006272995958811E-2</v>
      </c>
    </row>
    <row r="27" spans="2:12" x14ac:dyDescent="0.2">
      <c r="B27" s="49" t="s">
        <v>57</v>
      </c>
      <c r="C27" s="50"/>
      <c r="D27" s="51"/>
      <c r="E27" s="52">
        <f>SUM(E24:E26)</f>
        <v>7.2383703200000005</v>
      </c>
      <c r="F27" s="53"/>
      <c r="G27" s="50"/>
      <c r="H27" s="52"/>
      <c r="I27" s="52">
        <f>SUM(I24:I26)</f>
        <v>7.3209303199999995</v>
      </c>
      <c r="J27" s="53"/>
      <c r="K27" s="54">
        <f t="shared" si="2"/>
        <v>8.2559999999999079E-2</v>
      </c>
      <c r="L27" s="55">
        <f t="shared" si="3"/>
        <v>1.140588231191784E-2</v>
      </c>
    </row>
    <row r="28" spans="2:12" x14ac:dyDescent="0.2">
      <c r="B28" s="44" t="str">
        <f>Rates!B244</f>
        <v>Wholesale Market Service Rate</v>
      </c>
      <c r="C28" s="25">
        <f>Rates!E244</f>
        <v>4.4000000000000003E-3</v>
      </c>
      <c r="D28" s="37">
        <f>C5*C7</f>
        <v>63.252000000000002</v>
      </c>
      <c r="E28" s="36">
        <f t="shared" ref="E28:E33" si="11">C28*D28</f>
        <v>0.27830880000000002</v>
      </c>
      <c r="F28" s="45"/>
      <c r="G28" s="25">
        <f>Rates!I244</f>
        <v>3.5999999999999999E-3</v>
      </c>
      <c r="H28" s="37">
        <f>D28</f>
        <v>63.252000000000002</v>
      </c>
      <c r="I28" s="36">
        <f t="shared" ref="I28:I33" si="12">G28*H28</f>
        <v>0.2277072</v>
      </c>
      <c r="J28" s="45"/>
      <c r="K28" s="36">
        <f t="shared" si="2"/>
        <v>-5.0601600000000024E-2</v>
      </c>
      <c r="L28" s="47">
        <f t="shared" si="3"/>
        <v>-0.18181818181818188</v>
      </c>
    </row>
    <row r="29" spans="2:12" x14ac:dyDescent="0.2">
      <c r="B29" s="44" t="str">
        <f>Rates!B245</f>
        <v>Rural Rate Protection Charge</v>
      </c>
      <c r="C29" s="25">
        <f>Rates!E245</f>
        <v>1.2999999999999999E-3</v>
      </c>
      <c r="D29" s="37">
        <f>C5*C7</f>
        <v>63.252000000000002</v>
      </c>
      <c r="E29" s="36">
        <f t="shared" si="11"/>
        <v>8.2227599999999998E-2</v>
      </c>
      <c r="F29" s="45"/>
      <c r="G29" s="25">
        <f>Rates!I245</f>
        <v>1.2999999999999999E-3</v>
      </c>
      <c r="H29" s="37">
        <f t="shared" ref="H29:H30" si="13">D29</f>
        <v>63.252000000000002</v>
      </c>
      <c r="I29" s="36">
        <f t="shared" si="12"/>
        <v>8.2227599999999998E-2</v>
      </c>
      <c r="J29" s="45"/>
      <c r="K29" s="36">
        <f t="shared" si="2"/>
        <v>0</v>
      </c>
      <c r="L29" s="47">
        <f t="shared" si="3"/>
        <v>0</v>
      </c>
    </row>
    <row r="30" spans="2:12" x14ac:dyDescent="0.2">
      <c r="B30" s="44" t="str">
        <f>Rates!B247</f>
        <v>Standard Supply Service - Administrative Charge (if applicable)</v>
      </c>
      <c r="C30" s="36">
        <f>Rates!E247</f>
        <v>0.25</v>
      </c>
      <c r="D30" s="37">
        <v>1</v>
      </c>
      <c r="E30" s="36">
        <f t="shared" si="11"/>
        <v>0.25</v>
      </c>
      <c r="F30" s="45"/>
      <c r="G30" s="36">
        <f>Rates!I247</f>
        <v>0.25</v>
      </c>
      <c r="H30" s="37">
        <f t="shared" si="13"/>
        <v>1</v>
      </c>
      <c r="I30" s="36">
        <f t="shared" si="12"/>
        <v>0.25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Rates!B250</f>
        <v>Debt Retirement Charge</v>
      </c>
      <c r="C31" s="25">
        <f>Rates!E251</f>
        <v>0</v>
      </c>
      <c r="D31" s="37">
        <f>C7</f>
        <v>60</v>
      </c>
      <c r="E31" s="36">
        <f t="shared" si="11"/>
        <v>0</v>
      </c>
      <c r="F31" s="45"/>
      <c r="G31" s="25">
        <f>Rates!I251</f>
        <v>0</v>
      </c>
      <c r="H31" s="37">
        <f>D31</f>
        <v>60</v>
      </c>
      <c r="I31" s="36">
        <f t="shared" si="12"/>
        <v>0</v>
      </c>
      <c r="J31" s="45"/>
      <c r="K31" s="36">
        <f t="shared" si="2"/>
        <v>0</v>
      </c>
      <c r="L31" s="47" t="str">
        <f t="shared" si="3"/>
        <v xml:space="preserve"> </v>
      </c>
    </row>
    <row r="32" spans="2:12" x14ac:dyDescent="0.2">
      <c r="B32" s="44" t="str">
        <f>Rates!B246</f>
        <v>Ontario Electricity Support Program</v>
      </c>
      <c r="C32" s="25"/>
      <c r="D32" s="37"/>
      <c r="E32" s="36"/>
      <c r="F32" s="45"/>
      <c r="G32" s="25">
        <f>Rates!I246</f>
        <v>1.1000000000000001E-3</v>
      </c>
      <c r="H32" s="37">
        <f>C7</f>
        <v>60</v>
      </c>
      <c r="I32" s="36">
        <f t="shared" si="12"/>
        <v>6.6000000000000003E-2</v>
      </c>
      <c r="J32" s="45"/>
      <c r="K32" s="36"/>
      <c r="L32" s="47"/>
    </row>
    <row r="33" spans="2:12" x14ac:dyDescent="0.2">
      <c r="B33" s="44" t="str">
        <f>Rates!B267</f>
        <v>Energy Price</v>
      </c>
      <c r="C33" s="25">
        <f>Rates!E267</f>
        <v>0.10766000000000001</v>
      </c>
      <c r="D33" s="37">
        <f>C7*0.64</f>
        <v>38.4</v>
      </c>
      <c r="E33" s="36">
        <f t="shared" si="11"/>
        <v>4.134144</v>
      </c>
      <c r="F33" s="45"/>
      <c r="G33" s="25">
        <f>Rates!I267</f>
        <v>0.10766000000000001</v>
      </c>
      <c r="H33" s="37">
        <f>D33</f>
        <v>38.4</v>
      </c>
      <c r="I33" s="36">
        <f t="shared" si="12"/>
        <v>4.134144</v>
      </c>
      <c r="J33" s="45"/>
      <c r="K33" s="36">
        <f t="shared" si="2"/>
        <v>0</v>
      </c>
      <c r="L33" s="47">
        <f t="shared" si="3"/>
        <v>0</v>
      </c>
    </row>
    <row r="34" spans="2:12" x14ac:dyDescent="0.2">
      <c r="B34" s="56"/>
      <c r="C34" s="51"/>
      <c r="D34" s="51"/>
      <c r="E34" s="51"/>
      <c r="F34" s="53"/>
      <c r="G34" s="51"/>
      <c r="H34" s="51"/>
      <c r="I34" s="51"/>
      <c r="J34" s="53"/>
      <c r="K34" s="54"/>
      <c r="L34" s="55"/>
    </row>
    <row r="35" spans="2:12" x14ac:dyDescent="0.2">
      <c r="B35" s="23" t="s">
        <v>58</v>
      </c>
      <c r="C35" s="35"/>
      <c r="D35" s="35"/>
      <c r="E35" s="39">
        <f>SUM(E27:E33)</f>
        <v>11.983050720000001</v>
      </c>
      <c r="F35" s="45"/>
      <c r="G35" s="35"/>
      <c r="H35" s="39"/>
      <c r="I35" s="39">
        <f>SUM(I27:I33)</f>
        <v>12.081009120000001</v>
      </c>
      <c r="J35" s="45"/>
      <c r="K35" s="36">
        <f t="shared" si="2"/>
        <v>9.7958399999999557E-2</v>
      </c>
      <c r="L35" s="47">
        <f t="shared" si="3"/>
        <v>8.1747463387186227E-3</v>
      </c>
    </row>
    <row r="36" spans="2:12" x14ac:dyDescent="0.2">
      <c r="B36" s="44" t="str">
        <f>Rates!B269</f>
        <v>HST</v>
      </c>
      <c r="C36" s="41">
        <f>Rates!E269</f>
        <v>0.13</v>
      </c>
      <c r="D36" s="35"/>
      <c r="E36" s="42">
        <f>E35*C36</f>
        <v>1.5577965936000002</v>
      </c>
      <c r="F36" s="45"/>
      <c r="G36" s="41">
        <f>Rates!I269</f>
        <v>0.13</v>
      </c>
      <c r="H36" s="35"/>
      <c r="I36" s="42">
        <f>I35*G36</f>
        <v>1.5705311856000002</v>
      </c>
      <c r="J36" s="45"/>
      <c r="K36" s="36">
        <f t="shared" si="2"/>
        <v>1.2734591999999934E-2</v>
      </c>
      <c r="L36" s="47">
        <f t="shared" si="3"/>
        <v>8.1747463387186158E-3</v>
      </c>
    </row>
    <row r="37" spans="2:12" x14ac:dyDescent="0.2">
      <c r="B37" s="23" t="s">
        <v>59</v>
      </c>
      <c r="C37" s="35"/>
      <c r="D37" s="35"/>
      <c r="E37" s="42">
        <f>E35+E36</f>
        <v>13.540847313600002</v>
      </c>
      <c r="F37" s="45"/>
      <c r="G37" s="35"/>
      <c r="H37" s="35"/>
      <c r="I37" s="42">
        <f>I35+I36</f>
        <v>13.651540305600001</v>
      </c>
      <c r="J37" s="45"/>
      <c r="K37" s="36">
        <f t="shared" si="2"/>
        <v>0.11069299199999882</v>
      </c>
      <c r="L37" s="47">
        <f t="shared" si="3"/>
        <v>8.1747463387185724E-3</v>
      </c>
    </row>
    <row r="38" spans="2:12" x14ac:dyDescent="0.2">
      <c r="B38" s="44" t="str">
        <f>Rates!B271</f>
        <v>OCEB</v>
      </c>
      <c r="C38" s="41">
        <f>Rates!E271</f>
        <v>-0.1</v>
      </c>
      <c r="D38" s="35"/>
      <c r="E38" s="42">
        <f>E37*C38</f>
        <v>-1.3540847313600004</v>
      </c>
      <c r="F38" s="45"/>
      <c r="G38" s="41">
        <f>Rates!I271</f>
        <v>0</v>
      </c>
      <c r="H38" s="35"/>
      <c r="I38" s="42">
        <f>I37*G38</f>
        <v>0</v>
      </c>
      <c r="J38" s="45"/>
      <c r="K38" s="36">
        <f t="shared" si="2"/>
        <v>1.3540847313600004</v>
      </c>
      <c r="L38" s="47">
        <f t="shared" si="3"/>
        <v>-1</v>
      </c>
    </row>
    <row r="39" spans="2:12" ht="13.5" thickBot="1" x14ac:dyDescent="0.25">
      <c r="B39" s="30" t="s">
        <v>60</v>
      </c>
      <c r="C39" s="57"/>
      <c r="D39" s="57"/>
      <c r="E39" s="58">
        <f>E37+E38</f>
        <v>12.186762582240002</v>
      </c>
      <c r="F39" s="59"/>
      <c r="G39" s="57"/>
      <c r="H39" s="57"/>
      <c r="I39" s="58">
        <f>I37+I38</f>
        <v>13.651540305600001</v>
      </c>
      <c r="J39" s="59"/>
      <c r="K39" s="60">
        <f t="shared" si="2"/>
        <v>1.4647777233599992</v>
      </c>
      <c r="L39" s="61">
        <f t="shared" si="3"/>
        <v>0.12019416259857621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L39"/>
  <sheetViews>
    <sheetView showGridLines="0" workbookViewId="0">
      <selection activeCell="C3" sqref="C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5" max="5" width="10.28515625" bestFit="1" customWidth="1"/>
    <col min="6" max="6" width="1.7109375" customWidth="1"/>
    <col min="9" max="9" width="10.28515625" bestFit="1" customWidth="1"/>
    <col min="10" max="10" width="1.7109375" customWidth="1"/>
    <col min="11" max="11" width="9.85546875" bestFit="1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Rates!B3</f>
        <v>CNPI - Fort Erie</v>
      </c>
    </row>
    <row r="3" spans="2:12" ht="15.75" x14ac:dyDescent="0.25">
      <c r="B3" s="24" t="str">
        <f>Rates!B67</f>
        <v>Street Lighting</v>
      </c>
      <c r="C3" s="1" t="s">
        <v>103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3600</v>
      </c>
    </row>
    <row r="7" spans="2:12" x14ac:dyDescent="0.2">
      <c r="B7" s="28" t="s">
        <v>62</v>
      </c>
      <c r="C7" s="29">
        <v>172000</v>
      </c>
    </row>
    <row r="8" spans="2:12" x14ac:dyDescent="0.2">
      <c r="B8" s="28" t="s">
        <v>63</v>
      </c>
      <c r="C8" s="62">
        <v>490</v>
      </c>
    </row>
    <row r="9" spans="2:12" ht="13.5" thickBot="1" x14ac:dyDescent="0.25">
      <c r="B9" s="30" t="s">
        <v>64</v>
      </c>
      <c r="C9" s="31">
        <f>IF(C8=0,"n/a",C7/(C8*24*365/12))</f>
        <v>0.48084987419625386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Rates!E68</f>
        <v>5.05</v>
      </c>
      <c r="D14" s="37">
        <f>C6</f>
        <v>3600</v>
      </c>
      <c r="E14" s="36">
        <f>C14*D14</f>
        <v>18180</v>
      </c>
      <c r="F14" s="45"/>
      <c r="G14" s="36">
        <f>Rates!I68</f>
        <v>4.96</v>
      </c>
      <c r="H14" s="37">
        <f>D14</f>
        <v>3600</v>
      </c>
      <c r="I14" s="36">
        <f>G14*H14</f>
        <v>17856</v>
      </c>
      <c r="J14" s="45"/>
      <c r="K14" s="36">
        <f>I14-E14</f>
        <v>-324</v>
      </c>
      <c r="L14" s="47">
        <f>IF((E14)=0," ",K14/E14)</f>
        <v>-1.782178217821782E-2</v>
      </c>
    </row>
    <row r="15" spans="2:12" x14ac:dyDescent="0.2">
      <c r="B15" s="44" t="str">
        <f>Rates!B8</f>
        <v>Distribution Volumetric Rate</v>
      </c>
      <c r="C15" s="25">
        <f>Rates!E69</f>
        <v>10.4941</v>
      </c>
      <c r="D15" s="38">
        <f>C8</f>
        <v>490</v>
      </c>
      <c r="E15" s="36">
        <f t="shared" ref="E15" si="0">C15*D15</f>
        <v>5142.1089999999995</v>
      </c>
      <c r="F15" s="45"/>
      <c r="G15" s="25">
        <f>Rates!I69</f>
        <v>10.7965</v>
      </c>
      <c r="H15" s="38">
        <f>D15</f>
        <v>490</v>
      </c>
      <c r="I15" s="36">
        <f t="shared" ref="I15" si="1">G15*H15</f>
        <v>5290.2849999999999</v>
      </c>
      <c r="J15" s="45"/>
      <c r="K15" s="36">
        <f t="shared" ref="K15:K39" si="2">I15-E15</f>
        <v>148.17600000000039</v>
      </c>
      <c r="L15" s="47">
        <f t="shared" ref="L15:L39" si="3">IF((E15)=0," ",K15/E15)</f>
        <v>2.8816191955479825E-2</v>
      </c>
    </row>
    <row r="16" spans="2:12" x14ac:dyDescent="0.2">
      <c r="B16" s="49" t="s">
        <v>36</v>
      </c>
      <c r="C16" s="50"/>
      <c r="D16" s="51"/>
      <c r="E16" s="52">
        <f>SUM(E14:E15)</f>
        <v>23322.109</v>
      </c>
      <c r="F16" s="53"/>
      <c r="G16" s="50"/>
      <c r="H16" s="51"/>
      <c r="I16" s="52">
        <f>SUM(I14:I15)</f>
        <v>23146.285</v>
      </c>
      <c r="J16" s="53"/>
      <c r="K16" s="54">
        <f t="shared" si="2"/>
        <v>-175.82400000000052</v>
      </c>
      <c r="L16" s="55">
        <f t="shared" si="3"/>
        <v>-7.5389408393555027E-3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9322.4000000000051</v>
      </c>
      <c r="E17" s="36">
        <f t="shared" ref="E17:E23" si="4">C17*D17</f>
        <v>1003.6495840000006</v>
      </c>
      <c r="F17" s="45"/>
      <c r="G17" s="25">
        <f>Rates!I267</f>
        <v>0.10766000000000001</v>
      </c>
      <c r="H17" s="40">
        <f>(C5-1)*C7</f>
        <v>9322.4000000000051</v>
      </c>
      <c r="I17" s="36">
        <f t="shared" ref="I17:I23" si="5">G17*H17</f>
        <v>1003.6495840000006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Rates!B71</f>
        <v>Rate Rider for Deferral/Variance Account Disposition (2015) - effective until December 31, 2016</v>
      </c>
      <c r="C18" s="25">
        <f>Rates!E71</f>
        <v>0.24560000000000001</v>
      </c>
      <c r="D18" s="37">
        <f>C8</f>
        <v>490</v>
      </c>
      <c r="E18" s="36">
        <f t="shared" si="4"/>
        <v>120.34400000000001</v>
      </c>
      <c r="F18" s="45"/>
      <c r="G18" s="25">
        <f>Rates!I71</f>
        <v>0.24560000000000001</v>
      </c>
      <c r="H18" s="37">
        <f t="shared" ref="H18:H23" si="6">D18</f>
        <v>490</v>
      </c>
      <c r="I18" s="36">
        <f t="shared" si="5"/>
        <v>120.34400000000001</v>
      </c>
      <c r="J18" s="45"/>
      <c r="K18" s="36">
        <f t="shared" ref="K18:K22" si="7">I18-E18</f>
        <v>0</v>
      </c>
      <c r="L18" s="47">
        <f t="shared" ref="L18:L22" si="8">IF((E18)=0," ",K18/E18)</f>
        <v>0</v>
      </c>
    </row>
    <row r="19" spans="2:12" ht="25.5" x14ac:dyDescent="0.2">
      <c r="B19" s="48" t="str">
        <f>Rates!B72</f>
        <v>Rate Rider for Global Adjustment Sub-Account Disposition (2015) - effective until December 31, 2016 Applicable only for Non-RPP Customers</v>
      </c>
      <c r="C19" s="25">
        <f>Rates!E72</f>
        <v>-0.76700000000000002</v>
      </c>
      <c r="D19" s="37">
        <f>C8</f>
        <v>490</v>
      </c>
      <c r="E19" s="36">
        <f t="shared" si="4"/>
        <v>-375.83</v>
      </c>
      <c r="F19" s="45"/>
      <c r="G19" s="25">
        <f>Rates!I72</f>
        <v>-0.76700000000000002</v>
      </c>
      <c r="H19" s="37">
        <f t="shared" si="6"/>
        <v>490</v>
      </c>
      <c r="I19" s="36">
        <f t="shared" si="5"/>
        <v>-375.83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Rates!B73</f>
        <v>Rate Rider for Deferral/Variance Account Disposition (2016) - effective until December 31, 2017</v>
      </c>
      <c r="C20" s="25">
        <f>Rates!E73</f>
        <v>0</v>
      </c>
      <c r="D20" s="37">
        <f>C8</f>
        <v>490</v>
      </c>
      <c r="E20" s="36">
        <f t="shared" si="4"/>
        <v>0</v>
      </c>
      <c r="F20" s="45"/>
      <c r="G20" s="25">
        <f>Rates!I73</f>
        <v>-0.15210000000000001</v>
      </c>
      <c r="H20" s="37">
        <f t="shared" si="6"/>
        <v>490</v>
      </c>
      <c r="I20" s="36">
        <f t="shared" si="5"/>
        <v>-74.529000000000011</v>
      </c>
      <c r="J20" s="45"/>
      <c r="K20" s="36">
        <f t="shared" ref="K20:K21" si="9">I20-E20</f>
        <v>-74.529000000000011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Rates!B74</f>
        <v>Rate Rider for Global Adjustment Sub-Account Disposition (2016) - effective until December 31, 2017 Applicable only for Non-RPP Customers</v>
      </c>
      <c r="C21" s="25">
        <f>Rates!E74</f>
        <v>0</v>
      </c>
      <c r="D21" s="37">
        <f>C8</f>
        <v>490</v>
      </c>
      <c r="E21" s="36">
        <f t="shared" si="4"/>
        <v>0</v>
      </c>
      <c r="F21" s="45"/>
      <c r="G21" s="25">
        <f>Rates!I74</f>
        <v>1.2279</v>
      </c>
      <c r="H21" s="37">
        <f t="shared" si="6"/>
        <v>490</v>
      </c>
      <c r="I21" s="36">
        <f t="shared" si="5"/>
        <v>601.67100000000005</v>
      </c>
      <c r="J21" s="45"/>
      <c r="K21" s="36">
        <f t="shared" si="9"/>
        <v>601.67100000000005</v>
      </c>
      <c r="L21" s="47" t="str">
        <f t="shared" si="10"/>
        <v xml:space="preserve"> </v>
      </c>
    </row>
    <row r="22" spans="2:12" x14ac:dyDescent="0.2">
      <c r="B22" s="48" t="str">
        <f>Rates!B75</f>
        <v>Rate Rider for Loss Revenue Adjustment Mechanism (LRAM) - effective until December 31, 2015</v>
      </c>
      <c r="C22" s="25">
        <f>Rates!E75</f>
        <v>0</v>
      </c>
      <c r="D22" s="37">
        <f>C8</f>
        <v>490</v>
      </c>
      <c r="E22" s="36">
        <f t="shared" si="4"/>
        <v>0</v>
      </c>
      <c r="F22" s="45"/>
      <c r="G22" s="25">
        <f>Rates!I75</f>
        <v>0</v>
      </c>
      <c r="H22" s="37">
        <f t="shared" si="6"/>
        <v>490</v>
      </c>
      <c r="I22" s="36">
        <f t="shared" si="5"/>
        <v>0</v>
      </c>
      <c r="J22" s="45"/>
      <c r="K22" s="36">
        <f t="shared" si="7"/>
        <v>0</v>
      </c>
      <c r="L22" s="47" t="str">
        <f t="shared" si="8"/>
        <v xml:space="preserve"> </v>
      </c>
    </row>
    <row r="23" spans="2:12" x14ac:dyDescent="0.2">
      <c r="B23" s="44" t="str">
        <f>Rates!B9</f>
        <v>Low Voltage Service Rate</v>
      </c>
      <c r="C23" s="25">
        <f>Rates!E70</f>
        <v>5.0700000000000002E-2</v>
      </c>
      <c r="D23" s="37">
        <f>C8</f>
        <v>490</v>
      </c>
      <c r="E23" s="36">
        <f t="shared" si="4"/>
        <v>24.843</v>
      </c>
      <c r="F23" s="45"/>
      <c r="G23" s="25">
        <f>Rates!I70</f>
        <v>5.0700000000000002E-2</v>
      </c>
      <c r="H23" s="37">
        <f t="shared" si="6"/>
        <v>490</v>
      </c>
      <c r="I23" s="36">
        <f t="shared" si="5"/>
        <v>24.843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9" t="s">
        <v>56</v>
      </c>
      <c r="C24" s="50"/>
      <c r="D24" s="51"/>
      <c r="E24" s="52">
        <f>SUM(E16:E23)</f>
        <v>24095.115583999999</v>
      </c>
      <c r="F24" s="53"/>
      <c r="G24" s="50"/>
      <c r="H24" s="51"/>
      <c r="I24" s="52">
        <f>SUM(I16:I23)</f>
        <v>24446.433583999999</v>
      </c>
      <c r="J24" s="53"/>
      <c r="K24" s="54">
        <f t="shared" si="2"/>
        <v>351.3179999999993</v>
      </c>
      <c r="L24" s="55">
        <f t="shared" si="3"/>
        <v>1.45804654381192E-2</v>
      </c>
    </row>
    <row r="25" spans="2:12" x14ac:dyDescent="0.2">
      <c r="B25" s="44" t="str">
        <f>Rates!B15</f>
        <v>Retail Transmission Rate - Network Service Rate</v>
      </c>
      <c r="C25" s="25">
        <f>Rates!E76</f>
        <v>1.9564999999999999</v>
      </c>
      <c r="D25" s="37">
        <f>C8</f>
        <v>490</v>
      </c>
      <c r="E25" s="36">
        <f>C25*D25</f>
        <v>958.68499999999995</v>
      </c>
      <c r="F25" s="45"/>
      <c r="G25" s="25">
        <f>Rates!I76</f>
        <v>1.9218999999999999</v>
      </c>
      <c r="H25" s="37">
        <f>D25</f>
        <v>490</v>
      </c>
      <c r="I25" s="36">
        <f>G25*H25</f>
        <v>941.73099999999999</v>
      </c>
      <c r="J25" s="45"/>
      <c r="K25" s="36">
        <f t="shared" si="2"/>
        <v>-16.953999999999951</v>
      </c>
      <c r="L25" s="47">
        <f t="shared" si="3"/>
        <v>-1.7684640940454844E-2</v>
      </c>
    </row>
    <row r="26" spans="2:12" x14ac:dyDescent="0.2">
      <c r="B26" s="44" t="str">
        <f>Rates!B16</f>
        <v>Retail Transmission Rate - Line and Transformation Connection Service Rate</v>
      </c>
      <c r="C26" s="25">
        <f>Rates!E77</f>
        <v>1.5501</v>
      </c>
      <c r="D26" s="37">
        <f>C8</f>
        <v>490</v>
      </c>
      <c r="E26" s="36">
        <f>C26*D26</f>
        <v>759.54899999999998</v>
      </c>
      <c r="F26" s="45"/>
      <c r="G26" s="25">
        <f>Rates!I77</f>
        <v>1.5872999999999999</v>
      </c>
      <c r="H26" s="37">
        <f>D26</f>
        <v>490</v>
      </c>
      <c r="I26" s="36">
        <f>G26*H26</f>
        <v>777.77699999999993</v>
      </c>
      <c r="J26" s="45"/>
      <c r="K26" s="36">
        <f t="shared" si="2"/>
        <v>18.227999999999952</v>
      </c>
      <c r="L26" s="47">
        <f t="shared" si="3"/>
        <v>2.3998451712792659E-2</v>
      </c>
    </row>
    <row r="27" spans="2:12" x14ac:dyDescent="0.2">
      <c r="B27" s="49" t="s">
        <v>57</v>
      </c>
      <c r="C27" s="50"/>
      <c r="D27" s="51"/>
      <c r="E27" s="52">
        <f>SUM(E24:E26)</f>
        <v>25813.349584</v>
      </c>
      <c r="F27" s="53"/>
      <c r="G27" s="50"/>
      <c r="H27" s="52"/>
      <c r="I27" s="52">
        <f>SUM(I24:I26)</f>
        <v>26165.941583999997</v>
      </c>
      <c r="J27" s="53"/>
      <c r="K27" s="54">
        <f t="shared" si="2"/>
        <v>352.59199999999691</v>
      </c>
      <c r="L27" s="55">
        <f t="shared" si="3"/>
        <v>1.3659288921517784E-2</v>
      </c>
    </row>
    <row r="28" spans="2:12" x14ac:dyDescent="0.2">
      <c r="B28" s="44" t="str">
        <f>Rates!B244</f>
        <v>Wholesale Market Service Rate</v>
      </c>
      <c r="C28" s="25">
        <f>Rates!E244</f>
        <v>4.4000000000000003E-3</v>
      </c>
      <c r="D28" s="37">
        <f>C5*C7</f>
        <v>181322.4</v>
      </c>
      <c r="E28" s="36">
        <f t="shared" ref="E28:E33" si="11">C28*D28</f>
        <v>797.81856000000005</v>
      </c>
      <c r="F28" s="45"/>
      <c r="G28" s="25">
        <f>Rates!I244</f>
        <v>3.5999999999999999E-3</v>
      </c>
      <c r="H28" s="37">
        <f>D28</f>
        <v>181322.4</v>
      </c>
      <c r="I28" s="36">
        <f t="shared" ref="I28:I33" si="12">G28*H28</f>
        <v>652.76063999999997</v>
      </c>
      <c r="J28" s="45"/>
      <c r="K28" s="36">
        <f t="shared" si="2"/>
        <v>-145.05792000000008</v>
      </c>
      <c r="L28" s="47">
        <f t="shared" si="3"/>
        <v>-0.18181818181818191</v>
      </c>
    </row>
    <row r="29" spans="2:12" x14ac:dyDescent="0.2">
      <c r="B29" s="44" t="str">
        <f>Rates!B245</f>
        <v>Rural Rate Protection Charge</v>
      </c>
      <c r="C29" s="25">
        <f>Rates!E245</f>
        <v>1.2999999999999999E-3</v>
      </c>
      <c r="D29" s="37">
        <f>C5*C7</f>
        <v>181322.4</v>
      </c>
      <c r="E29" s="36">
        <f t="shared" si="11"/>
        <v>235.71911999999998</v>
      </c>
      <c r="F29" s="45"/>
      <c r="G29" s="25">
        <f>Rates!I245</f>
        <v>1.2999999999999999E-3</v>
      </c>
      <c r="H29" s="37">
        <f t="shared" ref="H29:H30" si="13">D29</f>
        <v>181322.4</v>
      </c>
      <c r="I29" s="36">
        <f t="shared" si="12"/>
        <v>235.71911999999998</v>
      </c>
      <c r="J29" s="45"/>
      <c r="K29" s="36">
        <f t="shared" si="2"/>
        <v>0</v>
      </c>
      <c r="L29" s="47">
        <f t="shared" si="3"/>
        <v>0</v>
      </c>
    </row>
    <row r="30" spans="2:12" x14ac:dyDescent="0.2">
      <c r="B30" s="44" t="str">
        <f>Rates!B247</f>
        <v>Standard Supply Service - Administrative Charge (if applicable)</v>
      </c>
      <c r="C30" s="36">
        <f>Rates!E247</f>
        <v>0.25</v>
      </c>
      <c r="D30" s="37">
        <v>1</v>
      </c>
      <c r="E30" s="36">
        <f t="shared" si="11"/>
        <v>0.25</v>
      </c>
      <c r="F30" s="45"/>
      <c r="G30" s="36">
        <f>Rates!I247</f>
        <v>0.25</v>
      </c>
      <c r="H30" s="37">
        <f t="shared" si="13"/>
        <v>1</v>
      </c>
      <c r="I30" s="36">
        <f t="shared" si="12"/>
        <v>0.25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Rates!B250</f>
        <v>Debt Retirement Charge</v>
      </c>
      <c r="C31" s="25">
        <f>Rates!E251</f>
        <v>0</v>
      </c>
      <c r="D31" s="37">
        <f>C7</f>
        <v>172000</v>
      </c>
      <c r="E31" s="36">
        <f t="shared" si="11"/>
        <v>0</v>
      </c>
      <c r="F31" s="45"/>
      <c r="G31" s="25">
        <f>Rates!I251</f>
        <v>0</v>
      </c>
      <c r="H31" s="37">
        <f>D31</f>
        <v>172000</v>
      </c>
      <c r="I31" s="36">
        <f t="shared" si="12"/>
        <v>0</v>
      </c>
      <c r="J31" s="45"/>
      <c r="K31" s="36">
        <f t="shared" si="2"/>
        <v>0</v>
      </c>
      <c r="L31" s="47" t="str">
        <f t="shared" si="3"/>
        <v xml:space="preserve"> </v>
      </c>
    </row>
    <row r="32" spans="2:12" x14ac:dyDescent="0.2">
      <c r="B32" s="44" t="str">
        <f>Rates!B246</f>
        <v>Ontario Electricity Support Program</v>
      </c>
      <c r="C32" s="25"/>
      <c r="D32" s="37"/>
      <c r="E32" s="36"/>
      <c r="F32" s="45"/>
      <c r="G32" s="25">
        <f>Rates!I246</f>
        <v>1.1000000000000001E-3</v>
      </c>
      <c r="H32" s="37">
        <f>C7</f>
        <v>172000</v>
      </c>
      <c r="I32" s="36">
        <f t="shared" si="12"/>
        <v>189.20000000000002</v>
      </c>
      <c r="J32" s="45"/>
      <c r="K32" s="36"/>
      <c r="L32" s="47"/>
    </row>
    <row r="33" spans="2:12" x14ac:dyDescent="0.2">
      <c r="B33" s="44" t="str">
        <f>Rates!B267</f>
        <v>Energy Price</v>
      </c>
      <c r="C33" s="25">
        <f>Rates!E267</f>
        <v>0.10766000000000001</v>
      </c>
      <c r="D33" s="37">
        <f>C7</f>
        <v>172000</v>
      </c>
      <c r="E33" s="36">
        <f t="shared" si="11"/>
        <v>18517.52</v>
      </c>
      <c r="F33" s="45"/>
      <c r="G33" s="25">
        <f>Rates!I267</f>
        <v>0.10766000000000001</v>
      </c>
      <c r="H33" s="37">
        <f>D33</f>
        <v>172000</v>
      </c>
      <c r="I33" s="36">
        <f t="shared" si="12"/>
        <v>18517.52</v>
      </c>
      <c r="J33" s="45"/>
      <c r="K33" s="36">
        <f t="shared" si="2"/>
        <v>0</v>
      </c>
      <c r="L33" s="47">
        <f t="shared" si="3"/>
        <v>0</v>
      </c>
    </row>
    <row r="34" spans="2:12" x14ac:dyDescent="0.2">
      <c r="B34" s="56"/>
      <c r="C34" s="51"/>
      <c r="D34" s="51"/>
      <c r="E34" s="51"/>
      <c r="F34" s="53"/>
      <c r="G34" s="51"/>
      <c r="H34" s="51"/>
      <c r="I34" s="51"/>
      <c r="J34" s="53"/>
      <c r="K34" s="54"/>
      <c r="L34" s="55"/>
    </row>
    <row r="35" spans="2:12" x14ac:dyDescent="0.2">
      <c r="B35" s="23" t="s">
        <v>58</v>
      </c>
      <c r="C35" s="35"/>
      <c r="D35" s="35"/>
      <c r="E35" s="39">
        <f>SUM(E27:E33)</f>
        <v>45364.657264000001</v>
      </c>
      <c r="F35" s="45"/>
      <c r="G35" s="35"/>
      <c r="H35" s="39"/>
      <c r="I35" s="39">
        <f>SUM(I27:I33)</f>
        <v>45761.391344000003</v>
      </c>
      <c r="J35" s="45"/>
      <c r="K35" s="36">
        <f t="shared" si="2"/>
        <v>396.734080000002</v>
      </c>
      <c r="L35" s="47">
        <f t="shared" si="3"/>
        <v>8.7454442274567338E-3</v>
      </c>
    </row>
    <row r="36" spans="2:12" x14ac:dyDescent="0.2">
      <c r="B36" s="44" t="str">
        <f>Rates!B269</f>
        <v>HST</v>
      </c>
      <c r="C36" s="41">
        <f>Rates!E269</f>
        <v>0.13</v>
      </c>
      <c r="D36" s="35"/>
      <c r="E36" s="42">
        <f>E35*C36</f>
        <v>5897.4054443200002</v>
      </c>
      <c r="F36" s="45"/>
      <c r="G36" s="41">
        <f>Rates!I269</f>
        <v>0.13</v>
      </c>
      <c r="H36" s="35"/>
      <c r="I36" s="42">
        <f>I35*G36</f>
        <v>5948.9808747200004</v>
      </c>
      <c r="J36" s="45"/>
      <c r="K36" s="36">
        <f t="shared" si="2"/>
        <v>51.575430400000187</v>
      </c>
      <c r="L36" s="47">
        <f t="shared" si="3"/>
        <v>8.7454442274567216E-3</v>
      </c>
    </row>
    <row r="37" spans="2:12" x14ac:dyDescent="0.2">
      <c r="B37" s="23" t="s">
        <v>59</v>
      </c>
      <c r="C37" s="35"/>
      <c r="D37" s="35"/>
      <c r="E37" s="42">
        <f>E35+E36</f>
        <v>51262.062708320002</v>
      </c>
      <c r="F37" s="45"/>
      <c r="G37" s="35"/>
      <c r="H37" s="35"/>
      <c r="I37" s="42">
        <f>I35+I36</f>
        <v>51710.372218720004</v>
      </c>
      <c r="J37" s="45"/>
      <c r="K37" s="36">
        <f t="shared" si="2"/>
        <v>448.30951040000218</v>
      </c>
      <c r="L37" s="47">
        <f t="shared" si="3"/>
        <v>8.7454442274567321E-3</v>
      </c>
    </row>
    <row r="38" spans="2:12" x14ac:dyDescent="0.2">
      <c r="B38" s="44" t="str">
        <f>Rates!B271</f>
        <v>OCEB</v>
      </c>
      <c r="C38" s="41"/>
      <c r="D38" s="35"/>
      <c r="E38" s="42">
        <f>E37*C38</f>
        <v>0</v>
      </c>
      <c r="F38" s="45"/>
      <c r="G38" s="41">
        <f>Rates!I271</f>
        <v>0</v>
      </c>
      <c r="H38" s="35"/>
      <c r="I38" s="42">
        <f>I37*G38</f>
        <v>0</v>
      </c>
      <c r="J38" s="45"/>
      <c r="K38" s="36">
        <f t="shared" si="2"/>
        <v>0</v>
      </c>
      <c r="L38" s="47" t="str">
        <f t="shared" si="3"/>
        <v xml:space="preserve"> </v>
      </c>
    </row>
    <row r="39" spans="2:12" ht="13.5" thickBot="1" x14ac:dyDescent="0.25">
      <c r="B39" s="30" t="s">
        <v>60</v>
      </c>
      <c r="C39" s="57"/>
      <c r="D39" s="57"/>
      <c r="E39" s="58">
        <f>E37+E38</f>
        <v>51262.062708320002</v>
      </c>
      <c r="F39" s="59"/>
      <c r="G39" s="57"/>
      <c r="H39" s="57"/>
      <c r="I39" s="58">
        <f>I37+I38</f>
        <v>51710.372218720004</v>
      </c>
      <c r="J39" s="59"/>
      <c r="K39" s="60">
        <f t="shared" si="2"/>
        <v>448.30951040000218</v>
      </c>
      <c r="L39" s="61">
        <f t="shared" si="3"/>
        <v>8.7454442274567321E-3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2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L42"/>
  <sheetViews>
    <sheetView showGridLines="0" topLeftCell="A7" workbookViewId="0">
      <selection activeCell="K32" sqref="K32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Rates!B81</f>
        <v>CNPI - Eastern Ontario Power</v>
      </c>
    </row>
    <row r="3" spans="2:12" ht="15.75" x14ac:dyDescent="0.25">
      <c r="B3" s="24" t="str">
        <f>Rates!B82</f>
        <v>Residential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800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Rates!E83</f>
        <v>19.43</v>
      </c>
      <c r="D14" s="37">
        <f>C6</f>
        <v>1</v>
      </c>
      <c r="E14" s="36">
        <f>C14*D14</f>
        <v>19.43</v>
      </c>
      <c r="F14" s="45"/>
      <c r="G14" s="36">
        <f>Rates!I83</f>
        <v>23.44</v>
      </c>
      <c r="H14" s="37">
        <f>D14</f>
        <v>1</v>
      </c>
      <c r="I14" s="36">
        <f>G14*H14</f>
        <v>23.44</v>
      </c>
      <c r="J14" s="45"/>
      <c r="K14" s="36">
        <f>I14-E14</f>
        <v>4.0100000000000016</v>
      </c>
      <c r="L14" s="47">
        <f>IF((E14)=0," ",K14/E14)</f>
        <v>0.20638188368502325</v>
      </c>
    </row>
    <row r="15" spans="2:12" x14ac:dyDescent="0.2">
      <c r="B15" s="44" t="str">
        <f>Rates!B8</f>
        <v>Distribution Volumetric Rate</v>
      </c>
      <c r="C15" s="25">
        <f>Rates!E85</f>
        <v>2.0199999999999999E-2</v>
      </c>
      <c r="D15" s="38">
        <f>C7</f>
        <v>800</v>
      </c>
      <c r="E15" s="36">
        <f t="shared" ref="E15" si="0">C15*D15</f>
        <v>16.16</v>
      </c>
      <c r="F15" s="45"/>
      <c r="G15" s="25">
        <f>Rates!I85</f>
        <v>1.52E-2</v>
      </c>
      <c r="H15" s="38">
        <f>D15</f>
        <v>800</v>
      </c>
      <c r="I15" s="36">
        <f t="shared" ref="I15" si="1">G15*H15</f>
        <v>12.16</v>
      </c>
      <c r="J15" s="45"/>
      <c r="K15" s="36">
        <f t="shared" ref="K15:K42" si="2">I15-E15</f>
        <v>-4</v>
      </c>
      <c r="L15" s="47">
        <f t="shared" ref="L15:L42" si="3">IF((E15)=0," ",K15/E15)</f>
        <v>-0.24752475247524752</v>
      </c>
    </row>
    <row r="16" spans="2:12" x14ac:dyDescent="0.2">
      <c r="B16" s="49" t="s">
        <v>36</v>
      </c>
      <c r="C16" s="50"/>
      <c r="D16" s="51"/>
      <c r="E16" s="52">
        <f>SUM(E14:E15)</f>
        <v>35.590000000000003</v>
      </c>
      <c r="F16" s="53"/>
      <c r="G16" s="50"/>
      <c r="H16" s="51"/>
      <c r="I16" s="52">
        <f>SUM(I14:I15)</f>
        <v>35.6</v>
      </c>
      <c r="J16" s="53"/>
      <c r="K16" s="54">
        <f t="shared" si="2"/>
        <v>9.9999999999980105E-3</v>
      </c>
      <c r="L16" s="55">
        <f t="shared" si="3"/>
        <v>2.8097780275352654E-4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43.360000000000021</v>
      </c>
      <c r="E17" s="36">
        <f t="shared" ref="E17:E24" si="4">C17*D17</f>
        <v>4.6681376000000023</v>
      </c>
      <c r="F17" s="45"/>
      <c r="G17" s="25">
        <f>Rates!I267</f>
        <v>0.10766000000000001</v>
      </c>
      <c r="H17" s="40">
        <f>(C5-1)*C7</f>
        <v>43.360000000000021</v>
      </c>
      <c r="I17" s="36">
        <f t="shared" ref="I17:I24" si="5">G17*H17</f>
        <v>4.6681376000000023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Rates!B87</f>
        <v>Rate Rider for Deferral/Variance Account Disposition (2015) - effective until December 31, 2016</v>
      </c>
      <c r="C18" s="25">
        <f>Rates!E87</f>
        <v>2.9999999999999997E-4</v>
      </c>
      <c r="D18" s="37">
        <f>C7</f>
        <v>800</v>
      </c>
      <c r="E18" s="36">
        <f t="shared" si="4"/>
        <v>0.24</v>
      </c>
      <c r="F18" s="45"/>
      <c r="G18" s="25">
        <f>Rates!I87</f>
        <v>2.9999999999999997E-4</v>
      </c>
      <c r="H18" s="37">
        <f t="shared" ref="H18:H24" si="6">D18</f>
        <v>800</v>
      </c>
      <c r="I18" s="36">
        <f t="shared" si="5"/>
        <v>0.24</v>
      </c>
      <c r="J18" s="45"/>
      <c r="K18" s="36">
        <f t="shared" si="2"/>
        <v>0</v>
      </c>
      <c r="L18" s="47">
        <f t="shared" si="3"/>
        <v>0</v>
      </c>
    </row>
    <row r="19" spans="2:12" ht="25.5" x14ac:dyDescent="0.2">
      <c r="B19" s="48" t="str">
        <f>Rates!B88</f>
        <v>Rate Rider for Global Adjustment Sub-Account Disposition (2015) - effective until December 31, 2016 Applicable only for Non-RPP Customers</v>
      </c>
      <c r="C19" s="25">
        <f>Rates!E88</f>
        <v>7.4999999999999997E-3</v>
      </c>
      <c r="D19" s="37"/>
      <c r="E19" s="36">
        <f t="shared" si="4"/>
        <v>0</v>
      </c>
      <c r="F19" s="45"/>
      <c r="G19" s="25">
        <f>Rates!I88</f>
        <v>7.4999999999999997E-3</v>
      </c>
      <c r="H19" s="37">
        <f t="shared" si="6"/>
        <v>0</v>
      </c>
      <c r="I19" s="36">
        <f t="shared" si="5"/>
        <v>0</v>
      </c>
      <c r="J19" s="45"/>
      <c r="K19" s="36">
        <f t="shared" si="2"/>
        <v>0</v>
      </c>
      <c r="L19" s="47" t="str">
        <f t="shared" si="3"/>
        <v xml:space="preserve"> </v>
      </c>
    </row>
    <row r="20" spans="2:12" x14ac:dyDescent="0.2">
      <c r="B20" s="48" t="str">
        <f>Rates!B89</f>
        <v>Rate Rider for Deferral/Variance Account Disposition (2016) - effective until December 31, 2017</v>
      </c>
      <c r="C20" s="25">
        <f>Rates!E89</f>
        <v>0</v>
      </c>
      <c r="D20" s="37">
        <f>C7</f>
        <v>800</v>
      </c>
      <c r="E20" s="36">
        <f t="shared" si="4"/>
        <v>0</v>
      </c>
      <c r="F20" s="45"/>
      <c r="G20" s="25">
        <f>Rates!I89</f>
        <v>-2.7000000000000001E-3</v>
      </c>
      <c r="H20" s="37">
        <f t="shared" si="6"/>
        <v>800</v>
      </c>
      <c r="I20" s="36">
        <f t="shared" si="5"/>
        <v>-2.16</v>
      </c>
      <c r="J20" s="45"/>
      <c r="K20" s="36">
        <f t="shared" ref="K20:K21" si="7">I20-E20</f>
        <v>-2.16</v>
      </c>
      <c r="L20" s="47" t="str">
        <f t="shared" ref="L20:L21" si="8">IF((E20)=0," ",K20/E20)</f>
        <v xml:space="preserve"> </v>
      </c>
    </row>
    <row r="21" spans="2:12" ht="25.5" x14ac:dyDescent="0.2">
      <c r="B21" s="48" t="str">
        <f>Rates!B90</f>
        <v>Rate Rider for Global Adjustment Sub-Account Disposition (2016) - effective until December 31, 2017 Applicable only for Non-RPP Customers</v>
      </c>
      <c r="C21" s="25">
        <f>Rates!E90</f>
        <v>0</v>
      </c>
      <c r="D21" s="37"/>
      <c r="E21" s="36">
        <f t="shared" si="4"/>
        <v>0</v>
      </c>
      <c r="F21" s="45"/>
      <c r="G21" s="25">
        <f>Rates!I90</f>
        <v>1.0500000000000001E-2</v>
      </c>
      <c r="H21" s="37">
        <f t="shared" si="6"/>
        <v>0</v>
      </c>
      <c r="I21" s="36">
        <f t="shared" si="5"/>
        <v>0</v>
      </c>
      <c r="J21" s="45"/>
      <c r="K21" s="36">
        <f t="shared" si="7"/>
        <v>0</v>
      </c>
      <c r="L21" s="47" t="str">
        <f t="shared" si="8"/>
        <v xml:space="preserve"> </v>
      </c>
    </row>
    <row r="22" spans="2:12" x14ac:dyDescent="0.2">
      <c r="B22" s="48" t="str">
        <f>Rates!B91</f>
        <v>Rate Rider for Loss Revenue Adjustment Mechanism (LRAM) - effective until December 31, 2015</v>
      </c>
      <c r="C22" s="25">
        <f>Rates!E91</f>
        <v>1E-4</v>
      </c>
      <c r="D22" s="37">
        <f>C7</f>
        <v>800</v>
      </c>
      <c r="E22" s="36">
        <f t="shared" si="4"/>
        <v>0.08</v>
      </c>
      <c r="F22" s="45"/>
      <c r="G22" s="25">
        <f>Rates!I91</f>
        <v>0</v>
      </c>
      <c r="H22" s="37">
        <f t="shared" si="6"/>
        <v>800</v>
      </c>
      <c r="I22" s="36">
        <f t="shared" si="5"/>
        <v>0</v>
      </c>
      <c r="J22" s="45"/>
      <c r="K22" s="36">
        <f t="shared" si="2"/>
        <v>-0.08</v>
      </c>
      <c r="L22" s="47">
        <f t="shared" si="3"/>
        <v>-1</v>
      </c>
    </row>
    <row r="23" spans="2:12" x14ac:dyDescent="0.2">
      <c r="B23" s="44" t="str">
        <f>Rates!B9</f>
        <v>Low Voltage Service Rate</v>
      </c>
      <c r="C23" s="25">
        <f>Rates!E86</f>
        <v>2.0000000000000001E-4</v>
      </c>
      <c r="D23" s="37">
        <f>C7</f>
        <v>800</v>
      </c>
      <c r="E23" s="36">
        <f t="shared" si="4"/>
        <v>0.16</v>
      </c>
      <c r="F23" s="45"/>
      <c r="G23" s="25">
        <f>Rates!I86</f>
        <v>2.0000000000000001E-4</v>
      </c>
      <c r="H23" s="37">
        <f t="shared" si="6"/>
        <v>800</v>
      </c>
      <c r="I23" s="36">
        <f t="shared" si="5"/>
        <v>0.16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4" t="str">
        <f>Rates!B248</f>
        <v>Smart Meter Entity Charge</v>
      </c>
      <c r="C24" s="36">
        <f>Rates!E248</f>
        <v>0.79</v>
      </c>
      <c r="D24" s="37">
        <f>C6</f>
        <v>1</v>
      </c>
      <c r="E24" s="36">
        <f t="shared" si="4"/>
        <v>0.79</v>
      </c>
      <c r="F24" s="45"/>
      <c r="G24" s="36">
        <f>Rates!I248</f>
        <v>0.79</v>
      </c>
      <c r="H24" s="37">
        <f t="shared" si="6"/>
        <v>1</v>
      </c>
      <c r="I24" s="36">
        <f t="shared" si="5"/>
        <v>0.79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41.528137600000001</v>
      </c>
      <c r="F25" s="53"/>
      <c r="G25" s="50"/>
      <c r="H25" s="51"/>
      <c r="I25" s="52">
        <f>SUM(I16:I24)</f>
        <v>39.298137599999997</v>
      </c>
      <c r="J25" s="53"/>
      <c r="K25" s="54">
        <f t="shared" si="2"/>
        <v>-2.230000000000004</v>
      </c>
      <c r="L25" s="55">
        <f t="shared" si="3"/>
        <v>-5.3698531378397377E-2</v>
      </c>
    </row>
    <row r="26" spans="2:12" x14ac:dyDescent="0.2">
      <c r="B26" s="44" t="str">
        <f>Rates!B15</f>
        <v>Retail Transmission Rate - Network Service Rate</v>
      </c>
      <c r="C26" s="25">
        <f>Rates!E92</f>
        <v>7.3000000000000001E-3</v>
      </c>
      <c r="D26" s="37">
        <f>C7*C5</f>
        <v>843.36</v>
      </c>
      <c r="E26" s="36">
        <f>C26*D26</f>
        <v>6.1565279999999998</v>
      </c>
      <c r="F26" s="45"/>
      <c r="G26" s="25">
        <f>Rates!I92</f>
        <v>7.1999999999999998E-3</v>
      </c>
      <c r="H26" s="37">
        <f>D26</f>
        <v>843.36</v>
      </c>
      <c r="I26" s="36">
        <f>G26*H26</f>
        <v>6.0721920000000003</v>
      </c>
      <c r="J26" s="45"/>
      <c r="K26" s="36">
        <f t="shared" si="2"/>
        <v>-8.4335999999999522E-2</v>
      </c>
      <c r="L26" s="47">
        <f t="shared" si="3"/>
        <v>-1.3698630136986224E-2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Rates!E93</f>
        <v>5.7000000000000002E-3</v>
      </c>
      <c r="D27" s="37">
        <f>C7*C5</f>
        <v>843.36</v>
      </c>
      <c r="E27" s="36">
        <f>C27*D27</f>
        <v>4.8071520000000003</v>
      </c>
      <c r="F27" s="45"/>
      <c r="G27" s="25">
        <f>Rates!I93</f>
        <v>5.7999999999999996E-3</v>
      </c>
      <c r="H27" s="37">
        <f>D27</f>
        <v>843.36</v>
      </c>
      <c r="I27" s="36">
        <f>G27*H27</f>
        <v>4.8914879999999998</v>
      </c>
      <c r="J27" s="45"/>
      <c r="K27" s="36">
        <f t="shared" si="2"/>
        <v>8.4335999999999522E-2</v>
      </c>
      <c r="L27" s="47">
        <f t="shared" si="3"/>
        <v>1.7543859649122705E-2</v>
      </c>
    </row>
    <row r="28" spans="2:12" x14ac:dyDescent="0.2">
      <c r="B28" s="49" t="s">
        <v>57</v>
      </c>
      <c r="C28" s="50"/>
      <c r="D28" s="51"/>
      <c r="E28" s="52">
        <f>SUM(E25:E27)</f>
        <v>52.491817600000005</v>
      </c>
      <c r="F28" s="53"/>
      <c r="G28" s="50"/>
      <c r="H28" s="52"/>
      <c r="I28" s="52">
        <f>SUM(I25:I27)</f>
        <v>50.261817600000001</v>
      </c>
      <c r="J28" s="53"/>
      <c r="K28" s="54">
        <f t="shared" si="2"/>
        <v>-2.230000000000004</v>
      </c>
      <c r="L28" s="55">
        <f t="shared" si="3"/>
        <v>-4.2482811644914423E-2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843.36</v>
      </c>
      <c r="E29" s="36">
        <f t="shared" ref="E29:E36" si="9">C29*D29</f>
        <v>3.7107840000000003</v>
      </c>
      <c r="F29" s="45"/>
      <c r="G29" s="25">
        <f>Rates!I244</f>
        <v>3.5999999999999999E-3</v>
      </c>
      <c r="H29" s="37">
        <f>D29</f>
        <v>843.36</v>
      </c>
      <c r="I29" s="36">
        <f t="shared" ref="I29:I36" si="10">G29*H29</f>
        <v>3.0360960000000001</v>
      </c>
      <c r="J29" s="45"/>
      <c r="K29" s="36">
        <f t="shared" si="2"/>
        <v>-0.67468800000000018</v>
      </c>
      <c r="L29" s="47">
        <f t="shared" si="3"/>
        <v>-0.18181818181818185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843.36</v>
      </c>
      <c r="E30" s="36">
        <f t="shared" si="9"/>
        <v>1.096368</v>
      </c>
      <c r="F30" s="45"/>
      <c r="G30" s="25">
        <f>Rates!I245</f>
        <v>1.2999999999999999E-3</v>
      </c>
      <c r="H30" s="37">
        <f t="shared" ref="H30:H31" si="11">D30</f>
        <v>843.36</v>
      </c>
      <c r="I30" s="36">
        <f t="shared" si="10"/>
        <v>1.096368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9"/>
        <v>0.25</v>
      </c>
      <c r="F31" s="45"/>
      <c r="G31" s="36">
        <f>Rates!I247</f>
        <v>0.25</v>
      </c>
      <c r="H31" s="37">
        <f t="shared" si="11"/>
        <v>1</v>
      </c>
      <c r="I31" s="36">
        <f t="shared" si="10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Rates!E252</f>
        <v>5.1000000000000004E-3</v>
      </c>
      <c r="D32" s="37">
        <f>C7</f>
        <v>800</v>
      </c>
      <c r="E32" s="36">
        <f t="shared" si="9"/>
        <v>4.08</v>
      </c>
      <c r="F32" s="45"/>
      <c r="G32" s="25">
        <f>Rates!I252</f>
        <v>0</v>
      </c>
      <c r="H32" s="37">
        <f>D32</f>
        <v>800</v>
      </c>
      <c r="I32" s="36">
        <f t="shared" si="10"/>
        <v>0</v>
      </c>
      <c r="J32" s="45"/>
      <c r="K32" s="36">
        <f t="shared" si="2"/>
        <v>-4.08</v>
      </c>
      <c r="L32" s="47">
        <f t="shared" si="3"/>
        <v>-1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800</v>
      </c>
      <c r="I33" s="36">
        <f t="shared" si="10"/>
        <v>0.88</v>
      </c>
      <c r="J33" s="45"/>
      <c r="K33" s="36"/>
      <c r="L33" s="47"/>
    </row>
    <row r="34" spans="2:12" x14ac:dyDescent="0.2">
      <c r="B34" s="44" t="str">
        <f>Rates!B263</f>
        <v>TOU - Off Peak</v>
      </c>
      <c r="C34" s="25">
        <f>Rates!E263</f>
        <v>8.3000000000000004E-2</v>
      </c>
      <c r="D34" s="37">
        <f>C7*0.64</f>
        <v>512</v>
      </c>
      <c r="E34" s="36">
        <f t="shared" si="9"/>
        <v>42.496000000000002</v>
      </c>
      <c r="F34" s="45"/>
      <c r="G34" s="25">
        <f>Rates!I263</f>
        <v>8.3000000000000004E-2</v>
      </c>
      <c r="H34" s="37">
        <f>D34</f>
        <v>512</v>
      </c>
      <c r="I34" s="36">
        <f t="shared" si="10"/>
        <v>42.496000000000002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44" t="str">
        <f>Rates!B264</f>
        <v>TOU - Mid Peak</v>
      </c>
      <c r="C35" s="25">
        <f>Rates!E264</f>
        <v>0.128</v>
      </c>
      <c r="D35" s="37">
        <f>C7*0.18</f>
        <v>144</v>
      </c>
      <c r="E35" s="36">
        <f t="shared" si="9"/>
        <v>18.432000000000002</v>
      </c>
      <c r="F35" s="45"/>
      <c r="G35" s="25">
        <f>Rates!I264</f>
        <v>0.128</v>
      </c>
      <c r="H35" s="37">
        <f t="shared" ref="H35:H36" si="12">D35</f>
        <v>144</v>
      </c>
      <c r="I35" s="36">
        <f t="shared" si="10"/>
        <v>18.432000000000002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Rates!B265</f>
        <v>TOU - On Peak</v>
      </c>
      <c r="C36" s="25">
        <f>Rates!E265</f>
        <v>0.17499999999999999</v>
      </c>
      <c r="D36" s="37">
        <f>C7*0.18</f>
        <v>144</v>
      </c>
      <c r="E36" s="36">
        <f t="shared" si="9"/>
        <v>25.2</v>
      </c>
      <c r="F36" s="45"/>
      <c r="G36" s="25">
        <f>Rates!I265</f>
        <v>0.17499999999999999</v>
      </c>
      <c r="H36" s="37">
        <f t="shared" si="12"/>
        <v>144</v>
      </c>
      <c r="I36" s="36">
        <f t="shared" si="10"/>
        <v>25.2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56"/>
      <c r="C37" s="51"/>
      <c r="D37" s="51"/>
      <c r="E37" s="51"/>
      <c r="F37" s="53"/>
      <c r="G37" s="51"/>
      <c r="H37" s="51"/>
      <c r="I37" s="51"/>
      <c r="J37" s="53"/>
      <c r="K37" s="54"/>
      <c r="L37" s="55"/>
    </row>
    <row r="38" spans="2:12" x14ac:dyDescent="0.2">
      <c r="B38" s="23" t="s">
        <v>58</v>
      </c>
      <c r="C38" s="35"/>
      <c r="D38" s="35"/>
      <c r="E38" s="39">
        <f>SUM(E28:E36)</f>
        <v>147.75696960000002</v>
      </c>
      <c r="F38" s="45"/>
      <c r="G38" s="35"/>
      <c r="H38" s="39"/>
      <c r="I38" s="39">
        <f>SUM(I28:I36)</f>
        <v>141.65228160000001</v>
      </c>
      <c r="J38" s="45"/>
      <c r="K38" s="36">
        <f t="shared" si="2"/>
        <v>-6.1046880000000101</v>
      </c>
      <c r="L38" s="47">
        <f t="shared" si="3"/>
        <v>-4.1315736350889601E-2</v>
      </c>
    </row>
    <row r="39" spans="2:12" x14ac:dyDescent="0.2">
      <c r="B39" s="44" t="str">
        <f>Rates!B269</f>
        <v>HST</v>
      </c>
      <c r="C39" s="41">
        <f>Rates!E269</f>
        <v>0.13</v>
      </c>
      <c r="D39" s="35"/>
      <c r="E39" s="42">
        <f>E38*C39</f>
        <v>19.208406048000004</v>
      </c>
      <c r="F39" s="45"/>
      <c r="G39" s="41">
        <f>Rates!I269</f>
        <v>0.13</v>
      </c>
      <c r="H39" s="35"/>
      <c r="I39" s="42">
        <f>I38*G39</f>
        <v>18.414796608000003</v>
      </c>
      <c r="J39" s="45"/>
      <c r="K39" s="36">
        <f t="shared" si="2"/>
        <v>-0.79360944000000089</v>
      </c>
      <c r="L39" s="47">
        <f t="shared" si="3"/>
        <v>-4.1315736350889573E-2</v>
      </c>
    </row>
    <row r="40" spans="2:12" x14ac:dyDescent="0.2">
      <c r="B40" s="23" t="s">
        <v>59</v>
      </c>
      <c r="C40" s="35"/>
      <c r="D40" s="35"/>
      <c r="E40" s="42">
        <f>E38+E39</f>
        <v>166.96537564800002</v>
      </c>
      <c r="F40" s="45"/>
      <c r="G40" s="35"/>
      <c r="H40" s="35"/>
      <c r="I40" s="42">
        <f>I38+I39</f>
        <v>160.067078208</v>
      </c>
      <c r="J40" s="45"/>
      <c r="K40" s="36">
        <f t="shared" si="2"/>
        <v>-6.8982974400000217</v>
      </c>
      <c r="L40" s="47">
        <f t="shared" si="3"/>
        <v>-4.1315736350889663E-2</v>
      </c>
    </row>
    <row r="41" spans="2:12" x14ac:dyDescent="0.2">
      <c r="B41" s="44" t="str">
        <f>Rates!B271</f>
        <v>OCEB</v>
      </c>
      <c r="C41" s="41">
        <f>Rates!E271</f>
        <v>-0.1</v>
      </c>
      <c r="D41" s="35"/>
      <c r="E41" s="42">
        <f>E40*C41</f>
        <v>-16.696537564800003</v>
      </c>
      <c r="F41" s="45"/>
      <c r="G41" s="41">
        <f>Rates!I271</f>
        <v>0</v>
      </c>
      <c r="H41" s="35"/>
      <c r="I41" s="42">
        <f>I40*G41</f>
        <v>0</v>
      </c>
      <c r="J41" s="45"/>
      <c r="K41" s="36">
        <f t="shared" si="2"/>
        <v>16.696537564800003</v>
      </c>
      <c r="L41" s="47">
        <f t="shared" si="3"/>
        <v>-1</v>
      </c>
    </row>
    <row r="42" spans="2:12" ht="13.5" thickBot="1" x14ac:dyDescent="0.25">
      <c r="B42" s="30" t="s">
        <v>60</v>
      </c>
      <c r="C42" s="57"/>
      <c r="D42" s="57"/>
      <c r="E42" s="58">
        <f>E40+E41</f>
        <v>150.26883808320002</v>
      </c>
      <c r="F42" s="59"/>
      <c r="G42" s="57"/>
      <c r="H42" s="57"/>
      <c r="I42" s="58">
        <f>I40+I41</f>
        <v>160.067078208</v>
      </c>
      <c r="J42" s="59"/>
      <c r="K42" s="60">
        <f t="shared" si="2"/>
        <v>9.7982401247999746</v>
      </c>
      <c r="L42" s="61">
        <f t="shared" si="3"/>
        <v>6.5204737387900336E-2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L42"/>
  <sheetViews>
    <sheetView showGridLines="0" topLeftCell="A13" workbookViewId="0">
      <selection activeCell="B50" sqref="B50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Rates!B81</f>
        <v>CNPI - Eastern Ontario Power</v>
      </c>
    </row>
    <row r="3" spans="2:12" ht="15.75" x14ac:dyDescent="0.25">
      <c r="B3" s="24" t="str">
        <f>Rates!B82</f>
        <v>Residential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210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Rates!E83</f>
        <v>19.43</v>
      </c>
      <c r="D14" s="37">
        <f>C6</f>
        <v>1</v>
      </c>
      <c r="E14" s="36">
        <f>C14*D14</f>
        <v>19.43</v>
      </c>
      <c r="F14" s="45"/>
      <c r="G14" s="36">
        <f>Rates!I83</f>
        <v>23.44</v>
      </c>
      <c r="H14" s="37">
        <f>D14</f>
        <v>1</v>
      </c>
      <c r="I14" s="36">
        <f>G14*H14</f>
        <v>23.44</v>
      </c>
      <c r="J14" s="45"/>
      <c r="K14" s="36">
        <f>I14-E14</f>
        <v>4.0100000000000016</v>
      </c>
      <c r="L14" s="47">
        <f>IF((E14)=0," ",K14/E14)</f>
        <v>0.20638188368502325</v>
      </c>
    </row>
    <row r="15" spans="2:12" x14ac:dyDescent="0.2">
      <c r="B15" s="44" t="str">
        <f>Rates!B8</f>
        <v>Distribution Volumetric Rate</v>
      </c>
      <c r="C15" s="25">
        <f>Rates!E85</f>
        <v>2.0199999999999999E-2</v>
      </c>
      <c r="D15" s="38">
        <f>C7</f>
        <v>210</v>
      </c>
      <c r="E15" s="36">
        <f t="shared" ref="E15" si="0">C15*D15</f>
        <v>4.242</v>
      </c>
      <c r="F15" s="45"/>
      <c r="G15" s="25">
        <f>Rates!I85</f>
        <v>1.52E-2</v>
      </c>
      <c r="H15" s="38">
        <f>D15</f>
        <v>210</v>
      </c>
      <c r="I15" s="36">
        <f t="shared" ref="I15" si="1">G15*H15</f>
        <v>3.1920000000000002</v>
      </c>
      <c r="J15" s="45"/>
      <c r="K15" s="36">
        <f t="shared" ref="K15:K42" si="2">I15-E15</f>
        <v>-1.0499999999999998</v>
      </c>
      <c r="L15" s="47">
        <f t="shared" ref="L15:L42" si="3">IF((E15)=0," ",K15/E15)</f>
        <v>-0.24752475247524749</v>
      </c>
    </row>
    <row r="16" spans="2:12" x14ac:dyDescent="0.2">
      <c r="B16" s="49" t="s">
        <v>36</v>
      </c>
      <c r="C16" s="50"/>
      <c r="D16" s="51"/>
      <c r="E16" s="52">
        <f>SUM(E14:E15)</f>
        <v>23.672000000000001</v>
      </c>
      <c r="F16" s="53"/>
      <c r="G16" s="50"/>
      <c r="H16" s="51"/>
      <c r="I16" s="52">
        <f>SUM(I14:I15)</f>
        <v>26.632000000000001</v>
      </c>
      <c r="J16" s="53"/>
      <c r="K16" s="54">
        <f t="shared" si="2"/>
        <v>2.9600000000000009</v>
      </c>
      <c r="L16" s="55">
        <f t="shared" si="3"/>
        <v>0.12504224400135183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11.382000000000005</v>
      </c>
      <c r="E17" s="36">
        <f t="shared" ref="E17:E24" si="4">C17*D17</f>
        <v>1.2253861200000007</v>
      </c>
      <c r="F17" s="45"/>
      <c r="G17" s="25">
        <f>Rates!I267</f>
        <v>0.10766000000000001</v>
      </c>
      <c r="H17" s="40">
        <f>(C5-1)*C7</f>
        <v>11.382000000000005</v>
      </c>
      <c r="I17" s="36">
        <f t="shared" ref="I17:I24" si="5">G17*H17</f>
        <v>1.2253861200000007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Rates!B87</f>
        <v>Rate Rider for Deferral/Variance Account Disposition (2015) - effective until December 31, 2016</v>
      </c>
      <c r="C18" s="25">
        <f>Rates!E87</f>
        <v>2.9999999999999997E-4</v>
      </c>
      <c r="D18" s="37">
        <f>C7</f>
        <v>210</v>
      </c>
      <c r="E18" s="36">
        <f t="shared" si="4"/>
        <v>6.3E-2</v>
      </c>
      <c r="F18" s="45"/>
      <c r="G18" s="25">
        <f>Rates!I87</f>
        <v>2.9999999999999997E-4</v>
      </c>
      <c r="H18" s="37">
        <f t="shared" ref="H18:H24" si="6">D18</f>
        <v>210</v>
      </c>
      <c r="I18" s="36">
        <f t="shared" si="5"/>
        <v>6.3E-2</v>
      </c>
      <c r="J18" s="45"/>
      <c r="K18" s="36">
        <f t="shared" si="2"/>
        <v>0</v>
      </c>
      <c r="L18" s="47">
        <f t="shared" si="3"/>
        <v>0</v>
      </c>
    </row>
    <row r="19" spans="2:12" ht="25.5" x14ac:dyDescent="0.2">
      <c r="B19" s="48" t="str">
        <f>Rates!B88</f>
        <v>Rate Rider for Global Adjustment Sub-Account Disposition (2015) - effective until December 31, 2016 Applicable only for Non-RPP Customers</v>
      </c>
      <c r="C19" s="25">
        <f>Rates!E88</f>
        <v>7.4999999999999997E-3</v>
      </c>
      <c r="D19" s="37"/>
      <c r="E19" s="36">
        <f t="shared" si="4"/>
        <v>0</v>
      </c>
      <c r="F19" s="45"/>
      <c r="G19" s="25">
        <f>Rates!I88</f>
        <v>7.4999999999999997E-3</v>
      </c>
      <c r="H19" s="37">
        <f t="shared" si="6"/>
        <v>0</v>
      </c>
      <c r="I19" s="36">
        <f t="shared" si="5"/>
        <v>0</v>
      </c>
      <c r="J19" s="45"/>
      <c r="K19" s="36">
        <f t="shared" si="2"/>
        <v>0</v>
      </c>
      <c r="L19" s="47" t="str">
        <f t="shared" si="3"/>
        <v xml:space="preserve"> </v>
      </c>
    </row>
    <row r="20" spans="2:12" x14ac:dyDescent="0.2">
      <c r="B20" s="48" t="str">
        <f>Rates!B89</f>
        <v>Rate Rider for Deferral/Variance Account Disposition (2016) - effective until December 31, 2017</v>
      </c>
      <c r="C20" s="25">
        <f>Rates!E89</f>
        <v>0</v>
      </c>
      <c r="D20" s="37">
        <f>C7</f>
        <v>210</v>
      </c>
      <c r="E20" s="36">
        <f t="shared" si="4"/>
        <v>0</v>
      </c>
      <c r="F20" s="45"/>
      <c r="G20" s="25">
        <f>Rates!I89</f>
        <v>-2.7000000000000001E-3</v>
      </c>
      <c r="H20" s="37">
        <f t="shared" si="6"/>
        <v>210</v>
      </c>
      <c r="I20" s="36">
        <f t="shared" si="5"/>
        <v>-0.56700000000000006</v>
      </c>
      <c r="J20" s="45"/>
      <c r="K20" s="36">
        <f t="shared" si="2"/>
        <v>-0.56700000000000006</v>
      </c>
      <c r="L20" s="47" t="str">
        <f t="shared" si="3"/>
        <v xml:space="preserve"> </v>
      </c>
    </row>
    <row r="21" spans="2:12" ht="25.5" x14ac:dyDescent="0.2">
      <c r="B21" s="48" t="str">
        <f>Rates!B90</f>
        <v>Rate Rider for Global Adjustment Sub-Account Disposition (2016) - effective until December 31, 2017 Applicable only for Non-RPP Customers</v>
      </c>
      <c r="C21" s="25">
        <f>Rates!E90</f>
        <v>0</v>
      </c>
      <c r="D21" s="37"/>
      <c r="E21" s="36">
        <f t="shared" si="4"/>
        <v>0</v>
      </c>
      <c r="F21" s="45"/>
      <c r="G21" s="25">
        <f>Rates!I90</f>
        <v>1.0500000000000001E-2</v>
      </c>
      <c r="H21" s="37">
        <f t="shared" si="6"/>
        <v>0</v>
      </c>
      <c r="I21" s="36">
        <f t="shared" si="5"/>
        <v>0</v>
      </c>
      <c r="J21" s="45"/>
      <c r="K21" s="36">
        <f t="shared" si="2"/>
        <v>0</v>
      </c>
      <c r="L21" s="47" t="str">
        <f t="shared" si="3"/>
        <v xml:space="preserve"> </v>
      </c>
    </row>
    <row r="22" spans="2:12" x14ac:dyDescent="0.2">
      <c r="B22" s="48" t="str">
        <f>Rates!B91</f>
        <v>Rate Rider for Loss Revenue Adjustment Mechanism (LRAM) - effective until December 31, 2015</v>
      </c>
      <c r="C22" s="25">
        <f>Rates!E91</f>
        <v>1E-4</v>
      </c>
      <c r="D22" s="37">
        <f>C7</f>
        <v>210</v>
      </c>
      <c r="E22" s="36">
        <f t="shared" si="4"/>
        <v>2.1000000000000001E-2</v>
      </c>
      <c r="F22" s="45"/>
      <c r="G22" s="25">
        <f>Rates!I91</f>
        <v>0</v>
      </c>
      <c r="H22" s="37">
        <f t="shared" si="6"/>
        <v>210</v>
      </c>
      <c r="I22" s="36">
        <f t="shared" si="5"/>
        <v>0</v>
      </c>
      <c r="J22" s="45"/>
      <c r="K22" s="36">
        <f t="shared" si="2"/>
        <v>-2.1000000000000001E-2</v>
      </c>
      <c r="L22" s="47">
        <f t="shared" si="3"/>
        <v>-1</v>
      </c>
    </row>
    <row r="23" spans="2:12" x14ac:dyDescent="0.2">
      <c r="B23" s="44" t="str">
        <f>Rates!B9</f>
        <v>Low Voltage Service Rate</v>
      </c>
      <c r="C23" s="25">
        <f>Rates!E86</f>
        <v>2.0000000000000001E-4</v>
      </c>
      <c r="D23" s="37">
        <f>C7</f>
        <v>210</v>
      </c>
      <c r="E23" s="36">
        <f t="shared" si="4"/>
        <v>4.2000000000000003E-2</v>
      </c>
      <c r="F23" s="45"/>
      <c r="G23" s="25">
        <f>Rates!I86</f>
        <v>2.0000000000000001E-4</v>
      </c>
      <c r="H23" s="37">
        <f t="shared" si="6"/>
        <v>210</v>
      </c>
      <c r="I23" s="36">
        <f t="shared" si="5"/>
        <v>4.2000000000000003E-2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4" t="str">
        <f>Rates!B248</f>
        <v>Smart Meter Entity Charge</v>
      </c>
      <c r="C24" s="36">
        <f>Rates!E248</f>
        <v>0.79</v>
      </c>
      <c r="D24" s="37">
        <f>C6</f>
        <v>1</v>
      </c>
      <c r="E24" s="36">
        <f t="shared" si="4"/>
        <v>0.79</v>
      </c>
      <c r="F24" s="45"/>
      <c r="G24" s="36">
        <f>Rates!I248</f>
        <v>0.79</v>
      </c>
      <c r="H24" s="37">
        <f t="shared" si="6"/>
        <v>1</v>
      </c>
      <c r="I24" s="36">
        <f t="shared" si="5"/>
        <v>0.79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25.813386120000001</v>
      </c>
      <c r="F25" s="53"/>
      <c r="G25" s="50"/>
      <c r="H25" s="51"/>
      <c r="I25" s="52">
        <f>SUM(I16:I24)</f>
        <v>28.18538612</v>
      </c>
      <c r="J25" s="53"/>
      <c r="K25" s="54">
        <f t="shared" si="2"/>
        <v>2.3719999999999999</v>
      </c>
      <c r="L25" s="55">
        <f t="shared" si="3"/>
        <v>9.1890307957784495E-2</v>
      </c>
    </row>
    <row r="26" spans="2:12" x14ac:dyDescent="0.2">
      <c r="B26" s="44" t="str">
        <f>Rates!B15</f>
        <v>Retail Transmission Rate - Network Service Rate</v>
      </c>
      <c r="C26" s="25">
        <f>Rates!E92</f>
        <v>7.3000000000000001E-3</v>
      </c>
      <c r="D26" s="37">
        <f>C7*C5</f>
        <v>221.38200000000001</v>
      </c>
      <c r="E26" s="36">
        <f>C26*D26</f>
        <v>1.6160886000000001</v>
      </c>
      <c r="F26" s="45"/>
      <c r="G26" s="25">
        <f>Rates!I92</f>
        <v>7.1999999999999998E-3</v>
      </c>
      <c r="H26" s="37">
        <f>D26</f>
        <v>221.38200000000001</v>
      </c>
      <c r="I26" s="36">
        <f>G26*H26</f>
        <v>1.5939504</v>
      </c>
      <c r="J26" s="45"/>
      <c r="K26" s="36">
        <f t="shared" si="2"/>
        <v>-2.2138200000000108E-2</v>
      </c>
      <c r="L26" s="47">
        <f t="shared" si="3"/>
        <v>-1.3698630136986367E-2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Rates!E93</f>
        <v>5.7000000000000002E-3</v>
      </c>
      <c r="D27" s="37">
        <f>C7*C5</f>
        <v>221.38200000000001</v>
      </c>
      <c r="E27" s="36">
        <f>C27*D27</f>
        <v>1.2618774000000001</v>
      </c>
      <c r="F27" s="45"/>
      <c r="G27" s="25">
        <f>Rates!I93</f>
        <v>5.7999999999999996E-3</v>
      </c>
      <c r="H27" s="37">
        <f>D27</f>
        <v>221.38200000000001</v>
      </c>
      <c r="I27" s="36">
        <f>G27*H27</f>
        <v>1.2840156</v>
      </c>
      <c r="J27" s="45"/>
      <c r="K27" s="36">
        <f t="shared" si="2"/>
        <v>2.2138199999999886E-2</v>
      </c>
      <c r="L27" s="47">
        <f t="shared" si="3"/>
        <v>1.7543859649122716E-2</v>
      </c>
    </row>
    <row r="28" spans="2:12" x14ac:dyDescent="0.2">
      <c r="B28" s="49" t="s">
        <v>57</v>
      </c>
      <c r="C28" s="50"/>
      <c r="D28" s="51"/>
      <c r="E28" s="52">
        <f>SUM(E25:E27)</f>
        <v>28.691352120000001</v>
      </c>
      <c r="F28" s="53"/>
      <c r="G28" s="50"/>
      <c r="H28" s="52"/>
      <c r="I28" s="52">
        <f>SUM(I25:I27)</f>
        <v>31.063352120000001</v>
      </c>
      <c r="J28" s="53"/>
      <c r="K28" s="54">
        <f t="shared" si="2"/>
        <v>2.3719999999999999</v>
      </c>
      <c r="L28" s="55">
        <f t="shared" si="3"/>
        <v>8.2672994638915601E-2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221.38200000000001</v>
      </c>
      <c r="E29" s="36">
        <f t="shared" ref="E29:E36" si="7">C29*D29</f>
        <v>0.97408080000000008</v>
      </c>
      <c r="F29" s="45"/>
      <c r="G29" s="25">
        <f>Rates!I244</f>
        <v>3.5999999999999999E-3</v>
      </c>
      <c r="H29" s="37">
        <f>D29</f>
        <v>221.38200000000001</v>
      </c>
      <c r="I29" s="36">
        <f t="shared" ref="I29:I36" si="8">G29*H29</f>
        <v>0.79697519999999999</v>
      </c>
      <c r="J29" s="45"/>
      <c r="K29" s="36">
        <f t="shared" si="2"/>
        <v>-0.17710560000000009</v>
      </c>
      <c r="L29" s="47">
        <f t="shared" si="3"/>
        <v>-0.18181818181818188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221.38200000000001</v>
      </c>
      <c r="E30" s="36">
        <f t="shared" si="7"/>
        <v>0.28779660000000001</v>
      </c>
      <c r="F30" s="45"/>
      <c r="G30" s="25">
        <f>Rates!I245</f>
        <v>1.2999999999999999E-3</v>
      </c>
      <c r="H30" s="37">
        <f t="shared" ref="H30:H31" si="9">D30</f>
        <v>221.38200000000001</v>
      </c>
      <c r="I30" s="36">
        <f t="shared" si="8"/>
        <v>0.28779660000000001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7"/>
        <v>0.25</v>
      </c>
      <c r="F31" s="45"/>
      <c r="G31" s="36">
        <f>Rates!I247</f>
        <v>0.25</v>
      </c>
      <c r="H31" s="37">
        <f t="shared" si="9"/>
        <v>1</v>
      </c>
      <c r="I31" s="36">
        <f t="shared" si="8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Rates!E252</f>
        <v>5.1000000000000004E-3</v>
      </c>
      <c r="D32" s="37">
        <f>C7</f>
        <v>210</v>
      </c>
      <c r="E32" s="36">
        <f t="shared" si="7"/>
        <v>1.0710000000000002</v>
      </c>
      <c r="F32" s="45"/>
      <c r="G32" s="25">
        <f>Rates!I252</f>
        <v>0</v>
      </c>
      <c r="H32" s="37">
        <f>D32</f>
        <v>210</v>
      </c>
      <c r="I32" s="36">
        <f t="shared" si="8"/>
        <v>0</v>
      </c>
      <c r="J32" s="45"/>
      <c r="K32" s="36">
        <f t="shared" si="2"/>
        <v>-1.0710000000000002</v>
      </c>
      <c r="L32" s="47">
        <f t="shared" si="3"/>
        <v>-1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210</v>
      </c>
      <c r="I33" s="36">
        <f t="shared" si="8"/>
        <v>0.23100000000000001</v>
      </c>
      <c r="J33" s="45"/>
      <c r="K33" s="36"/>
      <c r="L33" s="47"/>
    </row>
    <row r="34" spans="2:12" x14ac:dyDescent="0.2">
      <c r="B34" s="44" t="str">
        <f>Rates!B263</f>
        <v>TOU - Off Peak</v>
      </c>
      <c r="C34" s="25">
        <f>Rates!E263</f>
        <v>8.3000000000000004E-2</v>
      </c>
      <c r="D34" s="37">
        <f>C7*0.64</f>
        <v>134.4</v>
      </c>
      <c r="E34" s="36">
        <f t="shared" si="7"/>
        <v>11.155200000000001</v>
      </c>
      <c r="F34" s="45"/>
      <c r="G34" s="25">
        <f>Rates!I263</f>
        <v>8.3000000000000004E-2</v>
      </c>
      <c r="H34" s="37">
        <f>D34</f>
        <v>134.4</v>
      </c>
      <c r="I34" s="36">
        <f t="shared" si="8"/>
        <v>11.155200000000001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44" t="str">
        <f>Rates!B264</f>
        <v>TOU - Mid Peak</v>
      </c>
      <c r="C35" s="25">
        <f>Rates!E264</f>
        <v>0.128</v>
      </c>
      <c r="D35" s="37">
        <f>C7*0.18</f>
        <v>37.799999999999997</v>
      </c>
      <c r="E35" s="36">
        <f t="shared" si="7"/>
        <v>4.8384</v>
      </c>
      <c r="F35" s="45"/>
      <c r="G35" s="25">
        <f>Rates!I264</f>
        <v>0.128</v>
      </c>
      <c r="H35" s="37">
        <f t="shared" ref="H35:H36" si="10">D35</f>
        <v>37.799999999999997</v>
      </c>
      <c r="I35" s="36">
        <f t="shared" si="8"/>
        <v>4.8384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Rates!B265</f>
        <v>TOU - On Peak</v>
      </c>
      <c r="C36" s="25">
        <f>Rates!E265</f>
        <v>0.17499999999999999</v>
      </c>
      <c r="D36" s="37">
        <f>C7*0.18</f>
        <v>37.799999999999997</v>
      </c>
      <c r="E36" s="36">
        <f t="shared" si="7"/>
        <v>6.6149999999999993</v>
      </c>
      <c r="F36" s="45"/>
      <c r="G36" s="25">
        <f>Rates!I265</f>
        <v>0.17499999999999999</v>
      </c>
      <c r="H36" s="37">
        <f t="shared" si="10"/>
        <v>37.799999999999997</v>
      </c>
      <c r="I36" s="36">
        <f t="shared" si="8"/>
        <v>6.6149999999999993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56"/>
      <c r="C37" s="51"/>
      <c r="D37" s="51"/>
      <c r="E37" s="51"/>
      <c r="F37" s="53"/>
      <c r="G37" s="51"/>
      <c r="H37" s="51"/>
      <c r="I37" s="51"/>
      <c r="J37" s="53"/>
      <c r="K37" s="54"/>
      <c r="L37" s="55"/>
    </row>
    <row r="38" spans="2:12" x14ac:dyDescent="0.2">
      <c r="B38" s="23" t="s">
        <v>58</v>
      </c>
      <c r="C38" s="35"/>
      <c r="D38" s="35"/>
      <c r="E38" s="39">
        <f>SUM(E28:E36)</f>
        <v>53.882829520000001</v>
      </c>
      <c r="F38" s="45"/>
      <c r="G38" s="35"/>
      <c r="H38" s="39"/>
      <c r="I38" s="39">
        <f>SUM(I28:I36)</f>
        <v>55.237723920000001</v>
      </c>
      <c r="J38" s="45"/>
      <c r="K38" s="36">
        <f t="shared" si="2"/>
        <v>1.3548943999999992</v>
      </c>
      <c r="L38" s="47">
        <f t="shared" si="3"/>
        <v>2.5145197683003918E-2</v>
      </c>
    </row>
    <row r="39" spans="2:12" x14ac:dyDescent="0.2">
      <c r="B39" s="44" t="str">
        <f>Rates!B269</f>
        <v>HST</v>
      </c>
      <c r="C39" s="41">
        <f>Rates!E269</f>
        <v>0.13</v>
      </c>
      <c r="D39" s="35"/>
      <c r="E39" s="42">
        <f>E38*C39</f>
        <v>7.0047678376000002</v>
      </c>
      <c r="F39" s="45"/>
      <c r="G39" s="41">
        <f>Rates!I269</f>
        <v>0.13</v>
      </c>
      <c r="H39" s="35"/>
      <c r="I39" s="42">
        <f>I38*G39</f>
        <v>7.1809041096000001</v>
      </c>
      <c r="J39" s="45"/>
      <c r="K39" s="36">
        <f t="shared" si="2"/>
        <v>0.17613627199999993</v>
      </c>
      <c r="L39" s="47">
        <f t="shared" si="3"/>
        <v>2.5145197683003922E-2</v>
      </c>
    </row>
    <row r="40" spans="2:12" x14ac:dyDescent="0.2">
      <c r="B40" s="23" t="s">
        <v>59</v>
      </c>
      <c r="C40" s="35"/>
      <c r="D40" s="35"/>
      <c r="E40" s="42">
        <f>E38+E39</f>
        <v>60.887597357600001</v>
      </c>
      <c r="F40" s="45"/>
      <c r="G40" s="35"/>
      <c r="H40" s="35"/>
      <c r="I40" s="42">
        <f>I38+I39</f>
        <v>62.418628029600001</v>
      </c>
      <c r="J40" s="45"/>
      <c r="K40" s="36">
        <f t="shared" si="2"/>
        <v>1.531030672</v>
      </c>
      <c r="L40" s="47">
        <f t="shared" si="3"/>
        <v>2.5145197683003932E-2</v>
      </c>
    </row>
    <row r="41" spans="2:12" x14ac:dyDescent="0.2">
      <c r="B41" s="44" t="str">
        <f>Rates!B271</f>
        <v>OCEB</v>
      </c>
      <c r="C41" s="41">
        <f>Rates!E271</f>
        <v>-0.1</v>
      </c>
      <c r="D41" s="35"/>
      <c r="E41" s="42">
        <f>E40*C41</f>
        <v>-6.0887597357600001</v>
      </c>
      <c r="F41" s="45"/>
      <c r="G41" s="41">
        <f>Rates!I271</f>
        <v>0</v>
      </c>
      <c r="H41" s="35"/>
      <c r="I41" s="42">
        <f>I40*G41</f>
        <v>0</v>
      </c>
      <c r="J41" s="45"/>
      <c r="K41" s="36">
        <f t="shared" si="2"/>
        <v>6.0887597357600001</v>
      </c>
      <c r="L41" s="47">
        <f t="shared" si="3"/>
        <v>-1</v>
      </c>
    </row>
    <row r="42" spans="2:12" ht="13.5" thickBot="1" x14ac:dyDescent="0.25">
      <c r="B42" s="30" t="s">
        <v>60</v>
      </c>
      <c r="C42" s="57"/>
      <c r="D42" s="57"/>
      <c r="E42" s="58">
        <f>E40+E41</f>
        <v>54.798837621840001</v>
      </c>
      <c r="F42" s="59"/>
      <c r="G42" s="57"/>
      <c r="H42" s="57"/>
      <c r="I42" s="58">
        <f>I40+I41</f>
        <v>62.418628029600001</v>
      </c>
      <c r="J42" s="59"/>
      <c r="K42" s="60">
        <f t="shared" si="2"/>
        <v>7.6197904077600001</v>
      </c>
      <c r="L42" s="61">
        <f t="shared" si="3"/>
        <v>0.13905021964778214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L42"/>
  <sheetViews>
    <sheetView showGridLines="0" workbookViewId="0">
      <selection activeCell="C3" sqref="C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Rates!B81</f>
        <v>CNPI - Eastern Ontario Power</v>
      </c>
    </row>
    <row r="3" spans="2:12" ht="15.75" x14ac:dyDescent="0.25">
      <c r="B3" s="24" t="str">
        <f>Rates!B82</f>
        <v>Residential</v>
      </c>
      <c r="C3" s="1" t="s">
        <v>103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800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Rates!E83</f>
        <v>19.43</v>
      </c>
      <c r="D14" s="37">
        <f>C6</f>
        <v>1</v>
      </c>
      <c r="E14" s="36">
        <f>C14*D14</f>
        <v>19.43</v>
      </c>
      <c r="F14" s="45"/>
      <c r="G14" s="36">
        <f>Rates!I83</f>
        <v>23.44</v>
      </c>
      <c r="H14" s="37">
        <f>D14</f>
        <v>1</v>
      </c>
      <c r="I14" s="36">
        <f>G14*H14</f>
        <v>23.44</v>
      </c>
      <c r="J14" s="45"/>
      <c r="K14" s="36">
        <f>I14-E14</f>
        <v>4.0100000000000016</v>
      </c>
      <c r="L14" s="47">
        <f>IF((E14)=0," ",K14/E14)</f>
        <v>0.20638188368502325</v>
      </c>
    </row>
    <row r="15" spans="2:12" x14ac:dyDescent="0.2">
      <c r="B15" s="44" t="str">
        <f>Rates!B8</f>
        <v>Distribution Volumetric Rate</v>
      </c>
      <c r="C15" s="25">
        <f>Rates!E85</f>
        <v>2.0199999999999999E-2</v>
      </c>
      <c r="D15" s="38">
        <f>C7</f>
        <v>800</v>
      </c>
      <c r="E15" s="36">
        <f t="shared" ref="E15" si="0">C15*D15</f>
        <v>16.16</v>
      </c>
      <c r="F15" s="45"/>
      <c r="G15" s="25">
        <f>Rates!I85</f>
        <v>1.52E-2</v>
      </c>
      <c r="H15" s="38">
        <f>D15</f>
        <v>800</v>
      </c>
      <c r="I15" s="36">
        <f t="shared" ref="I15" si="1">G15*H15</f>
        <v>12.16</v>
      </c>
      <c r="J15" s="45"/>
      <c r="K15" s="36">
        <f t="shared" ref="K15:K42" si="2">I15-E15</f>
        <v>-4</v>
      </c>
      <c r="L15" s="47">
        <f t="shared" ref="L15:L42" si="3">IF((E15)=0," ",K15/E15)</f>
        <v>-0.24752475247524752</v>
      </c>
    </row>
    <row r="16" spans="2:12" x14ac:dyDescent="0.2">
      <c r="B16" s="49" t="s">
        <v>36</v>
      </c>
      <c r="C16" s="50"/>
      <c r="D16" s="51"/>
      <c r="E16" s="52">
        <f>SUM(E14:E15)</f>
        <v>35.590000000000003</v>
      </c>
      <c r="F16" s="53"/>
      <c r="G16" s="50"/>
      <c r="H16" s="51"/>
      <c r="I16" s="52">
        <f>SUM(I14:I15)</f>
        <v>35.6</v>
      </c>
      <c r="J16" s="53"/>
      <c r="K16" s="54">
        <f t="shared" si="2"/>
        <v>9.9999999999980105E-3</v>
      </c>
      <c r="L16" s="55">
        <f t="shared" si="3"/>
        <v>2.8097780275352654E-4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43.360000000000021</v>
      </c>
      <c r="E17" s="36">
        <f t="shared" ref="E17:E24" si="4">C17*D17</f>
        <v>4.6681376000000023</v>
      </c>
      <c r="F17" s="45"/>
      <c r="G17" s="25">
        <f>Rates!I267</f>
        <v>0.10766000000000001</v>
      </c>
      <c r="H17" s="40">
        <f>(C5-1)*C7</f>
        <v>43.360000000000021</v>
      </c>
      <c r="I17" s="36">
        <f t="shared" ref="I17:I24" si="5">G17*H17</f>
        <v>4.6681376000000023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Rates!B87</f>
        <v>Rate Rider for Deferral/Variance Account Disposition (2015) - effective until December 31, 2016</v>
      </c>
      <c r="C18" s="25">
        <f>Rates!E87</f>
        <v>2.9999999999999997E-4</v>
      </c>
      <c r="D18" s="37">
        <f>C7</f>
        <v>800</v>
      </c>
      <c r="E18" s="36">
        <f t="shared" si="4"/>
        <v>0.24</v>
      </c>
      <c r="F18" s="45"/>
      <c r="G18" s="25">
        <f>Rates!I87</f>
        <v>2.9999999999999997E-4</v>
      </c>
      <c r="H18" s="37">
        <f t="shared" ref="H18:H24" si="6">D18</f>
        <v>800</v>
      </c>
      <c r="I18" s="36">
        <f t="shared" si="5"/>
        <v>0.24</v>
      </c>
      <c r="J18" s="45"/>
      <c r="K18" s="36">
        <f t="shared" ref="K18:K22" si="7">I18-E18</f>
        <v>0</v>
      </c>
      <c r="L18" s="47">
        <f t="shared" ref="L18:L22" si="8">IF((E18)=0," ",K18/E18)</f>
        <v>0</v>
      </c>
    </row>
    <row r="19" spans="2:12" ht="25.5" x14ac:dyDescent="0.2">
      <c r="B19" s="48" t="str">
        <f>Rates!B88</f>
        <v>Rate Rider for Global Adjustment Sub-Account Disposition (2015) - effective until December 31, 2016 Applicable only for Non-RPP Customers</v>
      </c>
      <c r="C19" s="25">
        <f>Rates!E88</f>
        <v>7.4999999999999997E-3</v>
      </c>
      <c r="D19" s="37">
        <f>C7</f>
        <v>800</v>
      </c>
      <c r="E19" s="36">
        <f t="shared" si="4"/>
        <v>6</v>
      </c>
      <c r="F19" s="45"/>
      <c r="G19" s="25">
        <f>Rates!I88</f>
        <v>7.4999999999999997E-3</v>
      </c>
      <c r="H19" s="37">
        <f t="shared" si="6"/>
        <v>800</v>
      </c>
      <c r="I19" s="36">
        <f t="shared" si="5"/>
        <v>6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Rates!B89</f>
        <v>Rate Rider for Deferral/Variance Account Disposition (2016) - effective until December 31, 2017</v>
      </c>
      <c r="C20" s="25">
        <f>Rates!E89</f>
        <v>0</v>
      </c>
      <c r="D20" s="37">
        <f>C7</f>
        <v>800</v>
      </c>
      <c r="E20" s="36">
        <f t="shared" si="4"/>
        <v>0</v>
      </c>
      <c r="F20" s="45"/>
      <c r="G20" s="25">
        <f>Rates!I89</f>
        <v>-2.7000000000000001E-3</v>
      </c>
      <c r="H20" s="37">
        <f t="shared" si="6"/>
        <v>800</v>
      </c>
      <c r="I20" s="36">
        <f t="shared" si="5"/>
        <v>-2.16</v>
      </c>
      <c r="J20" s="45"/>
      <c r="K20" s="36">
        <f t="shared" ref="K20:K21" si="9">I20-E20</f>
        <v>-2.16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Rates!B90</f>
        <v>Rate Rider for Global Adjustment Sub-Account Disposition (2016) - effective until December 31, 2017 Applicable only for Non-RPP Customers</v>
      </c>
      <c r="C21" s="25">
        <f>Rates!E90</f>
        <v>0</v>
      </c>
      <c r="D21" s="37">
        <f>C7</f>
        <v>800</v>
      </c>
      <c r="E21" s="36">
        <f t="shared" si="4"/>
        <v>0</v>
      </c>
      <c r="F21" s="45"/>
      <c r="G21" s="25">
        <f>Rates!I90</f>
        <v>1.0500000000000001E-2</v>
      </c>
      <c r="H21" s="37">
        <f t="shared" si="6"/>
        <v>800</v>
      </c>
      <c r="I21" s="36">
        <f t="shared" si="5"/>
        <v>8.4</v>
      </c>
      <c r="J21" s="45"/>
      <c r="K21" s="36">
        <f t="shared" si="9"/>
        <v>8.4</v>
      </c>
      <c r="L21" s="47" t="str">
        <f t="shared" si="10"/>
        <v xml:space="preserve"> </v>
      </c>
    </row>
    <row r="22" spans="2:12" x14ac:dyDescent="0.2">
      <c r="B22" s="48" t="str">
        <f>Rates!B91</f>
        <v>Rate Rider for Loss Revenue Adjustment Mechanism (LRAM) - effective until December 31, 2015</v>
      </c>
      <c r="C22" s="25">
        <f>Rates!E91</f>
        <v>1E-4</v>
      </c>
      <c r="D22" s="37">
        <f>C7</f>
        <v>800</v>
      </c>
      <c r="E22" s="36">
        <f t="shared" si="4"/>
        <v>0.08</v>
      </c>
      <c r="F22" s="45"/>
      <c r="G22" s="25">
        <f>Rates!I91</f>
        <v>0</v>
      </c>
      <c r="H22" s="37">
        <f t="shared" si="6"/>
        <v>800</v>
      </c>
      <c r="I22" s="36">
        <f t="shared" si="5"/>
        <v>0</v>
      </c>
      <c r="J22" s="45"/>
      <c r="K22" s="36">
        <f t="shared" si="7"/>
        <v>-0.08</v>
      </c>
      <c r="L22" s="47">
        <f t="shared" si="8"/>
        <v>-1</v>
      </c>
    </row>
    <row r="23" spans="2:12" x14ac:dyDescent="0.2">
      <c r="B23" s="44" t="str">
        <f>Rates!B9</f>
        <v>Low Voltage Service Rate</v>
      </c>
      <c r="C23" s="25">
        <f>Rates!E86</f>
        <v>2.0000000000000001E-4</v>
      </c>
      <c r="D23" s="37">
        <f>C7</f>
        <v>800</v>
      </c>
      <c r="E23" s="36">
        <f t="shared" si="4"/>
        <v>0.16</v>
      </c>
      <c r="F23" s="45"/>
      <c r="G23" s="25">
        <f>Rates!I86</f>
        <v>2.0000000000000001E-4</v>
      </c>
      <c r="H23" s="37">
        <f t="shared" si="6"/>
        <v>800</v>
      </c>
      <c r="I23" s="36">
        <f t="shared" si="5"/>
        <v>0.16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4" t="str">
        <f>Rates!B248</f>
        <v>Smart Meter Entity Charge</v>
      </c>
      <c r="C24" s="36">
        <f>Rates!E248</f>
        <v>0.79</v>
      </c>
      <c r="D24" s="37">
        <f>C6</f>
        <v>1</v>
      </c>
      <c r="E24" s="36">
        <f t="shared" si="4"/>
        <v>0.79</v>
      </c>
      <c r="F24" s="45"/>
      <c r="G24" s="36">
        <f>Rates!I248</f>
        <v>0.79</v>
      </c>
      <c r="H24" s="37">
        <f t="shared" si="6"/>
        <v>1</v>
      </c>
      <c r="I24" s="36">
        <f t="shared" si="5"/>
        <v>0.79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47.528137600000001</v>
      </c>
      <c r="F25" s="53"/>
      <c r="G25" s="50"/>
      <c r="H25" s="51"/>
      <c r="I25" s="52">
        <f>SUM(I16:I24)</f>
        <v>53.698137599999995</v>
      </c>
      <c r="J25" s="53"/>
      <c r="K25" s="54">
        <f t="shared" si="2"/>
        <v>6.1699999999999946</v>
      </c>
      <c r="L25" s="55">
        <f t="shared" si="3"/>
        <v>0.12981783658192395</v>
      </c>
    </row>
    <row r="26" spans="2:12" x14ac:dyDescent="0.2">
      <c r="B26" s="44" t="str">
        <f>Rates!B15</f>
        <v>Retail Transmission Rate - Network Service Rate</v>
      </c>
      <c r="C26" s="25">
        <f>Rates!E92</f>
        <v>7.3000000000000001E-3</v>
      </c>
      <c r="D26" s="37">
        <f>C7*C5</f>
        <v>843.36</v>
      </c>
      <c r="E26" s="36">
        <f>C26*D26</f>
        <v>6.1565279999999998</v>
      </c>
      <c r="F26" s="45"/>
      <c r="G26" s="25">
        <f>Rates!I92</f>
        <v>7.1999999999999998E-3</v>
      </c>
      <c r="H26" s="37">
        <f>D26</f>
        <v>843.36</v>
      </c>
      <c r="I26" s="36">
        <f>G26*H26</f>
        <v>6.0721920000000003</v>
      </c>
      <c r="J26" s="45"/>
      <c r="K26" s="36">
        <f t="shared" si="2"/>
        <v>-8.4335999999999522E-2</v>
      </c>
      <c r="L26" s="47">
        <f t="shared" si="3"/>
        <v>-1.3698630136986224E-2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Rates!E93</f>
        <v>5.7000000000000002E-3</v>
      </c>
      <c r="D27" s="37">
        <f>C7*C5</f>
        <v>843.36</v>
      </c>
      <c r="E27" s="36">
        <f>C27*D27</f>
        <v>4.8071520000000003</v>
      </c>
      <c r="F27" s="45"/>
      <c r="G27" s="25">
        <f>Rates!I93</f>
        <v>5.7999999999999996E-3</v>
      </c>
      <c r="H27" s="37">
        <f>D27</f>
        <v>843.36</v>
      </c>
      <c r="I27" s="36">
        <f>G27*H27</f>
        <v>4.8914879999999998</v>
      </c>
      <c r="J27" s="45"/>
      <c r="K27" s="36">
        <f t="shared" si="2"/>
        <v>8.4335999999999522E-2</v>
      </c>
      <c r="L27" s="47">
        <f t="shared" si="3"/>
        <v>1.7543859649122705E-2</v>
      </c>
    </row>
    <row r="28" spans="2:12" x14ac:dyDescent="0.2">
      <c r="B28" s="49" t="s">
        <v>57</v>
      </c>
      <c r="C28" s="50"/>
      <c r="D28" s="51"/>
      <c r="E28" s="52">
        <f>SUM(E25:E27)</f>
        <v>58.491817600000005</v>
      </c>
      <c r="F28" s="53"/>
      <c r="G28" s="50"/>
      <c r="H28" s="52"/>
      <c r="I28" s="52">
        <f>SUM(I25:I27)</f>
        <v>64.661817599999992</v>
      </c>
      <c r="J28" s="53"/>
      <c r="K28" s="54">
        <f t="shared" si="2"/>
        <v>6.1699999999999875</v>
      </c>
      <c r="L28" s="55">
        <f t="shared" si="3"/>
        <v>0.105484839643622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843.36</v>
      </c>
      <c r="E29" s="36">
        <f t="shared" ref="E29:E36" si="11">C29*D29</f>
        <v>3.7107840000000003</v>
      </c>
      <c r="F29" s="45"/>
      <c r="G29" s="25">
        <f>Rates!I244</f>
        <v>3.5999999999999999E-3</v>
      </c>
      <c r="H29" s="37">
        <f>D29</f>
        <v>843.36</v>
      </c>
      <c r="I29" s="36">
        <f t="shared" ref="I29:I36" si="12">G29*H29</f>
        <v>3.0360960000000001</v>
      </c>
      <c r="J29" s="45"/>
      <c r="K29" s="36">
        <f t="shared" si="2"/>
        <v>-0.67468800000000018</v>
      </c>
      <c r="L29" s="47">
        <f t="shared" si="3"/>
        <v>-0.18181818181818185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843.36</v>
      </c>
      <c r="E30" s="36">
        <f t="shared" si="11"/>
        <v>1.096368</v>
      </c>
      <c r="F30" s="45"/>
      <c r="G30" s="25">
        <f>Rates!I245</f>
        <v>1.2999999999999999E-3</v>
      </c>
      <c r="H30" s="37">
        <f t="shared" ref="H30:H31" si="13">D30</f>
        <v>843.36</v>
      </c>
      <c r="I30" s="36">
        <f t="shared" si="12"/>
        <v>1.096368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11"/>
        <v>0.25</v>
      </c>
      <c r="F31" s="45"/>
      <c r="G31" s="36">
        <f>Rates!I247</f>
        <v>0.25</v>
      </c>
      <c r="H31" s="37">
        <f t="shared" si="13"/>
        <v>1</v>
      </c>
      <c r="I31" s="36">
        <f t="shared" si="12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Rates!E252</f>
        <v>5.1000000000000004E-3</v>
      </c>
      <c r="D32" s="37">
        <f>C7</f>
        <v>800</v>
      </c>
      <c r="E32" s="36">
        <f t="shared" si="11"/>
        <v>4.08</v>
      </c>
      <c r="F32" s="45"/>
      <c r="G32" s="25">
        <f>Rates!I252</f>
        <v>0</v>
      </c>
      <c r="H32" s="37">
        <f>D32</f>
        <v>800</v>
      </c>
      <c r="I32" s="36">
        <f t="shared" si="12"/>
        <v>0</v>
      </c>
      <c r="J32" s="45"/>
      <c r="K32" s="36">
        <f t="shared" si="2"/>
        <v>-4.08</v>
      </c>
      <c r="L32" s="47">
        <f t="shared" si="3"/>
        <v>-1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800</v>
      </c>
      <c r="I33" s="36">
        <f t="shared" si="12"/>
        <v>0.88</v>
      </c>
      <c r="J33" s="45"/>
      <c r="K33" s="36"/>
      <c r="L33" s="47"/>
    </row>
    <row r="34" spans="2:12" x14ac:dyDescent="0.2">
      <c r="B34" s="44" t="str">
        <f>Rates!B263</f>
        <v>TOU - Off Peak</v>
      </c>
      <c r="C34" s="25">
        <f>Rates!E263</f>
        <v>8.3000000000000004E-2</v>
      </c>
      <c r="D34" s="37">
        <f>C7*0.64</f>
        <v>512</v>
      </c>
      <c r="E34" s="36">
        <f t="shared" si="11"/>
        <v>42.496000000000002</v>
      </c>
      <c r="F34" s="45"/>
      <c r="G34" s="25">
        <f>Rates!I263</f>
        <v>8.3000000000000004E-2</v>
      </c>
      <c r="H34" s="37">
        <f>D34</f>
        <v>512</v>
      </c>
      <c r="I34" s="36">
        <f t="shared" si="12"/>
        <v>42.496000000000002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44" t="str">
        <f>Rates!B264</f>
        <v>TOU - Mid Peak</v>
      </c>
      <c r="C35" s="25">
        <f>Rates!E264</f>
        <v>0.128</v>
      </c>
      <c r="D35" s="37">
        <f>C7*0.18</f>
        <v>144</v>
      </c>
      <c r="E35" s="36">
        <f t="shared" si="11"/>
        <v>18.432000000000002</v>
      </c>
      <c r="F35" s="45"/>
      <c r="G35" s="25">
        <f>Rates!I264</f>
        <v>0.128</v>
      </c>
      <c r="H35" s="37">
        <f t="shared" ref="H35:H36" si="14">D35</f>
        <v>144</v>
      </c>
      <c r="I35" s="36">
        <f t="shared" si="12"/>
        <v>18.432000000000002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Rates!B265</f>
        <v>TOU - On Peak</v>
      </c>
      <c r="C36" s="25">
        <f>Rates!E265</f>
        <v>0.17499999999999999</v>
      </c>
      <c r="D36" s="37">
        <f>C7*0.18</f>
        <v>144</v>
      </c>
      <c r="E36" s="36">
        <f t="shared" si="11"/>
        <v>25.2</v>
      </c>
      <c r="F36" s="45"/>
      <c r="G36" s="25">
        <f>Rates!I265</f>
        <v>0.17499999999999999</v>
      </c>
      <c r="H36" s="37">
        <f t="shared" si="14"/>
        <v>144</v>
      </c>
      <c r="I36" s="36">
        <f t="shared" si="12"/>
        <v>25.2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56"/>
      <c r="C37" s="51"/>
      <c r="D37" s="51"/>
      <c r="E37" s="51"/>
      <c r="F37" s="53"/>
      <c r="G37" s="51"/>
      <c r="H37" s="51"/>
      <c r="I37" s="51"/>
      <c r="J37" s="53"/>
      <c r="K37" s="54"/>
      <c r="L37" s="55"/>
    </row>
    <row r="38" spans="2:12" x14ac:dyDescent="0.2">
      <c r="B38" s="23" t="s">
        <v>58</v>
      </c>
      <c r="C38" s="35"/>
      <c r="D38" s="35"/>
      <c r="E38" s="39">
        <f>SUM(E28:E36)</f>
        <v>153.75696959999999</v>
      </c>
      <c r="F38" s="45"/>
      <c r="G38" s="35"/>
      <c r="H38" s="39"/>
      <c r="I38" s="39">
        <f>SUM(I28:I36)</f>
        <v>156.05228159999996</v>
      </c>
      <c r="J38" s="45"/>
      <c r="K38" s="36">
        <f t="shared" si="2"/>
        <v>2.2953119999999672</v>
      </c>
      <c r="L38" s="47">
        <f t="shared" si="3"/>
        <v>1.4928181831179686E-2</v>
      </c>
    </row>
    <row r="39" spans="2:12" x14ac:dyDescent="0.2">
      <c r="B39" s="44" t="str">
        <f>Rates!B269</f>
        <v>HST</v>
      </c>
      <c r="C39" s="41">
        <f>Rates!E269</f>
        <v>0.13</v>
      </c>
      <c r="D39" s="35"/>
      <c r="E39" s="42">
        <f>E38*C39</f>
        <v>19.988406047999998</v>
      </c>
      <c r="F39" s="45"/>
      <c r="G39" s="41">
        <f>Rates!I269</f>
        <v>0.13</v>
      </c>
      <c r="H39" s="35"/>
      <c r="I39" s="42">
        <f>I38*G39</f>
        <v>20.286796607999996</v>
      </c>
      <c r="J39" s="45"/>
      <c r="K39" s="36">
        <f t="shared" si="2"/>
        <v>0.29839055999999786</v>
      </c>
      <c r="L39" s="47">
        <f t="shared" si="3"/>
        <v>1.4928181831179794E-2</v>
      </c>
    </row>
    <row r="40" spans="2:12" x14ac:dyDescent="0.2">
      <c r="B40" s="23" t="s">
        <v>59</v>
      </c>
      <c r="C40" s="35"/>
      <c r="D40" s="35"/>
      <c r="E40" s="42">
        <f>E38+E39</f>
        <v>173.74537564799999</v>
      </c>
      <c r="F40" s="45"/>
      <c r="G40" s="35"/>
      <c r="H40" s="35"/>
      <c r="I40" s="42">
        <f>I38+I39</f>
        <v>176.33907820799996</v>
      </c>
      <c r="J40" s="45"/>
      <c r="K40" s="36">
        <f t="shared" si="2"/>
        <v>2.5937025599999686</v>
      </c>
      <c r="L40" s="47">
        <f t="shared" si="3"/>
        <v>1.4928181831179718E-2</v>
      </c>
    </row>
    <row r="41" spans="2:12" x14ac:dyDescent="0.2">
      <c r="B41" s="44" t="str">
        <f>Rates!B271</f>
        <v>OCEB</v>
      </c>
      <c r="C41" s="41">
        <f>Rates!E271</f>
        <v>-0.1</v>
      </c>
      <c r="D41" s="35"/>
      <c r="E41" s="42">
        <f>E40*C41</f>
        <v>-17.374537564800001</v>
      </c>
      <c r="F41" s="45"/>
      <c r="G41" s="41">
        <f>Rates!I271</f>
        <v>0</v>
      </c>
      <c r="H41" s="35"/>
      <c r="I41" s="42">
        <f>I40*G41</f>
        <v>0</v>
      </c>
      <c r="J41" s="45"/>
      <c r="K41" s="36">
        <f t="shared" si="2"/>
        <v>17.374537564800001</v>
      </c>
      <c r="L41" s="47">
        <f t="shared" si="3"/>
        <v>-1</v>
      </c>
    </row>
    <row r="42" spans="2:12" ht="13.5" thickBot="1" x14ac:dyDescent="0.25">
      <c r="B42" s="30" t="s">
        <v>60</v>
      </c>
      <c r="C42" s="57"/>
      <c r="D42" s="57"/>
      <c r="E42" s="58">
        <f>E40+E41</f>
        <v>156.3708380832</v>
      </c>
      <c r="F42" s="59"/>
      <c r="G42" s="57"/>
      <c r="H42" s="57"/>
      <c r="I42" s="58">
        <f>I40+I41</f>
        <v>176.33907820799996</v>
      </c>
      <c r="J42" s="59"/>
      <c r="K42" s="60">
        <f t="shared" si="2"/>
        <v>19.968240124799962</v>
      </c>
      <c r="L42" s="61">
        <f t="shared" si="3"/>
        <v>0.12769797981242187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L42"/>
  <sheetViews>
    <sheetView showGridLines="0" workbookViewId="0">
      <selection activeCell="H34" sqref="H34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Rates!B81</f>
        <v>CNPI - Eastern Ontario Power</v>
      </c>
    </row>
    <row r="3" spans="2:12" ht="15.75" x14ac:dyDescent="0.25">
      <c r="B3" s="24" t="str">
        <f>Rates!B95</f>
        <v>General Service Less Than 50kW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2000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Rates!E96</f>
        <v>26.22</v>
      </c>
      <c r="D14" s="37">
        <f>C6</f>
        <v>1</v>
      </c>
      <c r="E14" s="36">
        <f>C14*D14</f>
        <v>26.22</v>
      </c>
      <c r="F14" s="45"/>
      <c r="G14" s="36">
        <f>Rates!I96</f>
        <v>28.26</v>
      </c>
      <c r="H14" s="37">
        <f>D14</f>
        <v>1</v>
      </c>
      <c r="I14" s="36">
        <f>G14*H14</f>
        <v>28.26</v>
      </c>
      <c r="J14" s="45"/>
      <c r="K14" s="36">
        <f>I14-E14</f>
        <v>2.0400000000000027</v>
      </c>
      <c r="L14" s="47">
        <f>IF((E14)=0," ",K14/E14)</f>
        <v>7.7803203661327341E-2</v>
      </c>
    </row>
    <row r="15" spans="2:12" x14ac:dyDescent="0.2">
      <c r="B15" s="44" t="str">
        <f>Rates!B8</f>
        <v>Distribution Volumetric Rate</v>
      </c>
      <c r="C15" s="25">
        <f>Rates!E98</f>
        <v>2.35E-2</v>
      </c>
      <c r="D15" s="38">
        <f>C7</f>
        <v>2000</v>
      </c>
      <c r="E15" s="36">
        <f t="shared" ref="E15" si="0">C15*D15</f>
        <v>47</v>
      </c>
      <c r="F15" s="45"/>
      <c r="G15" s="25">
        <f>Rates!I98</f>
        <v>2.3E-2</v>
      </c>
      <c r="H15" s="37">
        <f>D15</f>
        <v>2000</v>
      </c>
      <c r="I15" s="36">
        <f t="shared" ref="I15" si="1">G15*H15</f>
        <v>46</v>
      </c>
      <c r="J15" s="45"/>
      <c r="K15" s="36">
        <f t="shared" ref="K15:K42" si="2">I15-E15</f>
        <v>-1</v>
      </c>
      <c r="L15" s="47">
        <f t="shared" ref="L15:L42" si="3">IF((E15)=0," ",K15/E15)</f>
        <v>-2.1276595744680851E-2</v>
      </c>
    </row>
    <row r="16" spans="2:12" x14ac:dyDescent="0.2">
      <c r="B16" s="49" t="s">
        <v>36</v>
      </c>
      <c r="C16" s="50"/>
      <c r="D16" s="51"/>
      <c r="E16" s="52">
        <f>SUM(E14:E15)</f>
        <v>73.22</v>
      </c>
      <c r="F16" s="53"/>
      <c r="G16" s="50"/>
      <c r="H16" s="51"/>
      <c r="I16" s="52">
        <f>SUM(I14:I15)</f>
        <v>74.260000000000005</v>
      </c>
      <c r="J16" s="53"/>
      <c r="K16" s="54">
        <f t="shared" si="2"/>
        <v>1.0400000000000063</v>
      </c>
      <c r="L16" s="55">
        <f t="shared" si="3"/>
        <v>1.4203769461895742E-2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108.40000000000005</v>
      </c>
      <c r="E17" s="36">
        <f t="shared" ref="E17:E24" si="4">C17*D17</f>
        <v>11.670344000000005</v>
      </c>
      <c r="F17" s="45"/>
      <c r="G17" s="25">
        <f>Rates!I267</f>
        <v>0.10766000000000001</v>
      </c>
      <c r="H17" s="40">
        <f>(C5-1)*C7</f>
        <v>108.40000000000005</v>
      </c>
      <c r="I17" s="36">
        <f t="shared" ref="I17:I24" si="5">G17*H17</f>
        <v>11.670344000000005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Rates!B100</f>
        <v>Rate Rider for Deferral/Variance Account Disposition (2015) - effective until December 31, 2016</v>
      </c>
      <c r="C18" s="25">
        <f>Rates!E100</f>
        <v>2.9999999999999997E-4</v>
      </c>
      <c r="D18" s="37">
        <f>C7</f>
        <v>2000</v>
      </c>
      <c r="E18" s="36">
        <f t="shared" si="4"/>
        <v>0.6</v>
      </c>
      <c r="F18" s="45"/>
      <c r="G18" s="25">
        <f>Rates!I100</f>
        <v>2.9999999999999997E-4</v>
      </c>
      <c r="H18" s="37">
        <f t="shared" ref="H18:H24" si="6">D18</f>
        <v>2000</v>
      </c>
      <c r="I18" s="36">
        <f t="shared" si="5"/>
        <v>0.6</v>
      </c>
      <c r="J18" s="45"/>
      <c r="K18" s="36">
        <f t="shared" si="2"/>
        <v>0</v>
      </c>
      <c r="L18" s="47">
        <f t="shared" si="3"/>
        <v>0</v>
      </c>
    </row>
    <row r="19" spans="2:12" ht="25.5" x14ac:dyDescent="0.2">
      <c r="B19" s="48" t="str">
        <f>Rates!B101</f>
        <v>Rate Rider for Global Adjustment Sub-Account Disposition (2015) - effective until December 31, 2016 Applicable only for Non-RPP Customers</v>
      </c>
      <c r="C19" s="25">
        <f>Rates!E101</f>
        <v>7.4999999999999997E-3</v>
      </c>
      <c r="D19" s="37"/>
      <c r="E19" s="36">
        <f t="shared" si="4"/>
        <v>0</v>
      </c>
      <c r="F19" s="45"/>
      <c r="G19" s="25">
        <f>Rates!I101</f>
        <v>7.4999999999999997E-3</v>
      </c>
      <c r="H19" s="37">
        <f t="shared" si="6"/>
        <v>0</v>
      </c>
      <c r="I19" s="36">
        <f t="shared" si="5"/>
        <v>0</v>
      </c>
      <c r="J19" s="45"/>
      <c r="K19" s="36">
        <f t="shared" si="2"/>
        <v>0</v>
      </c>
      <c r="L19" s="47" t="str">
        <f t="shared" si="3"/>
        <v xml:space="preserve"> </v>
      </c>
    </row>
    <row r="20" spans="2:12" x14ac:dyDescent="0.2">
      <c r="B20" s="48" t="str">
        <f>Rates!B102</f>
        <v>Rate Rider for Deferral/Variance Account Disposition (2016) - effective until December 31, 2017</v>
      </c>
      <c r="C20" s="25">
        <f>Rates!E102</f>
        <v>0</v>
      </c>
      <c r="D20" s="37">
        <f>C7</f>
        <v>2000</v>
      </c>
      <c r="E20" s="36">
        <f t="shared" si="4"/>
        <v>0</v>
      </c>
      <c r="F20" s="45"/>
      <c r="G20" s="25">
        <f>Rates!I102</f>
        <v>-2.7000000000000001E-3</v>
      </c>
      <c r="H20" s="37">
        <f t="shared" si="6"/>
        <v>2000</v>
      </c>
      <c r="I20" s="36">
        <f t="shared" si="5"/>
        <v>-5.4</v>
      </c>
      <c r="J20" s="45"/>
      <c r="K20" s="36">
        <f t="shared" ref="K20:K21" si="7">I20-E20</f>
        <v>-5.4</v>
      </c>
      <c r="L20" s="47" t="str">
        <f t="shared" ref="L20:L21" si="8">IF((E20)=0," ",K20/E20)</f>
        <v xml:space="preserve"> </v>
      </c>
    </row>
    <row r="21" spans="2:12" ht="25.5" x14ac:dyDescent="0.2">
      <c r="B21" s="48" t="str">
        <f>Rates!B103</f>
        <v>Rate Rider for Global Adjustment Sub-Account Disposition (2016) - effective until December 31, 2017 Applicable only for Non-RPP Customers</v>
      </c>
      <c r="C21" s="25">
        <f>Rates!E103</f>
        <v>0</v>
      </c>
      <c r="D21" s="37"/>
      <c r="E21" s="36">
        <f t="shared" si="4"/>
        <v>0</v>
      </c>
      <c r="F21" s="45"/>
      <c r="G21" s="25">
        <f>Rates!I103</f>
        <v>1.0500000000000001E-2</v>
      </c>
      <c r="H21" s="37">
        <f t="shared" si="6"/>
        <v>0</v>
      </c>
      <c r="I21" s="36">
        <f t="shared" si="5"/>
        <v>0</v>
      </c>
      <c r="J21" s="45"/>
      <c r="K21" s="36">
        <f t="shared" si="7"/>
        <v>0</v>
      </c>
      <c r="L21" s="47" t="str">
        <f t="shared" si="8"/>
        <v xml:space="preserve"> </v>
      </c>
    </row>
    <row r="22" spans="2:12" x14ac:dyDescent="0.2">
      <c r="B22" s="48" t="str">
        <f>Rates!B104</f>
        <v>Rate Rider for Loss Revenue Adjustment Mechanism (LRAM) - effective until December 31, 2015</v>
      </c>
      <c r="C22" s="25">
        <f>Rates!E104</f>
        <v>4.0000000000000002E-4</v>
      </c>
      <c r="D22" s="37">
        <f>C7</f>
        <v>2000</v>
      </c>
      <c r="E22" s="36">
        <f t="shared" si="4"/>
        <v>0.8</v>
      </c>
      <c r="F22" s="45"/>
      <c r="G22" s="25">
        <f>Rates!I104</f>
        <v>0</v>
      </c>
      <c r="H22" s="37">
        <f t="shared" si="6"/>
        <v>2000</v>
      </c>
      <c r="I22" s="36">
        <f t="shared" si="5"/>
        <v>0</v>
      </c>
      <c r="J22" s="45"/>
      <c r="K22" s="36">
        <f t="shared" si="2"/>
        <v>-0.8</v>
      </c>
      <c r="L22" s="47">
        <f t="shared" si="3"/>
        <v>-1</v>
      </c>
    </row>
    <row r="23" spans="2:12" x14ac:dyDescent="0.2">
      <c r="B23" s="44" t="str">
        <f>Rates!B9</f>
        <v>Low Voltage Service Rate</v>
      </c>
      <c r="C23" s="25">
        <f>Rates!E99</f>
        <v>2.0000000000000001E-4</v>
      </c>
      <c r="D23" s="37">
        <f>C7</f>
        <v>2000</v>
      </c>
      <c r="E23" s="36">
        <f t="shared" si="4"/>
        <v>0.4</v>
      </c>
      <c r="F23" s="45"/>
      <c r="G23" s="25">
        <f>Rates!I99</f>
        <v>2.0000000000000001E-4</v>
      </c>
      <c r="H23" s="37">
        <f t="shared" si="6"/>
        <v>2000</v>
      </c>
      <c r="I23" s="36">
        <f t="shared" si="5"/>
        <v>0.4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4" t="str">
        <f>Rates!B248</f>
        <v>Smart Meter Entity Charge</v>
      </c>
      <c r="C24" s="36">
        <f>Rates!E248</f>
        <v>0.79</v>
      </c>
      <c r="D24" s="37">
        <f>C6</f>
        <v>1</v>
      </c>
      <c r="E24" s="36">
        <f t="shared" si="4"/>
        <v>0.79</v>
      </c>
      <c r="F24" s="45"/>
      <c r="G24" s="36">
        <f>Rates!I248</f>
        <v>0.79</v>
      </c>
      <c r="H24" s="37">
        <f t="shared" si="6"/>
        <v>1</v>
      </c>
      <c r="I24" s="36">
        <f t="shared" si="5"/>
        <v>0.79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87.480344000000002</v>
      </c>
      <c r="F25" s="53"/>
      <c r="G25" s="50"/>
      <c r="H25" s="51"/>
      <c r="I25" s="52">
        <f>SUM(I16:I24)</f>
        <v>82.320344000000006</v>
      </c>
      <c r="J25" s="53"/>
      <c r="K25" s="54">
        <f t="shared" si="2"/>
        <v>-5.1599999999999966</v>
      </c>
      <c r="L25" s="55">
        <f t="shared" si="3"/>
        <v>-5.898467888969431E-2</v>
      </c>
    </row>
    <row r="26" spans="2:12" x14ac:dyDescent="0.2">
      <c r="B26" s="44" t="str">
        <f>Rates!B15</f>
        <v>Retail Transmission Rate - Network Service Rate</v>
      </c>
      <c r="C26" s="25">
        <f>Rates!E105</f>
        <v>6.1999999999999998E-3</v>
      </c>
      <c r="D26" s="37">
        <f>C7*C5</f>
        <v>2108.4</v>
      </c>
      <c r="E26" s="36">
        <f>C26*D26</f>
        <v>13.07208</v>
      </c>
      <c r="F26" s="45"/>
      <c r="G26" s="25">
        <f>Rates!I105</f>
        <v>6.1000000000000004E-3</v>
      </c>
      <c r="H26" s="37">
        <f>D26</f>
        <v>2108.4</v>
      </c>
      <c r="I26" s="36">
        <f>G26*H26</f>
        <v>12.861240000000002</v>
      </c>
      <c r="J26" s="45"/>
      <c r="K26" s="36">
        <f t="shared" si="2"/>
        <v>-0.21083999999999747</v>
      </c>
      <c r="L26" s="47">
        <f t="shared" si="3"/>
        <v>-1.6129032258064325E-2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Rates!E106</f>
        <v>4.8999999999999998E-3</v>
      </c>
      <c r="D27" s="37">
        <f>C7*C5</f>
        <v>2108.4</v>
      </c>
      <c r="E27" s="36">
        <f>C27*D27</f>
        <v>10.331160000000001</v>
      </c>
      <c r="F27" s="45"/>
      <c r="G27" s="25">
        <f>Rates!I106</f>
        <v>5.0000000000000001E-3</v>
      </c>
      <c r="H27" s="37">
        <f>D27</f>
        <v>2108.4</v>
      </c>
      <c r="I27" s="36">
        <f>G27*H27</f>
        <v>10.542</v>
      </c>
      <c r="J27" s="45"/>
      <c r="K27" s="36">
        <f t="shared" si="2"/>
        <v>0.21083999999999925</v>
      </c>
      <c r="L27" s="47">
        <f t="shared" si="3"/>
        <v>2.0408163265306048E-2</v>
      </c>
    </row>
    <row r="28" spans="2:12" x14ac:dyDescent="0.2">
      <c r="B28" s="49" t="s">
        <v>57</v>
      </c>
      <c r="C28" s="50"/>
      <c r="D28" s="51"/>
      <c r="E28" s="52">
        <f>SUM(E25:E27)</f>
        <v>110.883584</v>
      </c>
      <c r="F28" s="53"/>
      <c r="G28" s="50"/>
      <c r="H28" s="52"/>
      <c r="I28" s="52">
        <f>SUM(I25:I27)</f>
        <v>105.72358400000002</v>
      </c>
      <c r="J28" s="53"/>
      <c r="K28" s="54">
        <f t="shared" si="2"/>
        <v>-5.1599999999999824</v>
      </c>
      <c r="L28" s="55">
        <f t="shared" si="3"/>
        <v>-4.6535292365730015E-2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2108.4</v>
      </c>
      <c r="E29" s="36">
        <f t="shared" ref="E29:E36" si="9">C29*D29</f>
        <v>9.2769600000000008</v>
      </c>
      <c r="F29" s="45"/>
      <c r="G29" s="25">
        <f>Rates!I244</f>
        <v>3.5999999999999999E-3</v>
      </c>
      <c r="H29" s="37">
        <f>D29</f>
        <v>2108.4</v>
      </c>
      <c r="I29" s="36">
        <f t="shared" ref="I29:I36" si="10">G29*H29</f>
        <v>7.5902400000000005</v>
      </c>
      <c r="J29" s="45"/>
      <c r="K29" s="36">
        <f t="shared" si="2"/>
        <v>-1.6867200000000002</v>
      </c>
      <c r="L29" s="47">
        <f t="shared" si="3"/>
        <v>-0.18181818181818182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2108.4</v>
      </c>
      <c r="E30" s="36">
        <f t="shared" si="9"/>
        <v>2.74092</v>
      </c>
      <c r="F30" s="45"/>
      <c r="G30" s="25">
        <f>Rates!I245</f>
        <v>1.2999999999999999E-3</v>
      </c>
      <c r="H30" s="37">
        <f t="shared" ref="H30:H31" si="11">D30</f>
        <v>2108.4</v>
      </c>
      <c r="I30" s="36">
        <f t="shared" si="10"/>
        <v>2.74092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9"/>
        <v>0.25</v>
      </c>
      <c r="F31" s="45"/>
      <c r="G31" s="36">
        <f>Rates!I247</f>
        <v>0.25</v>
      </c>
      <c r="H31" s="37">
        <f t="shared" si="11"/>
        <v>1</v>
      </c>
      <c r="I31" s="36">
        <f t="shared" si="10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Rates!E252</f>
        <v>5.1000000000000004E-3</v>
      </c>
      <c r="D32" s="37">
        <f>C7</f>
        <v>2000</v>
      </c>
      <c r="E32" s="36">
        <f t="shared" si="9"/>
        <v>10.200000000000001</v>
      </c>
      <c r="F32" s="45"/>
      <c r="G32" s="25">
        <f>Rates!I252</f>
        <v>0</v>
      </c>
      <c r="H32" s="37">
        <f>D32</f>
        <v>2000</v>
      </c>
      <c r="I32" s="36">
        <f t="shared" si="10"/>
        <v>0</v>
      </c>
      <c r="J32" s="45"/>
      <c r="K32" s="36">
        <f t="shared" si="2"/>
        <v>-10.200000000000001</v>
      </c>
      <c r="L32" s="47">
        <f t="shared" si="3"/>
        <v>-1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2000</v>
      </c>
      <c r="I33" s="36">
        <f t="shared" si="10"/>
        <v>2.2000000000000002</v>
      </c>
      <c r="J33" s="45"/>
      <c r="K33" s="36"/>
      <c r="L33" s="47"/>
    </row>
    <row r="34" spans="2:12" x14ac:dyDescent="0.2">
      <c r="B34" s="44" t="str">
        <f>Rates!B263</f>
        <v>TOU - Off Peak</v>
      </c>
      <c r="C34" s="25">
        <f>Rates!E263</f>
        <v>8.3000000000000004E-2</v>
      </c>
      <c r="D34" s="37">
        <f>C7*0.64</f>
        <v>1280</v>
      </c>
      <c r="E34" s="36">
        <f t="shared" si="9"/>
        <v>106.24000000000001</v>
      </c>
      <c r="F34" s="45"/>
      <c r="G34" s="25">
        <f>Rates!I263</f>
        <v>8.3000000000000004E-2</v>
      </c>
      <c r="H34" s="37">
        <f>D34</f>
        <v>1280</v>
      </c>
      <c r="I34" s="36">
        <f t="shared" si="10"/>
        <v>106.24000000000001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44" t="str">
        <f>Rates!B264</f>
        <v>TOU - Mid Peak</v>
      </c>
      <c r="C35" s="25">
        <f>Rates!E264</f>
        <v>0.128</v>
      </c>
      <c r="D35" s="37">
        <f>C7*0.18</f>
        <v>360</v>
      </c>
      <c r="E35" s="36">
        <f t="shared" si="9"/>
        <v>46.08</v>
      </c>
      <c r="F35" s="45"/>
      <c r="G35" s="25">
        <f>Rates!I264</f>
        <v>0.128</v>
      </c>
      <c r="H35" s="37">
        <f t="shared" ref="H35:H36" si="12">D35</f>
        <v>360</v>
      </c>
      <c r="I35" s="36">
        <f t="shared" si="10"/>
        <v>46.08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Rates!B265</f>
        <v>TOU - On Peak</v>
      </c>
      <c r="C36" s="25">
        <f>Rates!E265</f>
        <v>0.17499999999999999</v>
      </c>
      <c r="D36" s="37">
        <f>C7*0.18</f>
        <v>360</v>
      </c>
      <c r="E36" s="36">
        <f t="shared" si="9"/>
        <v>62.999999999999993</v>
      </c>
      <c r="F36" s="45"/>
      <c r="G36" s="25">
        <f>Rates!I265</f>
        <v>0.17499999999999999</v>
      </c>
      <c r="H36" s="37">
        <f t="shared" si="12"/>
        <v>360</v>
      </c>
      <c r="I36" s="36">
        <f t="shared" si="10"/>
        <v>62.999999999999993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56"/>
      <c r="C37" s="51"/>
      <c r="D37" s="51"/>
      <c r="E37" s="51"/>
      <c r="F37" s="53"/>
      <c r="G37" s="51"/>
      <c r="H37" s="51"/>
      <c r="I37" s="51"/>
      <c r="J37" s="53"/>
      <c r="K37" s="54"/>
      <c r="L37" s="55"/>
    </row>
    <row r="38" spans="2:12" x14ac:dyDescent="0.2">
      <c r="B38" s="23" t="s">
        <v>58</v>
      </c>
      <c r="C38" s="35"/>
      <c r="D38" s="35"/>
      <c r="E38" s="39">
        <f>SUM(E28:E36)</f>
        <v>348.67146400000001</v>
      </c>
      <c r="F38" s="45"/>
      <c r="G38" s="35"/>
      <c r="H38" s="39"/>
      <c r="I38" s="39">
        <f>SUM(I28:I36)</f>
        <v>333.82474400000001</v>
      </c>
      <c r="J38" s="45"/>
      <c r="K38" s="36">
        <f t="shared" si="2"/>
        <v>-14.846720000000005</v>
      </c>
      <c r="L38" s="47">
        <f t="shared" si="3"/>
        <v>-4.2580829040830263E-2</v>
      </c>
    </row>
    <row r="39" spans="2:12" x14ac:dyDescent="0.2">
      <c r="B39" s="44" t="str">
        <f>Rates!B269</f>
        <v>HST</v>
      </c>
      <c r="C39" s="41">
        <f>Rates!E269</f>
        <v>0.13</v>
      </c>
      <c r="D39" s="35"/>
      <c r="E39" s="42">
        <f>E38*C39</f>
        <v>45.327290320000003</v>
      </c>
      <c r="F39" s="45"/>
      <c r="G39" s="41">
        <f>Rates!I269</f>
        <v>0.13</v>
      </c>
      <c r="H39" s="35"/>
      <c r="I39" s="42">
        <f>I38*G39</f>
        <v>43.397216720000003</v>
      </c>
      <c r="J39" s="45"/>
      <c r="K39" s="36">
        <f t="shared" si="2"/>
        <v>-1.9300736000000001</v>
      </c>
      <c r="L39" s="47">
        <f t="shared" si="3"/>
        <v>-4.2580829040830249E-2</v>
      </c>
    </row>
    <row r="40" spans="2:12" x14ac:dyDescent="0.2">
      <c r="B40" s="23" t="s">
        <v>59</v>
      </c>
      <c r="C40" s="35"/>
      <c r="D40" s="35"/>
      <c r="E40" s="42">
        <f>E38+E39</f>
        <v>393.99875431999999</v>
      </c>
      <c r="F40" s="45"/>
      <c r="G40" s="35"/>
      <c r="H40" s="35"/>
      <c r="I40" s="42">
        <f>I38+I39</f>
        <v>377.22196072000003</v>
      </c>
      <c r="J40" s="45"/>
      <c r="K40" s="36">
        <f t="shared" si="2"/>
        <v>-16.776793599999962</v>
      </c>
      <c r="L40" s="47">
        <f t="shared" si="3"/>
        <v>-4.2580829040830159E-2</v>
      </c>
    </row>
    <row r="41" spans="2:12" x14ac:dyDescent="0.2">
      <c r="B41" s="44" t="str">
        <f>Rates!B271</f>
        <v>OCEB</v>
      </c>
      <c r="C41" s="41">
        <f>Rates!E271</f>
        <v>-0.1</v>
      </c>
      <c r="D41" s="35"/>
      <c r="E41" s="42">
        <f>E40*C41</f>
        <v>-39.399875432000002</v>
      </c>
      <c r="F41" s="45"/>
      <c r="G41" s="41">
        <f>Rates!I271</f>
        <v>0</v>
      </c>
      <c r="H41" s="35"/>
      <c r="I41" s="42">
        <f>I40*G41</f>
        <v>0</v>
      </c>
      <c r="J41" s="45"/>
      <c r="K41" s="36">
        <f t="shared" si="2"/>
        <v>39.399875432000002</v>
      </c>
      <c r="L41" s="47">
        <f t="shared" si="3"/>
        <v>-1</v>
      </c>
    </row>
    <row r="42" spans="2:12" ht="13.5" thickBot="1" x14ac:dyDescent="0.25">
      <c r="B42" s="30" t="s">
        <v>60</v>
      </c>
      <c r="C42" s="57"/>
      <c r="D42" s="57"/>
      <c r="E42" s="58">
        <f>E40+E41</f>
        <v>354.598878888</v>
      </c>
      <c r="F42" s="59"/>
      <c r="G42" s="57"/>
      <c r="H42" s="57"/>
      <c r="I42" s="58">
        <f>I40+I41</f>
        <v>377.22196072000003</v>
      </c>
      <c r="J42" s="59"/>
      <c r="K42" s="60">
        <f t="shared" si="2"/>
        <v>22.623081832000025</v>
      </c>
      <c r="L42" s="61">
        <f t="shared" si="3"/>
        <v>6.3799078843522011E-2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L42"/>
  <sheetViews>
    <sheetView showGridLines="0" workbookViewId="0">
      <selection activeCell="C3" sqref="C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Rates!B81</f>
        <v>CNPI - Eastern Ontario Power</v>
      </c>
    </row>
    <row r="3" spans="2:12" ht="15.75" x14ac:dyDescent="0.25">
      <c r="B3" s="24" t="str">
        <f>Rates!B95</f>
        <v>General Service Less Than 50kW</v>
      </c>
      <c r="C3" s="1" t="s">
        <v>103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2000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Rates!E96</f>
        <v>26.22</v>
      </c>
      <c r="D14" s="37">
        <f>C6</f>
        <v>1</v>
      </c>
      <c r="E14" s="36">
        <f>C14*D14</f>
        <v>26.22</v>
      </c>
      <c r="F14" s="45"/>
      <c r="G14" s="36">
        <f>Rates!I96</f>
        <v>28.26</v>
      </c>
      <c r="H14" s="37">
        <f>D14</f>
        <v>1</v>
      </c>
      <c r="I14" s="36">
        <f>G14*H14</f>
        <v>28.26</v>
      </c>
      <c r="J14" s="45"/>
      <c r="K14" s="36">
        <f>I14-E14</f>
        <v>2.0400000000000027</v>
      </c>
      <c r="L14" s="47">
        <f>IF((E14)=0," ",K14/E14)</f>
        <v>7.7803203661327341E-2</v>
      </c>
    </row>
    <row r="15" spans="2:12" x14ac:dyDescent="0.2">
      <c r="B15" s="44" t="str">
        <f>Rates!B8</f>
        <v>Distribution Volumetric Rate</v>
      </c>
      <c r="C15" s="25">
        <f>Rates!E98</f>
        <v>2.35E-2</v>
      </c>
      <c r="D15" s="38">
        <f>C7</f>
        <v>2000</v>
      </c>
      <c r="E15" s="36">
        <f t="shared" ref="E15" si="0">C15*D15</f>
        <v>47</v>
      </c>
      <c r="F15" s="45"/>
      <c r="G15" s="25">
        <f>Rates!I98</f>
        <v>2.3E-2</v>
      </c>
      <c r="H15" s="37">
        <f>D15</f>
        <v>2000</v>
      </c>
      <c r="I15" s="36">
        <f t="shared" ref="I15" si="1">G15*H15</f>
        <v>46</v>
      </c>
      <c r="J15" s="45"/>
      <c r="K15" s="36">
        <f t="shared" ref="K15:K42" si="2">I15-E15</f>
        <v>-1</v>
      </c>
      <c r="L15" s="47">
        <f t="shared" ref="L15:L42" si="3">IF((E15)=0," ",K15/E15)</f>
        <v>-2.1276595744680851E-2</v>
      </c>
    </row>
    <row r="16" spans="2:12" x14ac:dyDescent="0.2">
      <c r="B16" s="49" t="s">
        <v>36</v>
      </c>
      <c r="C16" s="50"/>
      <c r="D16" s="51"/>
      <c r="E16" s="52">
        <f>SUM(E14:E15)</f>
        <v>73.22</v>
      </c>
      <c r="F16" s="53"/>
      <c r="G16" s="50"/>
      <c r="H16" s="51"/>
      <c r="I16" s="52">
        <f>SUM(I14:I15)</f>
        <v>74.260000000000005</v>
      </c>
      <c r="J16" s="53"/>
      <c r="K16" s="54">
        <f t="shared" si="2"/>
        <v>1.0400000000000063</v>
      </c>
      <c r="L16" s="55">
        <f t="shared" si="3"/>
        <v>1.4203769461895742E-2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108.40000000000005</v>
      </c>
      <c r="E17" s="36">
        <f t="shared" ref="E17:E24" si="4">C17*D17</f>
        <v>11.670344000000005</v>
      </c>
      <c r="F17" s="45"/>
      <c r="G17" s="25">
        <f>Rates!I267</f>
        <v>0.10766000000000001</v>
      </c>
      <c r="H17" s="40">
        <f>(C5-1)*C7</f>
        <v>108.40000000000005</v>
      </c>
      <c r="I17" s="36">
        <f t="shared" ref="I17:I24" si="5">G17*H17</f>
        <v>11.670344000000005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Rates!B100</f>
        <v>Rate Rider for Deferral/Variance Account Disposition (2015) - effective until December 31, 2016</v>
      </c>
      <c r="C18" s="25">
        <f>Rates!E100</f>
        <v>2.9999999999999997E-4</v>
      </c>
      <c r="D18" s="37">
        <f>C7</f>
        <v>2000</v>
      </c>
      <c r="E18" s="36">
        <f t="shared" si="4"/>
        <v>0.6</v>
      </c>
      <c r="F18" s="45"/>
      <c r="G18" s="25">
        <f>Rates!I100</f>
        <v>2.9999999999999997E-4</v>
      </c>
      <c r="H18" s="37">
        <f t="shared" ref="H18:H24" si="6">D18</f>
        <v>2000</v>
      </c>
      <c r="I18" s="36">
        <f t="shared" si="5"/>
        <v>0.6</v>
      </c>
      <c r="J18" s="45"/>
      <c r="K18" s="36">
        <f t="shared" ref="K18:K22" si="7">I18-E18</f>
        <v>0</v>
      </c>
      <c r="L18" s="47">
        <f t="shared" ref="L18:L22" si="8">IF((E18)=0," ",K18/E18)</f>
        <v>0</v>
      </c>
    </row>
    <row r="19" spans="2:12" ht="25.5" x14ac:dyDescent="0.2">
      <c r="B19" s="48" t="str">
        <f>Rates!B101</f>
        <v>Rate Rider for Global Adjustment Sub-Account Disposition (2015) - effective until December 31, 2016 Applicable only for Non-RPP Customers</v>
      </c>
      <c r="C19" s="25">
        <f>Rates!E101</f>
        <v>7.4999999999999997E-3</v>
      </c>
      <c r="D19" s="37">
        <f>C7</f>
        <v>2000</v>
      </c>
      <c r="E19" s="36">
        <f t="shared" si="4"/>
        <v>15</v>
      </c>
      <c r="F19" s="45"/>
      <c r="G19" s="25">
        <f>Rates!I101</f>
        <v>7.4999999999999997E-3</v>
      </c>
      <c r="H19" s="37">
        <f t="shared" si="6"/>
        <v>2000</v>
      </c>
      <c r="I19" s="36">
        <f t="shared" si="5"/>
        <v>15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Rates!B102</f>
        <v>Rate Rider for Deferral/Variance Account Disposition (2016) - effective until December 31, 2017</v>
      </c>
      <c r="C20" s="25">
        <f>Rates!E102</f>
        <v>0</v>
      </c>
      <c r="D20" s="37">
        <f>C7</f>
        <v>2000</v>
      </c>
      <c r="E20" s="36">
        <f t="shared" si="4"/>
        <v>0</v>
      </c>
      <c r="F20" s="45"/>
      <c r="G20" s="25">
        <f>Rates!I102</f>
        <v>-2.7000000000000001E-3</v>
      </c>
      <c r="H20" s="37">
        <f t="shared" si="6"/>
        <v>2000</v>
      </c>
      <c r="I20" s="36">
        <f t="shared" si="5"/>
        <v>-5.4</v>
      </c>
      <c r="J20" s="45"/>
      <c r="K20" s="36">
        <f t="shared" ref="K20:K21" si="9">I20-E20</f>
        <v>-5.4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Rates!B103</f>
        <v>Rate Rider for Global Adjustment Sub-Account Disposition (2016) - effective until December 31, 2017 Applicable only for Non-RPP Customers</v>
      </c>
      <c r="C21" s="25">
        <f>Rates!E103</f>
        <v>0</v>
      </c>
      <c r="D21" s="37">
        <f>C7</f>
        <v>2000</v>
      </c>
      <c r="E21" s="36">
        <f t="shared" si="4"/>
        <v>0</v>
      </c>
      <c r="F21" s="45"/>
      <c r="G21" s="25">
        <f>Rates!I103</f>
        <v>1.0500000000000001E-2</v>
      </c>
      <c r="H21" s="37">
        <f t="shared" si="6"/>
        <v>2000</v>
      </c>
      <c r="I21" s="36">
        <f t="shared" si="5"/>
        <v>21</v>
      </c>
      <c r="J21" s="45"/>
      <c r="K21" s="36">
        <f t="shared" si="9"/>
        <v>21</v>
      </c>
      <c r="L21" s="47" t="str">
        <f t="shared" si="10"/>
        <v xml:space="preserve"> </v>
      </c>
    </row>
    <row r="22" spans="2:12" x14ac:dyDescent="0.2">
      <c r="B22" s="48" t="str">
        <f>Rates!B104</f>
        <v>Rate Rider for Loss Revenue Adjustment Mechanism (LRAM) - effective until December 31, 2015</v>
      </c>
      <c r="C22" s="25">
        <f>Rates!E104</f>
        <v>4.0000000000000002E-4</v>
      </c>
      <c r="D22" s="37">
        <f>C7</f>
        <v>2000</v>
      </c>
      <c r="E22" s="36">
        <f t="shared" si="4"/>
        <v>0.8</v>
      </c>
      <c r="F22" s="45"/>
      <c r="G22" s="25">
        <f>Rates!I104</f>
        <v>0</v>
      </c>
      <c r="H22" s="37">
        <f t="shared" si="6"/>
        <v>2000</v>
      </c>
      <c r="I22" s="36">
        <f t="shared" si="5"/>
        <v>0</v>
      </c>
      <c r="J22" s="45"/>
      <c r="K22" s="36">
        <f t="shared" si="7"/>
        <v>-0.8</v>
      </c>
      <c r="L22" s="47">
        <f t="shared" si="8"/>
        <v>-1</v>
      </c>
    </row>
    <row r="23" spans="2:12" x14ac:dyDescent="0.2">
      <c r="B23" s="44" t="str">
        <f>Rates!B9</f>
        <v>Low Voltage Service Rate</v>
      </c>
      <c r="C23" s="25">
        <f>Rates!E99</f>
        <v>2.0000000000000001E-4</v>
      </c>
      <c r="D23" s="37">
        <f>C7</f>
        <v>2000</v>
      </c>
      <c r="E23" s="36">
        <f t="shared" si="4"/>
        <v>0.4</v>
      </c>
      <c r="F23" s="45"/>
      <c r="G23" s="25">
        <f>Rates!I99</f>
        <v>2.0000000000000001E-4</v>
      </c>
      <c r="H23" s="37">
        <f t="shared" si="6"/>
        <v>2000</v>
      </c>
      <c r="I23" s="36">
        <f t="shared" si="5"/>
        <v>0.4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4" t="str">
        <f>Rates!B248</f>
        <v>Smart Meter Entity Charge</v>
      </c>
      <c r="C24" s="36">
        <f>Rates!E248</f>
        <v>0.79</v>
      </c>
      <c r="D24" s="37">
        <f>C6</f>
        <v>1</v>
      </c>
      <c r="E24" s="36">
        <f t="shared" si="4"/>
        <v>0.79</v>
      </c>
      <c r="F24" s="45"/>
      <c r="G24" s="36">
        <f>Rates!I248</f>
        <v>0.79</v>
      </c>
      <c r="H24" s="37">
        <f t="shared" si="6"/>
        <v>1</v>
      </c>
      <c r="I24" s="36">
        <f t="shared" si="5"/>
        <v>0.79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102.480344</v>
      </c>
      <c r="F25" s="53"/>
      <c r="G25" s="50"/>
      <c r="H25" s="51"/>
      <c r="I25" s="52">
        <f>SUM(I16:I24)</f>
        <v>118.32034400000001</v>
      </c>
      <c r="J25" s="53"/>
      <c r="K25" s="54">
        <f t="shared" si="2"/>
        <v>15.840000000000003</v>
      </c>
      <c r="L25" s="55">
        <f t="shared" si="3"/>
        <v>0.15456622589010829</v>
      </c>
    </row>
    <row r="26" spans="2:12" x14ac:dyDescent="0.2">
      <c r="B26" s="44" t="str">
        <f>Rates!B15</f>
        <v>Retail Transmission Rate - Network Service Rate</v>
      </c>
      <c r="C26" s="25">
        <f>Rates!E105</f>
        <v>6.1999999999999998E-3</v>
      </c>
      <c r="D26" s="37">
        <f>C7*C5</f>
        <v>2108.4</v>
      </c>
      <c r="E26" s="36">
        <f>C26*D26</f>
        <v>13.07208</v>
      </c>
      <c r="F26" s="45"/>
      <c r="G26" s="25">
        <f>Rates!I105</f>
        <v>6.1000000000000004E-3</v>
      </c>
      <c r="H26" s="37">
        <f>D26</f>
        <v>2108.4</v>
      </c>
      <c r="I26" s="36">
        <f>G26*H26</f>
        <v>12.861240000000002</v>
      </c>
      <c r="J26" s="45"/>
      <c r="K26" s="36">
        <f t="shared" si="2"/>
        <v>-0.21083999999999747</v>
      </c>
      <c r="L26" s="47">
        <f t="shared" si="3"/>
        <v>-1.6129032258064325E-2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Rates!E106</f>
        <v>4.8999999999999998E-3</v>
      </c>
      <c r="D27" s="37">
        <f>C7*C5</f>
        <v>2108.4</v>
      </c>
      <c r="E27" s="36">
        <f>C27*D27</f>
        <v>10.331160000000001</v>
      </c>
      <c r="F27" s="45"/>
      <c r="G27" s="25">
        <f>Rates!I106</f>
        <v>5.0000000000000001E-3</v>
      </c>
      <c r="H27" s="37">
        <f>D27</f>
        <v>2108.4</v>
      </c>
      <c r="I27" s="36">
        <f>G27*H27</f>
        <v>10.542</v>
      </c>
      <c r="J27" s="45"/>
      <c r="K27" s="36">
        <f t="shared" si="2"/>
        <v>0.21083999999999925</v>
      </c>
      <c r="L27" s="47">
        <f t="shared" si="3"/>
        <v>2.0408163265306048E-2</v>
      </c>
    </row>
    <row r="28" spans="2:12" x14ac:dyDescent="0.2">
      <c r="B28" s="49" t="s">
        <v>57</v>
      </c>
      <c r="C28" s="50"/>
      <c r="D28" s="51"/>
      <c r="E28" s="52">
        <f>SUM(E25:E27)</f>
        <v>125.883584</v>
      </c>
      <c r="F28" s="53"/>
      <c r="G28" s="50"/>
      <c r="H28" s="52"/>
      <c r="I28" s="52">
        <f>SUM(I25:I27)</f>
        <v>141.72358400000002</v>
      </c>
      <c r="J28" s="53"/>
      <c r="K28" s="54">
        <f t="shared" si="2"/>
        <v>15.840000000000018</v>
      </c>
      <c r="L28" s="55">
        <f t="shared" si="3"/>
        <v>0.12583054514876235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2108.4</v>
      </c>
      <c r="E29" s="36">
        <f t="shared" ref="E29:E36" si="11">C29*D29</f>
        <v>9.2769600000000008</v>
      </c>
      <c r="F29" s="45"/>
      <c r="G29" s="25">
        <f>Rates!I244</f>
        <v>3.5999999999999999E-3</v>
      </c>
      <c r="H29" s="37">
        <f>D29</f>
        <v>2108.4</v>
      </c>
      <c r="I29" s="36">
        <f t="shared" ref="I29:I36" si="12">G29*H29</f>
        <v>7.5902400000000005</v>
      </c>
      <c r="J29" s="45"/>
      <c r="K29" s="36">
        <f t="shared" si="2"/>
        <v>-1.6867200000000002</v>
      </c>
      <c r="L29" s="47">
        <f t="shared" si="3"/>
        <v>-0.18181818181818182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2108.4</v>
      </c>
      <c r="E30" s="36">
        <f t="shared" si="11"/>
        <v>2.74092</v>
      </c>
      <c r="F30" s="45"/>
      <c r="G30" s="25">
        <f>Rates!I245</f>
        <v>1.2999999999999999E-3</v>
      </c>
      <c r="H30" s="37">
        <f t="shared" ref="H30:H31" si="13">D30</f>
        <v>2108.4</v>
      </c>
      <c r="I30" s="36">
        <f t="shared" si="12"/>
        <v>2.74092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11"/>
        <v>0.25</v>
      </c>
      <c r="F31" s="45"/>
      <c r="G31" s="36">
        <f>Rates!I247</f>
        <v>0.25</v>
      </c>
      <c r="H31" s="37">
        <f t="shared" si="13"/>
        <v>1</v>
      </c>
      <c r="I31" s="36">
        <f t="shared" si="12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Rates!E252</f>
        <v>5.1000000000000004E-3</v>
      </c>
      <c r="D32" s="37">
        <f>C7</f>
        <v>2000</v>
      </c>
      <c r="E32" s="36">
        <f t="shared" si="11"/>
        <v>10.200000000000001</v>
      </c>
      <c r="F32" s="45"/>
      <c r="G32" s="25">
        <f>Rates!I252</f>
        <v>0</v>
      </c>
      <c r="H32" s="37">
        <f>D32</f>
        <v>2000</v>
      </c>
      <c r="I32" s="36">
        <f t="shared" si="12"/>
        <v>0</v>
      </c>
      <c r="J32" s="45"/>
      <c r="K32" s="36">
        <f t="shared" si="2"/>
        <v>-10.200000000000001</v>
      </c>
      <c r="L32" s="47">
        <f t="shared" si="3"/>
        <v>-1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2000</v>
      </c>
      <c r="I33" s="36">
        <f t="shared" si="12"/>
        <v>2.2000000000000002</v>
      </c>
      <c r="J33" s="45"/>
      <c r="K33" s="36"/>
      <c r="L33" s="47"/>
    </row>
    <row r="34" spans="2:12" x14ac:dyDescent="0.2">
      <c r="B34" s="44" t="str">
        <f>Rates!B263</f>
        <v>TOU - Off Peak</v>
      </c>
      <c r="C34" s="25">
        <f>Rates!E263</f>
        <v>8.3000000000000004E-2</v>
      </c>
      <c r="D34" s="37">
        <f>C7*0.64</f>
        <v>1280</v>
      </c>
      <c r="E34" s="36">
        <f t="shared" si="11"/>
        <v>106.24000000000001</v>
      </c>
      <c r="F34" s="45"/>
      <c r="G34" s="25">
        <f>Rates!I263</f>
        <v>8.3000000000000004E-2</v>
      </c>
      <c r="H34" s="37">
        <f>D34</f>
        <v>1280</v>
      </c>
      <c r="I34" s="36">
        <f t="shared" si="12"/>
        <v>106.24000000000001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44" t="str">
        <f>Rates!B264</f>
        <v>TOU - Mid Peak</v>
      </c>
      <c r="C35" s="25">
        <f>Rates!E264</f>
        <v>0.128</v>
      </c>
      <c r="D35" s="37">
        <f>C7*0.18</f>
        <v>360</v>
      </c>
      <c r="E35" s="36">
        <f t="shared" si="11"/>
        <v>46.08</v>
      </c>
      <c r="F35" s="45"/>
      <c r="G35" s="25">
        <f>Rates!I264</f>
        <v>0.128</v>
      </c>
      <c r="H35" s="37">
        <f t="shared" ref="H35:H36" si="14">D35</f>
        <v>360</v>
      </c>
      <c r="I35" s="36">
        <f t="shared" si="12"/>
        <v>46.08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Rates!B265</f>
        <v>TOU - On Peak</v>
      </c>
      <c r="C36" s="25">
        <f>Rates!E265</f>
        <v>0.17499999999999999</v>
      </c>
      <c r="D36" s="37">
        <f>C7*0.18</f>
        <v>360</v>
      </c>
      <c r="E36" s="36">
        <f t="shared" si="11"/>
        <v>62.999999999999993</v>
      </c>
      <c r="F36" s="45"/>
      <c r="G36" s="25">
        <f>Rates!I265</f>
        <v>0.17499999999999999</v>
      </c>
      <c r="H36" s="37">
        <f t="shared" si="14"/>
        <v>360</v>
      </c>
      <c r="I36" s="36">
        <f t="shared" si="12"/>
        <v>62.999999999999993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56"/>
      <c r="C37" s="51"/>
      <c r="D37" s="51"/>
      <c r="E37" s="51"/>
      <c r="F37" s="53"/>
      <c r="G37" s="51"/>
      <c r="H37" s="51"/>
      <c r="I37" s="51"/>
      <c r="J37" s="53"/>
      <c r="K37" s="54"/>
      <c r="L37" s="55"/>
    </row>
    <row r="38" spans="2:12" x14ac:dyDescent="0.2">
      <c r="B38" s="23" t="s">
        <v>58</v>
      </c>
      <c r="C38" s="35"/>
      <c r="D38" s="35"/>
      <c r="E38" s="39">
        <f>SUM(E28:E36)</f>
        <v>363.67146399999996</v>
      </c>
      <c r="F38" s="45"/>
      <c r="G38" s="35"/>
      <c r="H38" s="39"/>
      <c r="I38" s="39">
        <f>SUM(I28:I36)</f>
        <v>369.82474399999995</v>
      </c>
      <c r="J38" s="45"/>
      <c r="K38" s="36">
        <f t="shared" si="2"/>
        <v>6.1532799999999952</v>
      </c>
      <c r="L38" s="47">
        <f t="shared" si="3"/>
        <v>1.6919886791007598E-2</v>
      </c>
    </row>
    <row r="39" spans="2:12" x14ac:dyDescent="0.2">
      <c r="B39" s="44" t="str">
        <f>Rates!B269</f>
        <v>HST</v>
      </c>
      <c r="C39" s="41">
        <f>Rates!E269</f>
        <v>0.13</v>
      </c>
      <c r="D39" s="35"/>
      <c r="E39" s="42">
        <f>E38*C39</f>
        <v>47.277290319999999</v>
      </c>
      <c r="F39" s="45"/>
      <c r="G39" s="41">
        <f>Rates!I269</f>
        <v>0.13</v>
      </c>
      <c r="H39" s="35"/>
      <c r="I39" s="42">
        <f>I38*G39</f>
        <v>48.077216719999996</v>
      </c>
      <c r="J39" s="45"/>
      <c r="K39" s="36">
        <f t="shared" si="2"/>
        <v>0.79992639999999682</v>
      </c>
      <c r="L39" s="47">
        <f t="shared" si="3"/>
        <v>1.6919886791007543E-2</v>
      </c>
    </row>
    <row r="40" spans="2:12" x14ac:dyDescent="0.2">
      <c r="B40" s="23" t="s">
        <v>59</v>
      </c>
      <c r="C40" s="35"/>
      <c r="D40" s="35"/>
      <c r="E40" s="42">
        <f>E38+E39</f>
        <v>410.94875431999998</v>
      </c>
      <c r="F40" s="45"/>
      <c r="G40" s="35"/>
      <c r="H40" s="35"/>
      <c r="I40" s="42">
        <f>I38+I39</f>
        <v>417.90196071999992</v>
      </c>
      <c r="J40" s="45"/>
      <c r="K40" s="36">
        <f t="shared" si="2"/>
        <v>6.9532063999999423</v>
      </c>
      <c r="L40" s="47">
        <f t="shared" si="3"/>
        <v>1.6919886791007473E-2</v>
      </c>
    </row>
    <row r="41" spans="2:12" x14ac:dyDescent="0.2">
      <c r="B41" s="44" t="str">
        <f>Rates!B271</f>
        <v>OCEB</v>
      </c>
      <c r="C41" s="41">
        <f>Rates!E271</f>
        <v>-0.1</v>
      </c>
      <c r="D41" s="35"/>
      <c r="E41" s="42">
        <f>E40*C41</f>
        <v>-41.094875432000002</v>
      </c>
      <c r="F41" s="45"/>
      <c r="G41" s="41">
        <f>Rates!I271</f>
        <v>0</v>
      </c>
      <c r="H41" s="35"/>
      <c r="I41" s="42">
        <f>I40*G41</f>
        <v>0</v>
      </c>
      <c r="J41" s="45"/>
      <c r="K41" s="36">
        <f t="shared" si="2"/>
        <v>41.094875432000002</v>
      </c>
      <c r="L41" s="47">
        <f t="shared" si="3"/>
        <v>-1</v>
      </c>
    </row>
    <row r="42" spans="2:12" ht="13.5" thickBot="1" x14ac:dyDescent="0.25">
      <c r="B42" s="30" t="s">
        <v>60</v>
      </c>
      <c r="C42" s="57"/>
      <c r="D42" s="57"/>
      <c r="E42" s="58">
        <f>E40+E41</f>
        <v>369.853878888</v>
      </c>
      <c r="F42" s="59"/>
      <c r="G42" s="57"/>
      <c r="H42" s="57"/>
      <c r="I42" s="58">
        <f>I40+I41</f>
        <v>417.90196071999992</v>
      </c>
      <c r="J42" s="59"/>
      <c r="K42" s="60">
        <f t="shared" si="2"/>
        <v>48.048081831999923</v>
      </c>
      <c r="L42" s="61">
        <f t="shared" si="3"/>
        <v>0.12991098532334158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L39"/>
  <sheetViews>
    <sheetView showGridLines="0" workbookViewId="0">
      <selection activeCell="C3" sqref="C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5" max="5" width="10.28515625" bestFit="1" customWidth="1"/>
    <col min="6" max="6" width="1.7109375" customWidth="1"/>
    <col min="9" max="9" width="10.28515625" bestFit="1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Rates!B81</f>
        <v>CNPI - Eastern Ontario Power</v>
      </c>
    </row>
    <row r="3" spans="2:12" ht="15.75" x14ac:dyDescent="0.25">
      <c r="B3" s="24" t="str">
        <f>Rates!B108</f>
        <v>General Service 50kW to 4,999kW</v>
      </c>
      <c r="C3" s="1" t="s">
        <v>103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68620</v>
      </c>
    </row>
    <row r="8" spans="2:12" x14ac:dyDescent="0.2">
      <c r="B8" s="28" t="s">
        <v>63</v>
      </c>
      <c r="C8" s="29">
        <v>200</v>
      </c>
    </row>
    <row r="9" spans="2:12" ht="13.5" thickBot="1" x14ac:dyDescent="0.25">
      <c r="B9" s="30" t="s">
        <v>64</v>
      </c>
      <c r="C9" s="31">
        <f>IF(C8=0,"n/a",C7/(C8*24*365/12))</f>
        <v>0.47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Rates!E109</f>
        <v>149.36000000000001</v>
      </c>
      <c r="D14" s="37">
        <f>C6</f>
        <v>1</v>
      </c>
      <c r="E14" s="36">
        <f>C14*D14</f>
        <v>149.36000000000001</v>
      </c>
      <c r="F14" s="45"/>
      <c r="G14" s="36">
        <f>Rates!I32</f>
        <v>151.83000000000001</v>
      </c>
      <c r="H14" s="37">
        <f>D14</f>
        <v>1</v>
      </c>
      <c r="I14" s="36">
        <f>G14*H14</f>
        <v>151.83000000000001</v>
      </c>
      <c r="J14" s="45"/>
      <c r="K14" s="36">
        <f>I14-E14</f>
        <v>2.4699999999999989</v>
      </c>
      <c r="L14" s="47">
        <f>IF((E14)=0," ",K14/E14)</f>
        <v>1.6537225495447231E-2</v>
      </c>
    </row>
    <row r="15" spans="2:12" x14ac:dyDescent="0.2">
      <c r="B15" s="44" t="str">
        <f>Rates!B8</f>
        <v>Distribution Volumetric Rate</v>
      </c>
      <c r="C15" s="25">
        <f>Rates!E110</f>
        <v>6.5800999999999998</v>
      </c>
      <c r="D15" s="38">
        <f>C8</f>
        <v>200</v>
      </c>
      <c r="E15" s="36">
        <f t="shared" ref="E15" si="0">C15*D15</f>
        <v>1316.02</v>
      </c>
      <c r="F15" s="45"/>
      <c r="G15" s="25">
        <f>Rates!I33</f>
        <v>6.6886999999999999</v>
      </c>
      <c r="H15" s="38">
        <f>D15</f>
        <v>200</v>
      </c>
      <c r="I15" s="36">
        <f t="shared" ref="I15" si="1">G15*H15</f>
        <v>1337.74</v>
      </c>
      <c r="J15" s="45"/>
      <c r="K15" s="36">
        <f t="shared" ref="K15:K39" si="2">I15-E15</f>
        <v>21.720000000000027</v>
      </c>
      <c r="L15" s="47">
        <f t="shared" ref="L15:L39" si="3">IF((E15)=0," ",K15/E15)</f>
        <v>1.6504308445160428E-2</v>
      </c>
    </row>
    <row r="16" spans="2:12" x14ac:dyDescent="0.2">
      <c r="B16" s="49" t="s">
        <v>36</v>
      </c>
      <c r="C16" s="50"/>
      <c r="D16" s="51"/>
      <c r="E16" s="52">
        <f>SUM(E14:E15)</f>
        <v>1465.38</v>
      </c>
      <c r="F16" s="53"/>
      <c r="G16" s="50"/>
      <c r="H16" s="51"/>
      <c r="I16" s="52">
        <f>SUM(I14:I15)</f>
        <v>1489.57</v>
      </c>
      <c r="J16" s="53"/>
      <c r="K16" s="54">
        <f t="shared" si="2"/>
        <v>24.189999999999827</v>
      </c>
      <c r="L16" s="55">
        <f t="shared" si="3"/>
        <v>1.6507663541197384E-2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3719.204000000002</v>
      </c>
      <c r="E17" s="36">
        <f t="shared" ref="E17:E23" si="4">C17*D17</f>
        <v>400.40950264000026</v>
      </c>
      <c r="F17" s="45"/>
      <c r="G17" s="25">
        <f>Rates!I267</f>
        <v>0.10766000000000001</v>
      </c>
      <c r="H17" s="40">
        <f>(C5-1)*C7</f>
        <v>3719.204000000002</v>
      </c>
      <c r="I17" s="36">
        <f t="shared" ref="I17:I23" si="5">G17*H17</f>
        <v>400.40950264000026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Rates!B112</f>
        <v>Rate Rider for Deferral/Variance Account Disposition (2015) - effective until December 31, 2016</v>
      </c>
      <c r="C18" s="25">
        <f>Rates!E112</f>
        <v>7.5800000000000006E-2</v>
      </c>
      <c r="D18" s="37">
        <f>C8</f>
        <v>200</v>
      </c>
      <c r="E18" s="36">
        <f t="shared" si="4"/>
        <v>15.160000000000002</v>
      </c>
      <c r="F18" s="45"/>
      <c r="G18" s="25">
        <f>Rates!I112</f>
        <v>7.5800000000000006E-2</v>
      </c>
      <c r="H18" s="37">
        <f t="shared" ref="H18:H23" si="6">D18</f>
        <v>200</v>
      </c>
      <c r="I18" s="36">
        <f t="shared" si="5"/>
        <v>15.160000000000002</v>
      </c>
      <c r="J18" s="45"/>
      <c r="K18" s="36">
        <f t="shared" ref="K18:K22" si="7">I18-E18</f>
        <v>0</v>
      </c>
      <c r="L18" s="47">
        <f t="shared" ref="L18:L22" si="8">IF((E18)=0," ",K18/E18)</f>
        <v>0</v>
      </c>
    </row>
    <row r="19" spans="2:12" ht="25.5" x14ac:dyDescent="0.2">
      <c r="B19" s="48" t="str">
        <f>Rates!B113</f>
        <v>Rate Rider for Global Adjustment Sub-Account Disposition (2015) - effective until December 31, 2016 Applicable only for Non-RPP Customers</v>
      </c>
      <c r="C19" s="25">
        <f>Rates!E113</f>
        <v>2.6877</v>
      </c>
      <c r="D19" s="37">
        <f>C8</f>
        <v>200</v>
      </c>
      <c r="E19" s="36">
        <f t="shared" si="4"/>
        <v>537.54</v>
      </c>
      <c r="F19" s="45"/>
      <c r="G19" s="25">
        <f>Rates!I113</f>
        <v>2.6877</v>
      </c>
      <c r="H19" s="37">
        <f t="shared" si="6"/>
        <v>200</v>
      </c>
      <c r="I19" s="36">
        <f t="shared" si="5"/>
        <v>537.54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Rates!B114</f>
        <v>Rate Rider for Deferral/Variance Account Disposition (2016) - effective until December 31, 2017</v>
      </c>
      <c r="C20" s="25">
        <f>Rates!E114</f>
        <v>0</v>
      </c>
      <c r="D20" s="37">
        <f>C8</f>
        <v>200</v>
      </c>
      <c r="E20" s="36">
        <f t="shared" si="4"/>
        <v>0</v>
      </c>
      <c r="F20" s="45"/>
      <c r="G20" s="25">
        <f>Rates!I114</f>
        <v>-0.995</v>
      </c>
      <c r="H20" s="37">
        <f t="shared" si="6"/>
        <v>200</v>
      </c>
      <c r="I20" s="36">
        <f t="shared" si="5"/>
        <v>-199</v>
      </c>
      <c r="J20" s="45"/>
      <c r="K20" s="36">
        <f t="shared" ref="K20:K21" si="9">I20-E20</f>
        <v>-199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Rates!B115</f>
        <v>Rate Rider for Global Adjustment Sub-Account Disposition (2016) - effective until December 31, 2017 Applicable only for Non-RPP Customers</v>
      </c>
      <c r="C21" s="25">
        <f>Rates!E115</f>
        <v>0</v>
      </c>
      <c r="D21" s="37">
        <f>C8</f>
        <v>200</v>
      </c>
      <c r="E21" s="36">
        <f t="shared" si="4"/>
        <v>0</v>
      </c>
      <c r="F21" s="45"/>
      <c r="G21" s="25">
        <f>Rates!I115</f>
        <v>3.8538000000000001</v>
      </c>
      <c r="H21" s="37">
        <f t="shared" si="6"/>
        <v>200</v>
      </c>
      <c r="I21" s="36">
        <f t="shared" si="5"/>
        <v>770.76</v>
      </c>
      <c r="J21" s="45"/>
      <c r="K21" s="36">
        <f t="shared" si="9"/>
        <v>770.76</v>
      </c>
      <c r="L21" s="47" t="str">
        <f t="shared" si="10"/>
        <v xml:space="preserve"> </v>
      </c>
    </row>
    <row r="22" spans="2:12" x14ac:dyDescent="0.2">
      <c r="B22" s="48" t="str">
        <f>Rates!B116</f>
        <v>Rate Rider for Loss Revenue Adjustment Mechanism (LRAM) - effective until December 31, 2015</v>
      </c>
      <c r="C22" s="25">
        <f>Rates!E116</f>
        <v>4.41E-2</v>
      </c>
      <c r="D22" s="37">
        <f>C8</f>
        <v>200</v>
      </c>
      <c r="E22" s="36">
        <f t="shared" si="4"/>
        <v>8.82</v>
      </c>
      <c r="F22" s="45"/>
      <c r="G22" s="25">
        <f>Rates!I116</f>
        <v>0</v>
      </c>
      <c r="H22" s="37">
        <f t="shared" si="6"/>
        <v>200</v>
      </c>
      <c r="I22" s="36">
        <f t="shared" si="5"/>
        <v>0</v>
      </c>
      <c r="J22" s="45"/>
      <c r="K22" s="36">
        <f t="shared" si="7"/>
        <v>-8.82</v>
      </c>
      <c r="L22" s="47">
        <f t="shared" si="8"/>
        <v>-1</v>
      </c>
    </row>
    <row r="23" spans="2:12" x14ac:dyDescent="0.2">
      <c r="B23" s="44" t="str">
        <f>Rates!B9</f>
        <v>Low Voltage Service Rate</v>
      </c>
      <c r="C23" s="25">
        <f>Rates!E111</f>
        <v>7.3499999999999996E-2</v>
      </c>
      <c r="D23" s="37">
        <f>C8</f>
        <v>200</v>
      </c>
      <c r="E23" s="36">
        <f t="shared" si="4"/>
        <v>14.7</v>
      </c>
      <c r="F23" s="45"/>
      <c r="G23" s="25">
        <f>Rates!I111</f>
        <v>7.3499999999999996E-2</v>
      </c>
      <c r="H23" s="37">
        <f t="shared" si="6"/>
        <v>200</v>
      </c>
      <c r="I23" s="36">
        <f t="shared" si="5"/>
        <v>14.7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9" t="s">
        <v>56</v>
      </c>
      <c r="C24" s="50"/>
      <c r="D24" s="51"/>
      <c r="E24" s="52">
        <f>SUM(E16:E23)</f>
        <v>2442.0095026400004</v>
      </c>
      <c r="F24" s="53"/>
      <c r="G24" s="50"/>
      <c r="H24" s="51"/>
      <c r="I24" s="52">
        <f>SUM(I16:I23)</f>
        <v>3029.1395026400005</v>
      </c>
      <c r="J24" s="53"/>
      <c r="K24" s="54">
        <f t="shared" si="2"/>
        <v>587.13000000000011</v>
      </c>
      <c r="L24" s="55">
        <f t="shared" si="3"/>
        <v>0.24042903984004457</v>
      </c>
    </row>
    <row r="25" spans="2:12" x14ac:dyDescent="0.2">
      <c r="B25" s="44" t="str">
        <f>Rates!B15</f>
        <v>Retail Transmission Rate - Network Service Rate</v>
      </c>
      <c r="C25" s="25">
        <f>Rates!E117</f>
        <v>2.6433</v>
      </c>
      <c r="D25" s="37">
        <f>C8</f>
        <v>200</v>
      </c>
      <c r="E25" s="36">
        <f>C25*D25</f>
        <v>528.66</v>
      </c>
      <c r="F25" s="45"/>
      <c r="G25" s="25">
        <f>Rates!I117</f>
        <v>2.5966</v>
      </c>
      <c r="H25" s="37">
        <f>D25</f>
        <v>200</v>
      </c>
      <c r="I25" s="36">
        <f>G25*H25</f>
        <v>519.32000000000005</v>
      </c>
      <c r="J25" s="45"/>
      <c r="K25" s="36">
        <f t="shared" si="2"/>
        <v>-9.3399999999999181</v>
      </c>
      <c r="L25" s="47">
        <f t="shared" si="3"/>
        <v>-1.766730980214111E-2</v>
      </c>
    </row>
    <row r="26" spans="2:12" x14ac:dyDescent="0.2">
      <c r="B26" s="44" t="str">
        <f>Rates!B16</f>
        <v>Retail Transmission Rate - Line and Transformation Connection Service Rate</v>
      </c>
      <c r="C26" s="25">
        <f>Rates!E118</f>
        <v>2.0314999999999999</v>
      </c>
      <c r="D26" s="37">
        <f>C8</f>
        <v>200</v>
      </c>
      <c r="E26" s="36">
        <f>C26*D26</f>
        <v>406.29999999999995</v>
      </c>
      <c r="F26" s="45"/>
      <c r="G26" s="25">
        <f>Rates!I41</f>
        <v>2.0802999999999998</v>
      </c>
      <c r="H26" s="37">
        <f>D26</f>
        <v>200</v>
      </c>
      <c r="I26" s="36">
        <f>G26*H26</f>
        <v>416.05999999999995</v>
      </c>
      <c r="J26" s="45"/>
      <c r="K26" s="36">
        <f t="shared" si="2"/>
        <v>9.7599999999999909</v>
      </c>
      <c r="L26" s="47">
        <f t="shared" si="3"/>
        <v>2.4021658872754103E-2</v>
      </c>
    </row>
    <row r="27" spans="2:12" x14ac:dyDescent="0.2">
      <c r="B27" s="49" t="s">
        <v>57</v>
      </c>
      <c r="C27" s="50"/>
      <c r="D27" s="51"/>
      <c r="E27" s="52">
        <f>SUM(E24:E26)</f>
        <v>3376.9695026400004</v>
      </c>
      <c r="F27" s="53"/>
      <c r="G27" s="50"/>
      <c r="H27" s="52"/>
      <c r="I27" s="52">
        <f>SUM(I24:I26)</f>
        <v>3964.5195026400006</v>
      </c>
      <c r="J27" s="53"/>
      <c r="K27" s="54">
        <f t="shared" si="2"/>
        <v>587.55000000000018</v>
      </c>
      <c r="L27" s="55">
        <f t="shared" si="3"/>
        <v>0.17398735746374774</v>
      </c>
    </row>
    <row r="28" spans="2:12" x14ac:dyDescent="0.2">
      <c r="B28" s="44" t="str">
        <f>Rates!B244</f>
        <v>Wholesale Market Service Rate</v>
      </c>
      <c r="C28" s="25">
        <f>Rates!E244</f>
        <v>4.4000000000000003E-3</v>
      </c>
      <c r="D28" s="37">
        <f>C5*C7</f>
        <v>72339.203999999998</v>
      </c>
      <c r="E28" s="36">
        <f t="shared" ref="E28:E33" si="11">C28*D28</f>
        <v>318.29249759999999</v>
      </c>
      <c r="F28" s="45"/>
      <c r="G28" s="25">
        <f>Rates!I244</f>
        <v>3.5999999999999999E-3</v>
      </c>
      <c r="H28" s="37">
        <f>D28</f>
        <v>72339.203999999998</v>
      </c>
      <c r="I28" s="36">
        <f t="shared" ref="I28:I33" si="12">G28*H28</f>
        <v>260.42113439999997</v>
      </c>
      <c r="J28" s="45"/>
      <c r="K28" s="36">
        <f t="shared" si="2"/>
        <v>-57.871363200000019</v>
      </c>
      <c r="L28" s="47">
        <f t="shared" si="3"/>
        <v>-0.18181818181818188</v>
      </c>
    </row>
    <row r="29" spans="2:12" x14ac:dyDescent="0.2">
      <c r="B29" s="44" t="str">
        <f>Rates!B245</f>
        <v>Rural Rate Protection Charge</v>
      </c>
      <c r="C29" s="25">
        <f>Rates!E245</f>
        <v>1.2999999999999999E-3</v>
      </c>
      <c r="D29" s="37">
        <f>C5*C7</f>
        <v>72339.203999999998</v>
      </c>
      <c r="E29" s="36">
        <f t="shared" si="11"/>
        <v>94.040965199999988</v>
      </c>
      <c r="F29" s="45"/>
      <c r="G29" s="25">
        <f>Rates!I245</f>
        <v>1.2999999999999999E-3</v>
      </c>
      <c r="H29" s="37">
        <f t="shared" ref="H29:H30" si="13">D29</f>
        <v>72339.203999999998</v>
      </c>
      <c r="I29" s="36">
        <f t="shared" si="12"/>
        <v>94.040965199999988</v>
      </c>
      <c r="J29" s="45"/>
      <c r="K29" s="36">
        <f t="shared" si="2"/>
        <v>0</v>
      </c>
      <c r="L29" s="47">
        <f t="shared" si="3"/>
        <v>0</v>
      </c>
    </row>
    <row r="30" spans="2:12" x14ac:dyDescent="0.2">
      <c r="B30" s="44" t="str">
        <f>Rates!B247</f>
        <v>Standard Supply Service - Administrative Charge (if applicable)</v>
      </c>
      <c r="C30" s="36">
        <f>Rates!E247</f>
        <v>0.25</v>
      </c>
      <c r="D30" s="37">
        <v>1</v>
      </c>
      <c r="E30" s="36">
        <f t="shared" si="11"/>
        <v>0.25</v>
      </c>
      <c r="F30" s="45"/>
      <c r="G30" s="36">
        <f>Rates!I247</f>
        <v>0.25</v>
      </c>
      <c r="H30" s="37">
        <f t="shared" si="13"/>
        <v>1</v>
      </c>
      <c r="I30" s="36">
        <f t="shared" si="12"/>
        <v>0.25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Rates!B250</f>
        <v>Debt Retirement Charge</v>
      </c>
      <c r="C31" s="25">
        <f>Rates!E252</f>
        <v>5.1000000000000004E-3</v>
      </c>
      <c r="D31" s="37">
        <f>C7</f>
        <v>68620</v>
      </c>
      <c r="E31" s="36">
        <f t="shared" si="11"/>
        <v>349.96200000000005</v>
      </c>
      <c r="F31" s="45"/>
      <c r="G31" s="25">
        <f>Rates!I252</f>
        <v>0</v>
      </c>
      <c r="H31" s="37">
        <f>D31</f>
        <v>68620</v>
      </c>
      <c r="I31" s="36">
        <f t="shared" si="12"/>
        <v>0</v>
      </c>
      <c r="J31" s="45"/>
      <c r="K31" s="36">
        <f t="shared" si="2"/>
        <v>-349.96200000000005</v>
      </c>
      <c r="L31" s="47">
        <f t="shared" si="3"/>
        <v>-1</v>
      </c>
    </row>
    <row r="32" spans="2:12" x14ac:dyDescent="0.2">
      <c r="B32" s="44" t="str">
        <f>Rates!B246</f>
        <v>Ontario Electricity Support Program</v>
      </c>
      <c r="C32" s="25"/>
      <c r="D32" s="37"/>
      <c r="E32" s="36"/>
      <c r="F32" s="45"/>
      <c r="G32" s="25">
        <f>Rates!I246</f>
        <v>1.1000000000000001E-3</v>
      </c>
      <c r="H32" s="37">
        <f>C7</f>
        <v>68620</v>
      </c>
      <c r="I32" s="36">
        <f t="shared" si="12"/>
        <v>75.481999999999999</v>
      </c>
      <c r="J32" s="45"/>
      <c r="K32" s="36"/>
      <c r="L32" s="47"/>
    </row>
    <row r="33" spans="2:12" x14ac:dyDescent="0.2">
      <c r="B33" s="44" t="str">
        <f>Rates!B267</f>
        <v>Energy Price</v>
      </c>
      <c r="C33" s="25">
        <f>Rates!E267</f>
        <v>0.10766000000000001</v>
      </c>
      <c r="D33" s="37">
        <f>C7</f>
        <v>68620</v>
      </c>
      <c r="E33" s="36">
        <f t="shared" si="11"/>
        <v>7387.6292000000003</v>
      </c>
      <c r="F33" s="45"/>
      <c r="G33" s="25">
        <f>Rates!I267</f>
        <v>0.10766000000000001</v>
      </c>
      <c r="H33" s="37">
        <f>D33</f>
        <v>68620</v>
      </c>
      <c r="I33" s="36">
        <f t="shared" si="12"/>
        <v>7387.6292000000003</v>
      </c>
      <c r="J33" s="45"/>
      <c r="K33" s="36">
        <f t="shared" si="2"/>
        <v>0</v>
      </c>
      <c r="L33" s="47">
        <f t="shared" si="3"/>
        <v>0</v>
      </c>
    </row>
    <row r="34" spans="2:12" x14ac:dyDescent="0.2">
      <c r="B34" s="56"/>
      <c r="C34" s="51"/>
      <c r="D34" s="51"/>
      <c r="E34" s="51"/>
      <c r="F34" s="53"/>
      <c r="G34" s="51"/>
      <c r="H34" s="51"/>
      <c r="I34" s="51"/>
      <c r="J34" s="53"/>
      <c r="K34" s="54"/>
      <c r="L34" s="55"/>
    </row>
    <row r="35" spans="2:12" x14ac:dyDescent="0.2">
      <c r="B35" s="23" t="s">
        <v>58</v>
      </c>
      <c r="C35" s="35"/>
      <c r="D35" s="35"/>
      <c r="E35" s="39">
        <f>SUM(E27:E33)</f>
        <v>11527.144165440001</v>
      </c>
      <c r="F35" s="45"/>
      <c r="G35" s="35"/>
      <c r="H35" s="39"/>
      <c r="I35" s="39">
        <f>SUM(I27:I33)</f>
        <v>11782.34280224</v>
      </c>
      <c r="J35" s="45"/>
      <c r="K35" s="36">
        <f t="shared" si="2"/>
        <v>255.1986367999998</v>
      </c>
      <c r="L35" s="47">
        <f t="shared" si="3"/>
        <v>2.2138929915106052E-2</v>
      </c>
    </row>
    <row r="36" spans="2:12" x14ac:dyDescent="0.2">
      <c r="B36" s="44" t="str">
        <f>Rates!B269</f>
        <v>HST</v>
      </c>
      <c r="C36" s="41">
        <f>Rates!E269</f>
        <v>0.13</v>
      </c>
      <c r="D36" s="35"/>
      <c r="E36" s="42">
        <f>E35*C36</f>
        <v>1498.5287415072</v>
      </c>
      <c r="F36" s="45"/>
      <c r="G36" s="41">
        <f>Rates!I269</f>
        <v>0.13</v>
      </c>
      <c r="H36" s="35"/>
      <c r="I36" s="42">
        <f>I35*G36</f>
        <v>1531.7045642912001</v>
      </c>
      <c r="J36" s="45"/>
      <c r="K36" s="36">
        <f t="shared" si="2"/>
        <v>33.175822784000047</v>
      </c>
      <c r="L36" s="47">
        <f t="shared" si="3"/>
        <v>2.21389299151061E-2</v>
      </c>
    </row>
    <row r="37" spans="2:12" x14ac:dyDescent="0.2">
      <c r="B37" s="23" t="s">
        <v>59</v>
      </c>
      <c r="C37" s="35"/>
      <c r="D37" s="35"/>
      <c r="E37" s="42">
        <f>E35+E36</f>
        <v>13025.6729069472</v>
      </c>
      <c r="F37" s="45"/>
      <c r="G37" s="35"/>
      <c r="H37" s="35"/>
      <c r="I37" s="42">
        <f>I35+I36</f>
        <v>13314.0473665312</v>
      </c>
      <c r="J37" s="45"/>
      <c r="K37" s="36">
        <f t="shared" si="2"/>
        <v>288.37445958399985</v>
      </c>
      <c r="L37" s="47">
        <f t="shared" si="3"/>
        <v>2.2138929915106059E-2</v>
      </c>
    </row>
    <row r="38" spans="2:12" x14ac:dyDescent="0.2">
      <c r="B38" s="44" t="str">
        <f>Rates!B271</f>
        <v>OCEB</v>
      </c>
      <c r="C38" s="41"/>
      <c r="D38" s="35"/>
      <c r="E38" s="42">
        <f>E37*C38</f>
        <v>0</v>
      </c>
      <c r="F38" s="45"/>
      <c r="G38" s="41">
        <f>Rates!I271</f>
        <v>0</v>
      </c>
      <c r="H38" s="35"/>
      <c r="I38" s="42">
        <f>I37*G38</f>
        <v>0</v>
      </c>
      <c r="J38" s="45"/>
      <c r="K38" s="36">
        <f t="shared" si="2"/>
        <v>0</v>
      </c>
      <c r="L38" s="47" t="str">
        <f t="shared" si="3"/>
        <v xml:space="preserve"> </v>
      </c>
    </row>
    <row r="39" spans="2:12" ht="13.5" thickBot="1" x14ac:dyDescent="0.25">
      <c r="B39" s="30" t="s">
        <v>60</v>
      </c>
      <c r="C39" s="57"/>
      <c r="D39" s="57"/>
      <c r="E39" s="58">
        <f>E37+E38</f>
        <v>13025.6729069472</v>
      </c>
      <c r="F39" s="59"/>
      <c r="G39" s="57"/>
      <c r="H39" s="57"/>
      <c r="I39" s="58">
        <f>I37+I38</f>
        <v>13314.0473665312</v>
      </c>
      <c r="J39" s="59"/>
      <c r="K39" s="60">
        <f t="shared" si="2"/>
        <v>288.37445958399985</v>
      </c>
      <c r="L39" s="61">
        <f t="shared" si="3"/>
        <v>2.2138929915106059E-2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2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L39"/>
  <sheetViews>
    <sheetView showGridLines="0" workbookViewId="0">
      <selection activeCell="H33" sqref="H3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Rates!B81</f>
        <v>CNPI - Eastern Ontario Power</v>
      </c>
    </row>
    <row r="3" spans="2:12" ht="15.75" x14ac:dyDescent="0.25">
      <c r="B3" s="24" t="str">
        <f>Rates!B120</f>
        <v xml:space="preserve">Unmetered Scattered Load 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800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Rates!E121</f>
        <v>42.26</v>
      </c>
      <c r="D14" s="37">
        <f>C6</f>
        <v>1</v>
      </c>
      <c r="E14" s="36">
        <f>C14*D14</f>
        <v>42.26</v>
      </c>
      <c r="F14" s="45"/>
      <c r="G14" s="36">
        <f>Rates!I121</f>
        <v>32.96</v>
      </c>
      <c r="H14" s="37">
        <f>D14</f>
        <v>1</v>
      </c>
      <c r="I14" s="36">
        <f>G14*H14</f>
        <v>32.96</v>
      </c>
      <c r="J14" s="45"/>
      <c r="K14" s="36">
        <f>I14-E14</f>
        <v>-9.2999999999999972</v>
      </c>
      <c r="L14" s="47">
        <f>IF((E14)=0," ",K14/E14)</f>
        <v>-0.22006625650733549</v>
      </c>
    </row>
    <row r="15" spans="2:12" x14ac:dyDescent="0.2">
      <c r="B15" s="44" t="str">
        <f>Rates!B8</f>
        <v>Distribution Volumetric Rate</v>
      </c>
      <c r="C15" s="25">
        <f>Rates!E122</f>
        <v>2.5000000000000001E-2</v>
      </c>
      <c r="D15" s="38">
        <f>C7</f>
        <v>800</v>
      </c>
      <c r="E15" s="36">
        <f t="shared" ref="E15" si="0">C15*D15</f>
        <v>20</v>
      </c>
      <c r="F15" s="45"/>
      <c r="G15" s="25">
        <f>Rates!I122</f>
        <v>1.7899999999999999E-2</v>
      </c>
      <c r="H15" s="38">
        <f>D15</f>
        <v>800</v>
      </c>
      <c r="I15" s="36">
        <f t="shared" ref="I15" si="1">G15*H15</f>
        <v>14.32</v>
      </c>
      <c r="J15" s="45"/>
      <c r="K15" s="36">
        <f t="shared" ref="K15:K39" si="2">I15-E15</f>
        <v>-5.68</v>
      </c>
      <c r="L15" s="47">
        <f t="shared" ref="L15:L39" si="3">IF((E15)=0," ",K15/E15)</f>
        <v>-0.28399999999999997</v>
      </c>
    </row>
    <row r="16" spans="2:12" x14ac:dyDescent="0.2">
      <c r="B16" s="49" t="s">
        <v>36</v>
      </c>
      <c r="C16" s="50"/>
      <c r="D16" s="51"/>
      <c r="E16" s="52">
        <f>SUM(E14:E15)</f>
        <v>62.26</v>
      </c>
      <c r="F16" s="53"/>
      <c r="G16" s="50"/>
      <c r="H16" s="51"/>
      <c r="I16" s="52">
        <f>SUM(I14:I15)</f>
        <v>47.28</v>
      </c>
      <c r="J16" s="53"/>
      <c r="K16" s="54">
        <f t="shared" si="2"/>
        <v>-14.979999999999997</v>
      </c>
      <c r="L16" s="55">
        <f t="shared" si="3"/>
        <v>-0.24060391904914868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43.360000000000021</v>
      </c>
      <c r="E17" s="36">
        <f t="shared" ref="E17:E23" si="4">C17*D17</f>
        <v>4.6681376000000023</v>
      </c>
      <c r="F17" s="45"/>
      <c r="G17" s="25">
        <f>Rates!I267</f>
        <v>0.10766000000000001</v>
      </c>
      <c r="H17" s="40">
        <f>(C5-1)*C7</f>
        <v>43.360000000000021</v>
      </c>
      <c r="I17" s="36">
        <f t="shared" ref="I17:I23" si="5">G17*H17</f>
        <v>4.6681376000000023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4" t="str">
        <f>Rates!B124</f>
        <v>Rate Rider for Deferral/Variance Account Disposition (2015) - effective until December 31, 2016</v>
      </c>
      <c r="C18" s="25">
        <f>Rates!E124</f>
        <v>2.9999999999999997E-4</v>
      </c>
      <c r="D18" s="37">
        <f>C7</f>
        <v>800</v>
      </c>
      <c r="E18" s="36">
        <f t="shared" si="4"/>
        <v>0.24</v>
      </c>
      <c r="F18" s="45"/>
      <c r="G18" s="25">
        <f>Rates!I124</f>
        <v>2.9999999999999997E-4</v>
      </c>
      <c r="H18" s="37">
        <f t="shared" ref="H18:H23" si="6">D18</f>
        <v>800</v>
      </c>
      <c r="I18" s="36">
        <f t="shared" si="5"/>
        <v>0.24</v>
      </c>
      <c r="J18" s="45"/>
      <c r="K18" s="36">
        <f t="shared" ref="K18:K22" si="7">I18-E18</f>
        <v>0</v>
      </c>
      <c r="L18" s="47">
        <f t="shared" ref="L18:L22" si="8">IF((E18)=0," ",K18/E18)</f>
        <v>0</v>
      </c>
    </row>
    <row r="19" spans="2:12" ht="25.5" x14ac:dyDescent="0.2">
      <c r="B19" s="48" t="str">
        <f>Rates!B125</f>
        <v>Rate Rider for Global Adjustment Sub-Account Disposition (2015) - effective until December 31, 2016 Applicable only for Non-RPP Customers</v>
      </c>
      <c r="C19" s="25">
        <f>Rates!E125</f>
        <v>0</v>
      </c>
      <c r="D19" s="37">
        <f>C7</f>
        <v>800</v>
      </c>
      <c r="E19" s="36">
        <f t="shared" si="4"/>
        <v>0</v>
      </c>
      <c r="F19" s="45"/>
      <c r="G19" s="25">
        <f>Rates!I125</f>
        <v>0</v>
      </c>
      <c r="H19" s="37">
        <f t="shared" si="6"/>
        <v>800</v>
      </c>
      <c r="I19" s="36">
        <f t="shared" si="5"/>
        <v>0</v>
      </c>
      <c r="J19" s="45"/>
      <c r="K19" s="36">
        <f t="shared" si="7"/>
        <v>0</v>
      </c>
      <c r="L19" s="47" t="str">
        <f t="shared" si="8"/>
        <v xml:space="preserve"> </v>
      </c>
    </row>
    <row r="20" spans="2:12" x14ac:dyDescent="0.2">
      <c r="B20" s="48" t="str">
        <f>Rates!B126</f>
        <v>Rate Rider for Deferral/Variance Account Disposition (2016) - effective until December 31, 2017</v>
      </c>
      <c r="C20" s="25">
        <f>Rates!E126</f>
        <v>0</v>
      </c>
      <c r="D20" s="37">
        <f>C7</f>
        <v>800</v>
      </c>
      <c r="E20" s="36">
        <f t="shared" si="4"/>
        <v>0</v>
      </c>
      <c r="F20" s="45"/>
      <c r="G20" s="25">
        <f>Rates!I126</f>
        <v>-2.7000000000000001E-3</v>
      </c>
      <c r="H20" s="37">
        <f t="shared" si="6"/>
        <v>800</v>
      </c>
      <c r="I20" s="36">
        <f t="shared" si="5"/>
        <v>-2.16</v>
      </c>
      <c r="J20" s="45"/>
      <c r="K20" s="36">
        <f t="shared" ref="K20:K21" si="9">I20-E20</f>
        <v>-2.16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Rates!B127</f>
        <v>Rate Rider for Global Adjustment Sub-Account Disposition (2016) - effective until December 31, 2017 Applicable only for Non-RPP Customers</v>
      </c>
      <c r="C21" s="25">
        <f>Rates!E127</f>
        <v>0</v>
      </c>
      <c r="D21" s="37">
        <f>C7</f>
        <v>800</v>
      </c>
      <c r="E21" s="36">
        <f t="shared" si="4"/>
        <v>0</v>
      </c>
      <c r="F21" s="45"/>
      <c r="G21" s="25">
        <f>Rates!I127</f>
        <v>0</v>
      </c>
      <c r="H21" s="37">
        <f t="shared" si="6"/>
        <v>800</v>
      </c>
      <c r="I21" s="36">
        <f t="shared" si="5"/>
        <v>0</v>
      </c>
      <c r="J21" s="45"/>
      <c r="K21" s="36">
        <f t="shared" si="9"/>
        <v>0</v>
      </c>
      <c r="L21" s="47" t="str">
        <f t="shared" si="10"/>
        <v xml:space="preserve"> </v>
      </c>
    </row>
    <row r="22" spans="2:12" x14ac:dyDescent="0.2">
      <c r="B22" s="44" t="str">
        <f>Rates!B128</f>
        <v>Rate Rider for Loss Revenue Adjustment Mechanism (LRAM) - effective until December 31, 2015</v>
      </c>
      <c r="C22" s="25">
        <f>Rates!E128</f>
        <v>0</v>
      </c>
      <c r="D22" s="37">
        <f>C7</f>
        <v>800</v>
      </c>
      <c r="E22" s="36">
        <f t="shared" si="4"/>
        <v>0</v>
      </c>
      <c r="F22" s="45"/>
      <c r="G22" s="25">
        <f>Rates!I128</f>
        <v>0</v>
      </c>
      <c r="H22" s="37">
        <f t="shared" si="6"/>
        <v>800</v>
      </c>
      <c r="I22" s="36">
        <f t="shared" si="5"/>
        <v>0</v>
      </c>
      <c r="J22" s="45"/>
      <c r="K22" s="36">
        <f t="shared" si="7"/>
        <v>0</v>
      </c>
      <c r="L22" s="47" t="str">
        <f t="shared" si="8"/>
        <v xml:space="preserve"> </v>
      </c>
    </row>
    <row r="23" spans="2:12" x14ac:dyDescent="0.2">
      <c r="B23" s="44" t="str">
        <f>Rates!B9</f>
        <v>Low Voltage Service Rate</v>
      </c>
      <c r="C23" s="25">
        <f>Rates!E123</f>
        <v>2.0000000000000001E-4</v>
      </c>
      <c r="D23" s="37">
        <f>C7</f>
        <v>800</v>
      </c>
      <c r="E23" s="36">
        <f t="shared" si="4"/>
        <v>0.16</v>
      </c>
      <c r="F23" s="45"/>
      <c r="G23" s="25">
        <f>Rates!I123</f>
        <v>2.0000000000000001E-4</v>
      </c>
      <c r="H23" s="37">
        <f t="shared" si="6"/>
        <v>800</v>
      </c>
      <c r="I23" s="36">
        <f t="shared" si="5"/>
        <v>0.16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9" t="s">
        <v>56</v>
      </c>
      <c r="C24" s="50"/>
      <c r="D24" s="51"/>
      <c r="E24" s="52">
        <f>SUM(E16:E23)</f>
        <v>67.328137599999991</v>
      </c>
      <c r="F24" s="53"/>
      <c r="G24" s="50"/>
      <c r="H24" s="51"/>
      <c r="I24" s="52">
        <f>SUM(I16:I23)</f>
        <v>50.188137600000005</v>
      </c>
      <c r="J24" s="53"/>
      <c r="K24" s="54">
        <f t="shared" si="2"/>
        <v>-17.139999999999986</v>
      </c>
      <c r="L24" s="55">
        <f t="shared" si="3"/>
        <v>-0.25457409949209686</v>
      </c>
    </row>
    <row r="25" spans="2:12" x14ac:dyDescent="0.2">
      <c r="B25" s="44" t="str">
        <f>Rates!B15</f>
        <v>Retail Transmission Rate - Network Service Rate</v>
      </c>
      <c r="C25" s="25">
        <f>Rates!E129</f>
        <v>6.4999999999999997E-3</v>
      </c>
      <c r="D25" s="37">
        <f>C7*C5</f>
        <v>843.36</v>
      </c>
      <c r="E25" s="36">
        <f>C25*D25</f>
        <v>5.48184</v>
      </c>
      <c r="F25" s="45"/>
      <c r="G25" s="25">
        <f>Rates!I129</f>
        <v>6.4000000000000003E-3</v>
      </c>
      <c r="H25" s="37">
        <f>D25</f>
        <v>843.36</v>
      </c>
      <c r="I25" s="36">
        <f>G25*H25</f>
        <v>5.3975040000000005</v>
      </c>
      <c r="J25" s="45"/>
      <c r="K25" s="36">
        <f t="shared" si="2"/>
        <v>-8.4335999999999522E-2</v>
      </c>
      <c r="L25" s="47">
        <f t="shared" si="3"/>
        <v>-1.5384615384615297E-2</v>
      </c>
    </row>
    <row r="26" spans="2:12" x14ac:dyDescent="0.2">
      <c r="B26" s="44" t="str">
        <f>Rates!B16</f>
        <v>Retail Transmission Rate - Line and Transformation Connection Service Rate</v>
      </c>
      <c r="C26" s="25">
        <f>Rates!E130</f>
        <v>5.0000000000000001E-3</v>
      </c>
      <c r="D26" s="37">
        <f>C7*C5</f>
        <v>843.36</v>
      </c>
      <c r="E26" s="36">
        <f>C26*D26</f>
        <v>4.2168000000000001</v>
      </c>
      <c r="F26" s="45"/>
      <c r="G26" s="25">
        <f>Rates!I130</f>
        <v>5.1000000000000004E-3</v>
      </c>
      <c r="H26" s="37">
        <f>D26</f>
        <v>843.36</v>
      </c>
      <c r="I26" s="36">
        <f>G26*H26</f>
        <v>4.3011360000000005</v>
      </c>
      <c r="J26" s="45"/>
      <c r="K26" s="36">
        <f t="shared" si="2"/>
        <v>8.4336000000000411E-2</v>
      </c>
      <c r="L26" s="47">
        <f t="shared" si="3"/>
        <v>2.0000000000000098E-2</v>
      </c>
    </row>
    <row r="27" spans="2:12" x14ac:dyDescent="0.2">
      <c r="B27" s="49" t="s">
        <v>57</v>
      </c>
      <c r="C27" s="50"/>
      <c r="D27" s="51"/>
      <c r="E27" s="52">
        <f>SUM(E24:E26)</f>
        <v>77.026777600000003</v>
      </c>
      <c r="F27" s="53"/>
      <c r="G27" s="50"/>
      <c r="H27" s="52"/>
      <c r="I27" s="52">
        <f>SUM(I24:I26)</f>
        <v>59.886777600000002</v>
      </c>
      <c r="J27" s="53"/>
      <c r="K27" s="54">
        <f t="shared" si="2"/>
        <v>-17.14</v>
      </c>
      <c r="L27" s="55">
        <f t="shared" si="3"/>
        <v>-0.22252001880447353</v>
      </c>
    </row>
    <row r="28" spans="2:12" x14ac:dyDescent="0.2">
      <c r="B28" s="44" t="str">
        <f>Rates!B244</f>
        <v>Wholesale Market Service Rate</v>
      </c>
      <c r="C28" s="25">
        <f>Rates!E244</f>
        <v>4.4000000000000003E-3</v>
      </c>
      <c r="D28" s="37">
        <f>C5*C7</f>
        <v>843.36</v>
      </c>
      <c r="E28" s="36">
        <f t="shared" ref="E28:E33" si="11">C28*D28</f>
        <v>3.7107840000000003</v>
      </c>
      <c r="F28" s="45"/>
      <c r="G28" s="25">
        <f>Rates!I244</f>
        <v>3.5999999999999999E-3</v>
      </c>
      <c r="H28" s="37">
        <f>D28</f>
        <v>843.36</v>
      </c>
      <c r="I28" s="36">
        <f t="shared" ref="I28:I33" si="12">G28*H28</f>
        <v>3.0360960000000001</v>
      </c>
      <c r="J28" s="45"/>
      <c r="K28" s="36">
        <f t="shared" si="2"/>
        <v>-0.67468800000000018</v>
      </c>
      <c r="L28" s="47">
        <f t="shared" si="3"/>
        <v>-0.18181818181818185</v>
      </c>
    </row>
    <row r="29" spans="2:12" x14ac:dyDescent="0.2">
      <c r="B29" s="44" t="str">
        <f>Rates!B245</f>
        <v>Rural Rate Protection Charge</v>
      </c>
      <c r="C29" s="25">
        <f>Rates!E245</f>
        <v>1.2999999999999999E-3</v>
      </c>
      <c r="D29" s="37">
        <f>C5*C7</f>
        <v>843.36</v>
      </c>
      <c r="E29" s="36">
        <f t="shared" si="11"/>
        <v>1.096368</v>
      </c>
      <c r="F29" s="45"/>
      <c r="G29" s="25">
        <f>Rates!I245</f>
        <v>1.2999999999999999E-3</v>
      </c>
      <c r="H29" s="37">
        <f t="shared" ref="H29:H30" si="13">D29</f>
        <v>843.36</v>
      </c>
      <c r="I29" s="36">
        <f t="shared" si="12"/>
        <v>1.096368</v>
      </c>
      <c r="J29" s="45"/>
      <c r="K29" s="36">
        <f t="shared" si="2"/>
        <v>0</v>
      </c>
      <c r="L29" s="47">
        <f t="shared" si="3"/>
        <v>0</v>
      </c>
    </row>
    <row r="30" spans="2:12" x14ac:dyDescent="0.2">
      <c r="B30" s="44" t="str">
        <f>Rates!B247</f>
        <v>Standard Supply Service - Administrative Charge (if applicable)</v>
      </c>
      <c r="C30" s="36">
        <f>Rates!E247</f>
        <v>0.25</v>
      </c>
      <c r="D30" s="37">
        <v>1</v>
      </c>
      <c r="E30" s="36">
        <f t="shared" si="11"/>
        <v>0.25</v>
      </c>
      <c r="F30" s="45"/>
      <c r="G30" s="36">
        <f>Rates!I247</f>
        <v>0.25</v>
      </c>
      <c r="H30" s="37">
        <f t="shared" si="13"/>
        <v>1</v>
      </c>
      <c r="I30" s="36">
        <f t="shared" si="12"/>
        <v>0.25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Rates!B250</f>
        <v>Debt Retirement Charge</v>
      </c>
      <c r="C31" s="25">
        <f>Rates!E252</f>
        <v>5.1000000000000004E-3</v>
      </c>
      <c r="D31" s="37">
        <f>C7</f>
        <v>800</v>
      </c>
      <c r="E31" s="36">
        <f t="shared" si="11"/>
        <v>4.08</v>
      </c>
      <c r="F31" s="45"/>
      <c r="G31" s="25">
        <f>Rates!I252</f>
        <v>0</v>
      </c>
      <c r="H31" s="37">
        <f>D31</f>
        <v>800</v>
      </c>
      <c r="I31" s="36">
        <f t="shared" si="12"/>
        <v>0</v>
      </c>
      <c r="J31" s="45"/>
      <c r="K31" s="36">
        <f t="shared" si="2"/>
        <v>-4.08</v>
      </c>
      <c r="L31" s="47">
        <f t="shared" si="3"/>
        <v>-1</v>
      </c>
    </row>
    <row r="32" spans="2:12" x14ac:dyDescent="0.2">
      <c r="B32" s="44" t="str">
        <f>Rates!B246</f>
        <v>Ontario Electricity Support Program</v>
      </c>
      <c r="C32" s="25"/>
      <c r="D32" s="37"/>
      <c r="E32" s="36"/>
      <c r="F32" s="45"/>
      <c r="G32" s="25">
        <f>Rates!I246</f>
        <v>1.1000000000000001E-3</v>
      </c>
      <c r="H32" s="37">
        <f>C7</f>
        <v>800</v>
      </c>
      <c r="I32" s="36">
        <f t="shared" si="12"/>
        <v>0.88</v>
      </c>
      <c r="J32" s="45"/>
      <c r="K32" s="36"/>
      <c r="L32" s="47"/>
    </row>
    <row r="33" spans="2:12" x14ac:dyDescent="0.2">
      <c r="B33" s="44" t="str">
        <f>Rates!B267</f>
        <v>Energy Price</v>
      </c>
      <c r="C33" s="25">
        <f>Rates!E267</f>
        <v>0.10766000000000001</v>
      </c>
      <c r="D33" s="37">
        <f>C7</f>
        <v>800</v>
      </c>
      <c r="E33" s="36">
        <f t="shared" si="11"/>
        <v>86.128</v>
      </c>
      <c r="F33" s="45"/>
      <c r="G33" s="25">
        <f>Rates!I267</f>
        <v>0.10766000000000001</v>
      </c>
      <c r="H33" s="37">
        <f>D33</f>
        <v>800</v>
      </c>
      <c r="I33" s="36">
        <f t="shared" si="12"/>
        <v>86.128</v>
      </c>
      <c r="J33" s="45"/>
      <c r="K33" s="36">
        <f t="shared" si="2"/>
        <v>0</v>
      </c>
      <c r="L33" s="47">
        <f t="shared" si="3"/>
        <v>0</v>
      </c>
    </row>
    <row r="34" spans="2:12" x14ac:dyDescent="0.2">
      <c r="B34" s="56"/>
      <c r="C34" s="51"/>
      <c r="D34" s="51"/>
      <c r="E34" s="51"/>
      <c r="F34" s="53"/>
      <c r="G34" s="51"/>
      <c r="H34" s="51"/>
      <c r="I34" s="51"/>
      <c r="J34" s="53"/>
      <c r="K34" s="54"/>
      <c r="L34" s="55"/>
    </row>
    <row r="35" spans="2:12" x14ac:dyDescent="0.2">
      <c r="B35" s="23" t="s">
        <v>58</v>
      </c>
      <c r="C35" s="35"/>
      <c r="D35" s="35"/>
      <c r="E35" s="39">
        <f>SUM(E27:E33)</f>
        <v>172.2919296</v>
      </c>
      <c r="F35" s="45"/>
      <c r="G35" s="35"/>
      <c r="H35" s="39"/>
      <c r="I35" s="39">
        <f>SUM(I27:I33)</f>
        <v>151.2772416</v>
      </c>
      <c r="J35" s="45"/>
      <c r="K35" s="36">
        <f t="shared" si="2"/>
        <v>-21.014688000000007</v>
      </c>
      <c r="L35" s="47">
        <f t="shared" si="3"/>
        <v>-0.12197140080088816</v>
      </c>
    </row>
    <row r="36" spans="2:12" x14ac:dyDescent="0.2">
      <c r="B36" s="44" t="str">
        <f>Rates!B269</f>
        <v>HST</v>
      </c>
      <c r="C36" s="41">
        <f>Rates!E269</f>
        <v>0.13</v>
      </c>
      <c r="D36" s="35"/>
      <c r="E36" s="42">
        <f>E35*C36</f>
        <v>22.397950848000001</v>
      </c>
      <c r="F36" s="45"/>
      <c r="G36" s="41">
        <f>Rates!I269</f>
        <v>0.13</v>
      </c>
      <c r="H36" s="35"/>
      <c r="I36" s="42">
        <f>I35*G36</f>
        <v>19.666041408000002</v>
      </c>
      <c r="J36" s="45"/>
      <c r="K36" s="36">
        <f t="shared" si="2"/>
        <v>-2.731909439999999</v>
      </c>
      <c r="L36" s="47">
        <f t="shared" si="3"/>
        <v>-0.12197140080088807</v>
      </c>
    </row>
    <row r="37" spans="2:12" x14ac:dyDescent="0.2">
      <c r="B37" s="23" t="s">
        <v>59</v>
      </c>
      <c r="C37" s="35"/>
      <c r="D37" s="35"/>
      <c r="E37" s="42">
        <f>E35+E36</f>
        <v>194.689880448</v>
      </c>
      <c r="F37" s="45"/>
      <c r="G37" s="35"/>
      <c r="H37" s="35"/>
      <c r="I37" s="42">
        <f>I35+I36</f>
        <v>170.94328300800001</v>
      </c>
      <c r="J37" s="45"/>
      <c r="K37" s="36">
        <f t="shared" si="2"/>
        <v>-23.746597439999988</v>
      </c>
      <c r="L37" s="47">
        <f t="shared" si="3"/>
        <v>-0.12197140080088806</v>
      </c>
    </row>
    <row r="38" spans="2:12" x14ac:dyDescent="0.2">
      <c r="B38" s="44" t="str">
        <f>Rates!B271</f>
        <v>OCEB</v>
      </c>
      <c r="C38" s="41">
        <f>Rates!E271</f>
        <v>-0.1</v>
      </c>
      <c r="D38" s="35"/>
      <c r="E38" s="42">
        <f>E37*C38</f>
        <v>-19.4689880448</v>
      </c>
      <c r="F38" s="45"/>
      <c r="G38" s="41">
        <f>Rates!I271</f>
        <v>0</v>
      </c>
      <c r="H38" s="35"/>
      <c r="I38" s="42">
        <f>I37*G38</f>
        <v>0</v>
      </c>
      <c r="J38" s="45"/>
      <c r="K38" s="36">
        <f t="shared" si="2"/>
        <v>19.4689880448</v>
      </c>
      <c r="L38" s="47">
        <f t="shared" si="3"/>
        <v>-1</v>
      </c>
    </row>
    <row r="39" spans="2:12" ht="13.5" thickBot="1" x14ac:dyDescent="0.25">
      <c r="B39" s="30" t="s">
        <v>60</v>
      </c>
      <c r="C39" s="57"/>
      <c r="D39" s="57"/>
      <c r="E39" s="58">
        <f>E37+E38</f>
        <v>175.2208924032</v>
      </c>
      <c r="F39" s="59"/>
      <c r="G39" s="57"/>
      <c r="H39" s="57"/>
      <c r="I39" s="58">
        <f>I37+I38</f>
        <v>170.94328300800001</v>
      </c>
      <c r="J39" s="59"/>
      <c r="K39" s="60">
        <f t="shared" si="2"/>
        <v>-4.2776093951999883</v>
      </c>
      <c r="L39" s="61">
        <f t="shared" si="3"/>
        <v>-2.441266755654229E-2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L39"/>
  <sheetViews>
    <sheetView showGridLines="0" workbookViewId="0">
      <selection activeCell="H33" sqref="H3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Rates!B81</f>
        <v>CNPI - Eastern Ontario Power</v>
      </c>
    </row>
    <row r="3" spans="2:12" ht="15.75" x14ac:dyDescent="0.25">
      <c r="B3" s="24" t="str">
        <f>Rates!B132</f>
        <v xml:space="preserve">Sentinel Lighting 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60</v>
      </c>
    </row>
    <row r="8" spans="2:12" x14ac:dyDescent="0.2">
      <c r="B8" s="28" t="s">
        <v>63</v>
      </c>
      <c r="C8" s="62">
        <v>0.2</v>
      </c>
    </row>
    <row r="9" spans="2:12" ht="13.5" thickBot="1" x14ac:dyDescent="0.25">
      <c r="B9" s="30" t="s">
        <v>64</v>
      </c>
      <c r="C9" s="31">
        <f>IF(C8=0,"n/a",C7/(C8*24*365/12))</f>
        <v>0.41095890410958896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Rates!E133</f>
        <v>5.17</v>
      </c>
      <c r="D14" s="37">
        <f>C6</f>
        <v>1</v>
      </c>
      <c r="E14" s="36">
        <f>C14*D14</f>
        <v>5.17</v>
      </c>
      <c r="F14" s="45"/>
      <c r="G14" s="36">
        <f>Rates!I133</f>
        <v>5.09</v>
      </c>
      <c r="H14" s="37">
        <f>D14</f>
        <v>1</v>
      </c>
      <c r="I14" s="36">
        <f>G14*H14</f>
        <v>5.09</v>
      </c>
      <c r="J14" s="45"/>
      <c r="K14" s="36">
        <f>I14-E14</f>
        <v>-8.0000000000000071E-2</v>
      </c>
      <c r="L14" s="47">
        <f>IF((E14)=0," ",K14/E14)</f>
        <v>-1.547388781431336E-2</v>
      </c>
    </row>
    <row r="15" spans="2:12" x14ac:dyDescent="0.2">
      <c r="B15" s="44" t="str">
        <f>Rates!B8</f>
        <v>Distribution Volumetric Rate</v>
      </c>
      <c r="C15" s="25">
        <f>Rates!E134</f>
        <v>4.9564000000000004</v>
      </c>
      <c r="D15" s="93">
        <f>C8</f>
        <v>0.2</v>
      </c>
      <c r="E15" s="36">
        <f t="shared" ref="E15" si="0">C15*D15</f>
        <v>0.99128000000000016</v>
      </c>
      <c r="F15" s="45"/>
      <c r="G15" s="25">
        <f>Rates!I134</f>
        <v>5.9009999999999998</v>
      </c>
      <c r="H15" s="93">
        <f>D15</f>
        <v>0.2</v>
      </c>
      <c r="I15" s="36">
        <f t="shared" ref="I15" si="1">G15*H15</f>
        <v>1.1801999999999999</v>
      </c>
      <c r="J15" s="45"/>
      <c r="K15" s="36">
        <f t="shared" ref="K15:K39" si="2">I15-E15</f>
        <v>0.18891999999999975</v>
      </c>
      <c r="L15" s="47">
        <f t="shared" ref="L15:L39" si="3">IF((E15)=0," ",K15/E15)</f>
        <v>0.19058187394076317</v>
      </c>
    </row>
    <row r="16" spans="2:12" x14ac:dyDescent="0.2">
      <c r="B16" s="49" t="s">
        <v>36</v>
      </c>
      <c r="C16" s="50"/>
      <c r="D16" s="51"/>
      <c r="E16" s="52">
        <f>SUM(E14:E15)</f>
        <v>6.1612799999999996</v>
      </c>
      <c r="F16" s="53"/>
      <c r="G16" s="50"/>
      <c r="H16" s="51"/>
      <c r="I16" s="52">
        <f>SUM(I14:I15)</f>
        <v>6.2702</v>
      </c>
      <c r="J16" s="53"/>
      <c r="K16" s="54">
        <f t="shared" si="2"/>
        <v>0.10892000000000035</v>
      </c>
      <c r="L16" s="55">
        <f t="shared" si="3"/>
        <v>1.7678144801080351E-2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3.2520000000000016</v>
      </c>
      <c r="E17" s="36">
        <f t="shared" ref="E17:E23" si="4">C17*D17</f>
        <v>0.3501103200000002</v>
      </c>
      <c r="F17" s="45"/>
      <c r="G17" s="25">
        <f>Rates!I267</f>
        <v>0.10766000000000001</v>
      </c>
      <c r="H17" s="40">
        <f>(C5-1)*C7</f>
        <v>3.2520000000000016</v>
      </c>
      <c r="I17" s="36">
        <f t="shared" ref="I17:I23" si="5">G17*H17</f>
        <v>0.3501103200000002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4" t="str">
        <f>Rates!B136</f>
        <v>Rate Rider for Deferral/Variance Account Disposition (2015) - effective until December 31, 2016</v>
      </c>
      <c r="C18" s="25">
        <f>Rates!E136</f>
        <v>0.22090000000000001</v>
      </c>
      <c r="D18" s="91">
        <f>C8</f>
        <v>0.2</v>
      </c>
      <c r="E18" s="36">
        <f t="shared" si="4"/>
        <v>4.4180000000000004E-2</v>
      </c>
      <c r="F18" s="45"/>
      <c r="G18" s="25">
        <f>Rates!I136</f>
        <v>0.22090000000000001</v>
      </c>
      <c r="H18" s="91">
        <f t="shared" ref="H18:H23" si="6">D18</f>
        <v>0.2</v>
      </c>
      <c r="I18" s="36">
        <f t="shared" si="5"/>
        <v>4.4180000000000004E-2</v>
      </c>
      <c r="J18" s="45"/>
      <c r="K18" s="36">
        <f t="shared" ref="K18:K22" si="7">I18-E18</f>
        <v>0</v>
      </c>
      <c r="L18" s="47">
        <f t="shared" ref="L18:L22" si="8">IF((E18)=0," ",K18/E18)</f>
        <v>0</v>
      </c>
    </row>
    <row r="19" spans="2:12" ht="25.5" x14ac:dyDescent="0.2">
      <c r="B19" s="48" t="str">
        <f>Rates!B137</f>
        <v>Rate Rider for Global Adjustment Sub-Account Disposition (2015) - effective until December 31, 2016 Applicable only for Non-RPP Customers</v>
      </c>
      <c r="C19" s="25">
        <f>Rates!E137</f>
        <v>0</v>
      </c>
      <c r="D19" s="91">
        <f>C8</f>
        <v>0.2</v>
      </c>
      <c r="E19" s="36">
        <f t="shared" si="4"/>
        <v>0</v>
      </c>
      <c r="F19" s="45"/>
      <c r="G19" s="25">
        <f>Rates!I137</f>
        <v>0</v>
      </c>
      <c r="H19" s="91">
        <f t="shared" si="6"/>
        <v>0.2</v>
      </c>
      <c r="I19" s="36">
        <f t="shared" si="5"/>
        <v>0</v>
      </c>
      <c r="J19" s="45"/>
      <c r="K19" s="36">
        <f t="shared" si="7"/>
        <v>0</v>
      </c>
      <c r="L19" s="47" t="str">
        <f t="shared" si="8"/>
        <v xml:space="preserve"> </v>
      </c>
    </row>
    <row r="20" spans="2:12" x14ac:dyDescent="0.2">
      <c r="B20" s="48" t="str">
        <f>Rates!B138</f>
        <v>Rate Rider for Deferral/Variance Account Disposition (2016) - effective until December 31, 2017</v>
      </c>
      <c r="C20" s="25">
        <f>Rates!E138</f>
        <v>0</v>
      </c>
      <c r="D20" s="91">
        <f>C8</f>
        <v>0.2</v>
      </c>
      <c r="E20" s="36">
        <f t="shared" si="4"/>
        <v>0</v>
      </c>
      <c r="F20" s="45"/>
      <c r="G20" s="25">
        <f>Rates!I138</f>
        <v>-0.88480000000000003</v>
      </c>
      <c r="H20" s="91">
        <f t="shared" si="6"/>
        <v>0.2</v>
      </c>
      <c r="I20" s="36">
        <f t="shared" si="5"/>
        <v>-0.17696000000000001</v>
      </c>
      <c r="J20" s="45"/>
      <c r="K20" s="36">
        <f t="shared" ref="K20:K21" si="9">I20-E20</f>
        <v>-0.17696000000000001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Rates!B139</f>
        <v>Rate Rider for Global Adjustment Sub-Account Disposition (2016) - effective until December 31, 2017 Applicable only for Non-RPP Customers</v>
      </c>
      <c r="C21" s="25">
        <f>Rates!E139</f>
        <v>0</v>
      </c>
      <c r="D21" s="91">
        <f>C8</f>
        <v>0.2</v>
      </c>
      <c r="E21" s="36">
        <f t="shared" si="4"/>
        <v>0</v>
      </c>
      <c r="F21" s="45"/>
      <c r="G21" s="25">
        <f>Rates!I139</f>
        <v>0</v>
      </c>
      <c r="H21" s="91">
        <f t="shared" si="6"/>
        <v>0.2</v>
      </c>
      <c r="I21" s="36">
        <f t="shared" si="5"/>
        <v>0</v>
      </c>
      <c r="J21" s="45"/>
      <c r="K21" s="36">
        <f t="shared" si="9"/>
        <v>0</v>
      </c>
      <c r="L21" s="47" t="str">
        <f t="shared" si="10"/>
        <v xml:space="preserve"> </v>
      </c>
    </row>
    <row r="22" spans="2:12" x14ac:dyDescent="0.2">
      <c r="B22" s="44" t="str">
        <f>Rates!B140</f>
        <v>Rate Rider for Loss Revenue Adjustment Mechanism (LRAM) - effective until December 31, 2015</v>
      </c>
      <c r="C22" s="25">
        <f>Rates!E140</f>
        <v>0</v>
      </c>
      <c r="D22" s="91">
        <f>C8</f>
        <v>0.2</v>
      </c>
      <c r="E22" s="36">
        <f t="shared" si="4"/>
        <v>0</v>
      </c>
      <c r="F22" s="45"/>
      <c r="G22" s="25">
        <f>Rates!I140</f>
        <v>0</v>
      </c>
      <c r="H22" s="91">
        <f t="shared" si="6"/>
        <v>0.2</v>
      </c>
      <c r="I22" s="36">
        <f t="shared" si="5"/>
        <v>0</v>
      </c>
      <c r="J22" s="45"/>
      <c r="K22" s="36">
        <f t="shared" si="7"/>
        <v>0</v>
      </c>
      <c r="L22" s="47" t="str">
        <f t="shared" si="8"/>
        <v xml:space="preserve"> </v>
      </c>
    </row>
    <row r="23" spans="2:12" x14ac:dyDescent="0.2">
      <c r="B23" s="44" t="str">
        <f>Rates!B9</f>
        <v>Low Voltage Service Rate</v>
      </c>
      <c r="C23" s="25">
        <f>Rates!E135</f>
        <v>5.4199999999999998E-2</v>
      </c>
      <c r="D23" s="91">
        <f>C8</f>
        <v>0.2</v>
      </c>
      <c r="E23" s="36">
        <f t="shared" si="4"/>
        <v>1.0840000000000001E-2</v>
      </c>
      <c r="F23" s="45"/>
      <c r="G23" s="25">
        <f>Rates!I135</f>
        <v>5.4199999999999998E-2</v>
      </c>
      <c r="H23" s="91">
        <f t="shared" si="6"/>
        <v>0.2</v>
      </c>
      <c r="I23" s="36">
        <f t="shared" si="5"/>
        <v>1.0840000000000001E-2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9" t="s">
        <v>56</v>
      </c>
      <c r="C24" s="50"/>
      <c r="D24" s="92"/>
      <c r="E24" s="52">
        <f>SUM(E16:E23)</f>
        <v>6.5664103200000001</v>
      </c>
      <c r="F24" s="53"/>
      <c r="G24" s="50"/>
      <c r="H24" s="92"/>
      <c r="I24" s="52">
        <f>SUM(I16:I23)</f>
        <v>6.4983703199999994</v>
      </c>
      <c r="J24" s="53"/>
      <c r="K24" s="54">
        <f t="shared" si="2"/>
        <v>-6.8040000000000767E-2</v>
      </c>
      <c r="L24" s="55">
        <f t="shared" si="3"/>
        <v>-1.0361825820230004E-2</v>
      </c>
    </row>
    <row r="25" spans="2:12" x14ac:dyDescent="0.2">
      <c r="B25" s="44" t="str">
        <f>Rates!B15</f>
        <v>Retail Transmission Rate - Network Service Rate</v>
      </c>
      <c r="C25" s="25">
        <f>Rates!E141</f>
        <v>2.2526999999999999</v>
      </c>
      <c r="D25" s="91">
        <f>C8</f>
        <v>0.2</v>
      </c>
      <c r="E25" s="36">
        <f>C25*D25</f>
        <v>0.45054</v>
      </c>
      <c r="F25" s="45"/>
      <c r="G25" s="25">
        <f>Rates!I141</f>
        <v>2.2128999999999999</v>
      </c>
      <c r="H25" s="91">
        <f>D25</f>
        <v>0.2</v>
      </c>
      <c r="I25" s="36">
        <f>G25*H25</f>
        <v>0.44257999999999997</v>
      </c>
      <c r="J25" s="45"/>
      <c r="K25" s="36">
        <f t="shared" si="2"/>
        <v>-7.9600000000000226E-3</v>
      </c>
      <c r="L25" s="47">
        <f t="shared" si="3"/>
        <v>-1.7667687663692509E-2</v>
      </c>
    </row>
    <row r="26" spans="2:12" x14ac:dyDescent="0.2">
      <c r="B26" s="44" t="str">
        <f>Rates!B16</f>
        <v>Retail Transmission Rate - Line and Transformation Connection Service Rate</v>
      </c>
      <c r="C26" s="25">
        <f>Rates!E142</f>
        <v>1.6578999999999999</v>
      </c>
      <c r="D26" s="91">
        <f>C8</f>
        <v>0.2</v>
      </c>
      <c r="E26" s="36">
        <f>C26*D26</f>
        <v>0.33157999999999999</v>
      </c>
      <c r="F26" s="45"/>
      <c r="G26" s="25">
        <f>Rates!I142</f>
        <v>1.6977</v>
      </c>
      <c r="H26" s="91">
        <f>D26</f>
        <v>0.2</v>
      </c>
      <c r="I26" s="36">
        <f>G26*H26</f>
        <v>0.33954000000000001</v>
      </c>
      <c r="J26" s="45"/>
      <c r="K26" s="36">
        <f t="shared" si="2"/>
        <v>7.9600000000000226E-3</v>
      </c>
      <c r="L26" s="47">
        <f t="shared" si="3"/>
        <v>2.4006272995958811E-2</v>
      </c>
    </row>
    <row r="27" spans="2:12" x14ac:dyDescent="0.2">
      <c r="B27" s="49" t="s">
        <v>57</v>
      </c>
      <c r="C27" s="50"/>
      <c r="D27" s="51"/>
      <c r="E27" s="52">
        <f>SUM(E24:E26)</f>
        <v>7.3485303200000001</v>
      </c>
      <c r="F27" s="53"/>
      <c r="G27" s="50"/>
      <c r="H27" s="52"/>
      <c r="I27" s="52">
        <f>SUM(I24:I26)</f>
        <v>7.2804903199999993</v>
      </c>
      <c r="J27" s="53"/>
      <c r="K27" s="54">
        <f t="shared" si="2"/>
        <v>-6.8040000000000767E-2</v>
      </c>
      <c r="L27" s="55">
        <f t="shared" si="3"/>
        <v>-9.2589942528808634E-3</v>
      </c>
    </row>
    <row r="28" spans="2:12" x14ac:dyDescent="0.2">
      <c r="B28" s="44" t="str">
        <f>Rates!B244</f>
        <v>Wholesale Market Service Rate</v>
      </c>
      <c r="C28" s="25">
        <f>Rates!E244</f>
        <v>4.4000000000000003E-3</v>
      </c>
      <c r="D28" s="37">
        <f>C5*C7</f>
        <v>63.252000000000002</v>
      </c>
      <c r="E28" s="36">
        <f t="shared" ref="E28:E33" si="11">C28*D28</f>
        <v>0.27830880000000002</v>
      </c>
      <c r="F28" s="45"/>
      <c r="G28" s="25">
        <f>Rates!I244</f>
        <v>3.5999999999999999E-3</v>
      </c>
      <c r="H28" s="37">
        <f>D28</f>
        <v>63.252000000000002</v>
      </c>
      <c r="I28" s="36">
        <f t="shared" ref="I28:I33" si="12">G28*H28</f>
        <v>0.2277072</v>
      </c>
      <c r="J28" s="45"/>
      <c r="K28" s="36">
        <f t="shared" si="2"/>
        <v>-5.0601600000000024E-2</v>
      </c>
      <c r="L28" s="47">
        <f t="shared" si="3"/>
        <v>-0.18181818181818188</v>
      </c>
    </row>
    <row r="29" spans="2:12" x14ac:dyDescent="0.2">
      <c r="B29" s="44" t="str">
        <f>Rates!B245</f>
        <v>Rural Rate Protection Charge</v>
      </c>
      <c r="C29" s="25">
        <f>Rates!E245</f>
        <v>1.2999999999999999E-3</v>
      </c>
      <c r="D29" s="37">
        <f>C5*C7</f>
        <v>63.252000000000002</v>
      </c>
      <c r="E29" s="36">
        <f t="shared" si="11"/>
        <v>8.2227599999999998E-2</v>
      </c>
      <c r="F29" s="45"/>
      <c r="G29" s="25">
        <f>Rates!I245</f>
        <v>1.2999999999999999E-3</v>
      </c>
      <c r="H29" s="37">
        <f t="shared" ref="H29:H30" si="13">D29</f>
        <v>63.252000000000002</v>
      </c>
      <c r="I29" s="36">
        <f t="shared" si="12"/>
        <v>8.2227599999999998E-2</v>
      </c>
      <c r="J29" s="45"/>
      <c r="K29" s="36">
        <f t="shared" si="2"/>
        <v>0</v>
      </c>
      <c r="L29" s="47">
        <f t="shared" si="3"/>
        <v>0</v>
      </c>
    </row>
    <row r="30" spans="2:12" x14ac:dyDescent="0.2">
      <c r="B30" s="44" t="str">
        <f>Rates!B247</f>
        <v>Standard Supply Service - Administrative Charge (if applicable)</v>
      </c>
      <c r="C30" s="36">
        <f>Rates!E247</f>
        <v>0.25</v>
      </c>
      <c r="D30" s="37">
        <v>1</v>
      </c>
      <c r="E30" s="36">
        <f t="shared" si="11"/>
        <v>0.25</v>
      </c>
      <c r="F30" s="45"/>
      <c r="G30" s="36">
        <f>Rates!I247</f>
        <v>0.25</v>
      </c>
      <c r="H30" s="37">
        <f t="shared" si="13"/>
        <v>1</v>
      </c>
      <c r="I30" s="36">
        <f t="shared" si="12"/>
        <v>0.25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Rates!B250</f>
        <v>Debt Retirement Charge</v>
      </c>
      <c r="C31" s="25">
        <f>Rates!E252</f>
        <v>5.1000000000000004E-3</v>
      </c>
      <c r="D31" s="37">
        <f>C7</f>
        <v>60</v>
      </c>
      <c r="E31" s="36">
        <f t="shared" si="11"/>
        <v>0.30600000000000005</v>
      </c>
      <c r="F31" s="45"/>
      <c r="G31" s="25">
        <f>Rates!I252</f>
        <v>0</v>
      </c>
      <c r="H31" s="37">
        <f>D31</f>
        <v>60</v>
      </c>
      <c r="I31" s="36">
        <f t="shared" si="12"/>
        <v>0</v>
      </c>
      <c r="J31" s="45"/>
      <c r="K31" s="36">
        <f t="shared" si="2"/>
        <v>-0.30600000000000005</v>
      </c>
      <c r="L31" s="47">
        <f t="shared" si="3"/>
        <v>-1</v>
      </c>
    </row>
    <row r="32" spans="2:12" x14ac:dyDescent="0.2">
      <c r="B32" s="44" t="str">
        <f>Rates!B246</f>
        <v>Ontario Electricity Support Program</v>
      </c>
      <c r="C32" s="25"/>
      <c r="D32" s="37"/>
      <c r="E32" s="36"/>
      <c r="F32" s="45"/>
      <c r="G32" s="25">
        <f>Rates!I246</f>
        <v>1.1000000000000001E-3</v>
      </c>
      <c r="H32" s="37">
        <f>C7</f>
        <v>60</v>
      </c>
      <c r="I32" s="36">
        <f t="shared" si="12"/>
        <v>6.6000000000000003E-2</v>
      </c>
      <c r="J32" s="45"/>
      <c r="K32" s="36"/>
      <c r="L32" s="47"/>
    </row>
    <row r="33" spans="2:12" x14ac:dyDescent="0.2">
      <c r="B33" s="44" t="str">
        <f>Rates!B267</f>
        <v>Energy Price</v>
      </c>
      <c r="C33" s="25">
        <f>Rates!E267</f>
        <v>0.10766000000000001</v>
      </c>
      <c r="D33" s="37">
        <f>C7*0.64</f>
        <v>38.4</v>
      </c>
      <c r="E33" s="36">
        <f t="shared" si="11"/>
        <v>4.134144</v>
      </c>
      <c r="F33" s="45"/>
      <c r="G33" s="25">
        <f>Rates!I267</f>
        <v>0.10766000000000001</v>
      </c>
      <c r="H33" s="37">
        <f>D33</f>
        <v>38.4</v>
      </c>
      <c r="I33" s="36">
        <f t="shared" si="12"/>
        <v>4.134144</v>
      </c>
      <c r="J33" s="45"/>
      <c r="K33" s="36">
        <f t="shared" si="2"/>
        <v>0</v>
      </c>
      <c r="L33" s="47">
        <f t="shared" si="3"/>
        <v>0</v>
      </c>
    </row>
    <row r="34" spans="2:12" x14ac:dyDescent="0.2">
      <c r="B34" s="56"/>
      <c r="C34" s="51"/>
      <c r="D34" s="51"/>
      <c r="E34" s="51"/>
      <c r="F34" s="53"/>
      <c r="G34" s="51"/>
      <c r="H34" s="51"/>
      <c r="I34" s="51"/>
      <c r="J34" s="53"/>
      <c r="K34" s="54"/>
      <c r="L34" s="55"/>
    </row>
    <row r="35" spans="2:12" x14ac:dyDescent="0.2">
      <c r="B35" s="23" t="s">
        <v>58</v>
      </c>
      <c r="C35" s="35"/>
      <c r="D35" s="35"/>
      <c r="E35" s="39">
        <f>SUM(E27:E33)</f>
        <v>12.399210719999999</v>
      </c>
      <c r="F35" s="45"/>
      <c r="G35" s="35"/>
      <c r="H35" s="39"/>
      <c r="I35" s="39">
        <f>SUM(I27:I33)</f>
        <v>12.040569120000001</v>
      </c>
      <c r="J35" s="45"/>
      <c r="K35" s="36">
        <f t="shared" si="2"/>
        <v>-0.35864159999999856</v>
      </c>
      <c r="L35" s="47">
        <f t="shared" si="3"/>
        <v>-2.8924550771728362E-2</v>
      </c>
    </row>
    <row r="36" spans="2:12" x14ac:dyDescent="0.2">
      <c r="B36" s="44" t="str">
        <f>Rates!B269</f>
        <v>HST</v>
      </c>
      <c r="C36" s="41">
        <f>Rates!E269</f>
        <v>0.13</v>
      </c>
      <c r="D36" s="35"/>
      <c r="E36" s="42">
        <f>E35*C36</f>
        <v>1.6118973936000001</v>
      </c>
      <c r="F36" s="45"/>
      <c r="G36" s="41">
        <f>Rates!I269</f>
        <v>0.13</v>
      </c>
      <c r="H36" s="35"/>
      <c r="I36" s="42">
        <f>I35*G36</f>
        <v>1.5652739856000002</v>
      </c>
      <c r="J36" s="45"/>
      <c r="K36" s="36">
        <f t="shared" si="2"/>
        <v>-4.6623407999999866E-2</v>
      </c>
      <c r="L36" s="47">
        <f t="shared" si="3"/>
        <v>-2.8924550771728393E-2</v>
      </c>
    </row>
    <row r="37" spans="2:12" x14ac:dyDescent="0.2">
      <c r="B37" s="23" t="s">
        <v>59</v>
      </c>
      <c r="C37" s="35"/>
      <c r="D37" s="35"/>
      <c r="E37" s="42">
        <f>E35+E36</f>
        <v>14.011108113599999</v>
      </c>
      <c r="F37" s="45"/>
      <c r="G37" s="35"/>
      <c r="H37" s="35"/>
      <c r="I37" s="42">
        <f>I35+I36</f>
        <v>13.605843105600002</v>
      </c>
      <c r="J37" s="45"/>
      <c r="K37" s="36">
        <f t="shared" si="2"/>
        <v>-0.4052650079999971</v>
      </c>
      <c r="L37" s="47">
        <f t="shared" si="3"/>
        <v>-2.8924550771728272E-2</v>
      </c>
    </row>
    <row r="38" spans="2:12" x14ac:dyDescent="0.2">
      <c r="B38" s="44" t="str">
        <f>Rates!B271</f>
        <v>OCEB</v>
      </c>
      <c r="C38" s="41">
        <f>Rates!E271</f>
        <v>-0.1</v>
      </c>
      <c r="D38" s="35"/>
      <c r="E38" s="42">
        <f>E37*C38</f>
        <v>-1.4011108113599999</v>
      </c>
      <c r="F38" s="45"/>
      <c r="G38" s="41">
        <f>Rates!I271</f>
        <v>0</v>
      </c>
      <c r="H38" s="35"/>
      <c r="I38" s="42">
        <f>I37*G38</f>
        <v>0</v>
      </c>
      <c r="J38" s="45"/>
      <c r="K38" s="36">
        <f t="shared" si="2"/>
        <v>1.4011108113599999</v>
      </c>
      <c r="L38" s="47">
        <f t="shared" si="3"/>
        <v>-1</v>
      </c>
    </row>
    <row r="39" spans="2:12" ht="13.5" thickBot="1" x14ac:dyDescent="0.25">
      <c r="B39" s="30" t="s">
        <v>60</v>
      </c>
      <c r="C39" s="57"/>
      <c r="D39" s="57"/>
      <c r="E39" s="58">
        <f>E37+E38</f>
        <v>12.609997302239998</v>
      </c>
      <c r="F39" s="59"/>
      <c r="G39" s="57"/>
      <c r="H39" s="57"/>
      <c r="I39" s="58">
        <f>I37+I38</f>
        <v>13.605843105600002</v>
      </c>
      <c r="J39" s="59"/>
      <c r="K39" s="60">
        <f t="shared" si="2"/>
        <v>0.9958458033600035</v>
      </c>
      <c r="L39" s="61">
        <f t="shared" si="3"/>
        <v>7.8972721364746423E-2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2:I271"/>
  <sheetViews>
    <sheetView showGridLines="0" topLeftCell="A235" zoomScaleNormal="100" workbookViewId="0">
      <selection activeCell="E267" sqref="E267"/>
    </sheetView>
  </sheetViews>
  <sheetFormatPr defaultRowHeight="12.75" x14ac:dyDescent="0.2"/>
  <cols>
    <col min="1" max="1" width="3.85546875" customWidth="1"/>
    <col min="2" max="2" width="88.7109375" customWidth="1"/>
    <col min="3" max="3" width="6.7109375" style="2" customWidth="1"/>
    <col min="4" max="4" width="2.85546875" style="2" customWidth="1"/>
    <col min="5" max="5" width="13" customWidth="1"/>
    <col min="6" max="7" width="11.28515625" hidden="1" customWidth="1"/>
    <col min="8" max="8" width="2.85546875" customWidth="1"/>
    <col min="9" max="9" width="13" customWidth="1"/>
  </cols>
  <sheetData>
    <row r="2" spans="2:9" ht="15.75" x14ac:dyDescent="0.25">
      <c r="B2" s="103" t="s">
        <v>35</v>
      </c>
      <c r="C2" s="103"/>
      <c r="D2" s="103"/>
      <c r="E2" s="103"/>
      <c r="F2" s="103"/>
      <c r="G2" s="103"/>
      <c r="H2" s="103"/>
      <c r="I2" s="103"/>
    </row>
    <row r="3" spans="2:9" x14ac:dyDescent="0.2">
      <c r="B3" s="1" t="s">
        <v>52</v>
      </c>
    </row>
    <row r="4" spans="2:9" ht="51" x14ac:dyDescent="0.2">
      <c r="B4" s="1" t="s">
        <v>0</v>
      </c>
      <c r="C4" s="7" t="s">
        <v>14</v>
      </c>
      <c r="D4" s="7"/>
      <c r="E4" s="8" t="s">
        <v>92</v>
      </c>
      <c r="F4" s="8"/>
      <c r="G4" s="8"/>
      <c r="H4" s="7"/>
      <c r="I4" s="8" t="s">
        <v>99</v>
      </c>
    </row>
    <row r="5" spans="2:9" x14ac:dyDescent="0.2">
      <c r="B5" s="1" t="s">
        <v>27</v>
      </c>
    </row>
    <row r="6" spans="2:9" x14ac:dyDescent="0.2">
      <c r="B6" t="s">
        <v>1</v>
      </c>
      <c r="C6" s="2" t="s">
        <v>8</v>
      </c>
      <c r="E6" s="3">
        <v>19.43</v>
      </c>
      <c r="F6" s="3"/>
      <c r="G6" s="3"/>
      <c r="H6" s="9"/>
      <c r="I6" s="3">
        <v>23.44</v>
      </c>
    </row>
    <row r="7" spans="2:9" x14ac:dyDescent="0.2">
      <c r="B7" s="10" t="s">
        <v>95</v>
      </c>
      <c r="C7" s="2" t="s">
        <v>8</v>
      </c>
      <c r="E7" s="3">
        <v>0.79</v>
      </c>
      <c r="F7" s="3"/>
      <c r="G7" s="3"/>
      <c r="H7" s="9"/>
      <c r="I7" s="3">
        <v>0.79</v>
      </c>
    </row>
    <row r="8" spans="2:9" x14ac:dyDescent="0.2">
      <c r="B8" t="s">
        <v>2</v>
      </c>
      <c r="C8" s="2" t="s">
        <v>9</v>
      </c>
      <c r="E8" s="4">
        <v>2.0199999999999999E-2</v>
      </c>
      <c r="F8" s="4"/>
      <c r="G8" s="4"/>
      <c r="H8" s="9"/>
      <c r="I8" s="4">
        <v>1.52E-2</v>
      </c>
    </row>
    <row r="9" spans="2:9" x14ac:dyDescent="0.2">
      <c r="B9" s="10" t="s">
        <v>34</v>
      </c>
      <c r="C9" s="2" t="s">
        <v>9</v>
      </c>
      <c r="E9" s="4">
        <v>2.0000000000000001E-4</v>
      </c>
      <c r="F9" s="4"/>
      <c r="G9" s="4"/>
      <c r="H9" s="9"/>
      <c r="I9" s="4">
        <v>2.0000000000000001E-4</v>
      </c>
    </row>
    <row r="10" spans="2:9" x14ac:dyDescent="0.2">
      <c r="B10" s="10" t="s">
        <v>93</v>
      </c>
      <c r="C10" s="11" t="s">
        <v>9</v>
      </c>
      <c r="E10" s="4">
        <v>8.0000000000000004E-4</v>
      </c>
      <c r="F10" s="4"/>
      <c r="G10" s="4"/>
      <c r="H10" s="9"/>
      <c r="I10" s="4">
        <v>8.0000000000000004E-4</v>
      </c>
    </row>
    <row r="11" spans="2:9" ht="25.5" x14ac:dyDescent="0.2">
      <c r="B11" s="16" t="s">
        <v>94</v>
      </c>
      <c r="C11" s="20" t="s">
        <v>9</v>
      </c>
      <c r="D11" s="20"/>
      <c r="E11" s="21">
        <v>-2.5000000000000001E-3</v>
      </c>
      <c r="F11" s="21"/>
      <c r="G11" s="21"/>
      <c r="H11" s="22"/>
      <c r="I11" s="21">
        <v>-2.5000000000000001E-3</v>
      </c>
    </row>
    <row r="12" spans="2:9" x14ac:dyDescent="0.2">
      <c r="B12" s="10" t="s">
        <v>97</v>
      </c>
      <c r="C12" s="11" t="s">
        <v>9</v>
      </c>
      <c r="D12" s="20"/>
      <c r="E12" s="21"/>
      <c r="F12" s="21"/>
      <c r="G12" s="21"/>
      <c r="H12" s="22"/>
      <c r="I12" s="21">
        <v>-4.0000000000000002E-4</v>
      </c>
    </row>
    <row r="13" spans="2:9" ht="25.5" x14ac:dyDescent="0.2">
      <c r="B13" s="16" t="s">
        <v>98</v>
      </c>
      <c r="C13" s="20" t="s">
        <v>9</v>
      </c>
      <c r="D13" s="20"/>
      <c r="E13" s="21"/>
      <c r="F13" s="21"/>
      <c r="G13" s="21"/>
      <c r="H13" s="22"/>
      <c r="I13" s="21">
        <v>3.7000000000000002E-3</v>
      </c>
    </row>
    <row r="14" spans="2:9" x14ac:dyDescent="0.2">
      <c r="B14" s="16" t="s">
        <v>84</v>
      </c>
      <c r="C14" s="20" t="s">
        <v>9</v>
      </c>
      <c r="D14" s="20"/>
      <c r="E14" s="21">
        <v>1E-4</v>
      </c>
      <c r="F14" s="21"/>
      <c r="G14" s="21"/>
      <c r="H14" s="22"/>
      <c r="I14" s="21">
        <v>0</v>
      </c>
    </row>
    <row r="15" spans="2:9" x14ac:dyDescent="0.2">
      <c r="B15" t="s">
        <v>3</v>
      </c>
      <c r="C15" s="2" t="s">
        <v>9</v>
      </c>
      <c r="E15" s="4">
        <v>7.3000000000000001E-3</v>
      </c>
      <c r="F15" s="4"/>
      <c r="G15" s="4"/>
      <c r="H15" s="9"/>
      <c r="I15" s="4">
        <v>7.1999999999999998E-3</v>
      </c>
    </row>
    <row r="16" spans="2:9" x14ac:dyDescent="0.2">
      <c r="B16" t="s">
        <v>4</v>
      </c>
      <c r="C16" s="2" t="s">
        <v>9</v>
      </c>
      <c r="E16" s="4">
        <v>5.7000000000000002E-3</v>
      </c>
      <c r="F16" s="4"/>
      <c r="G16" s="4"/>
      <c r="I16" s="4">
        <v>5.7999999999999996E-3</v>
      </c>
    </row>
    <row r="18" spans="2:9" x14ac:dyDescent="0.2">
      <c r="B18" s="1" t="s">
        <v>17</v>
      </c>
    </row>
    <row r="19" spans="2:9" x14ac:dyDescent="0.2">
      <c r="B19" t="s">
        <v>1</v>
      </c>
      <c r="C19" s="2" t="s">
        <v>8</v>
      </c>
      <c r="E19" s="3">
        <v>26.22</v>
      </c>
      <c r="F19" s="3"/>
      <c r="G19" s="3"/>
      <c r="H19" s="9"/>
      <c r="I19" s="3">
        <v>28.26</v>
      </c>
    </row>
    <row r="20" spans="2:9" x14ac:dyDescent="0.2">
      <c r="B20" s="10" t="s">
        <v>95</v>
      </c>
      <c r="C20" s="2" t="s">
        <v>8</v>
      </c>
      <c r="E20" s="3">
        <v>0.79</v>
      </c>
      <c r="F20" s="3"/>
      <c r="G20" s="3"/>
      <c r="H20" s="9"/>
      <c r="I20" s="3">
        <v>0.79</v>
      </c>
    </row>
    <row r="21" spans="2:9" x14ac:dyDescent="0.2">
      <c r="B21" t="s">
        <v>2</v>
      </c>
      <c r="C21" s="2" t="s">
        <v>9</v>
      </c>
      <c r="E21" s="4">
        <v>2.35E-2</v>
      </c>
      <c r="F21" s="4"/>
      <c r="G21" s="4"/>
      <c r="H21" s="12"/>
      <c r="I21" s="4">
        <v>2.3E-2</v>
      </c>
    </row>
    <row r="22" spans="2:9" x14ac:dyDescent="0.2">
      <c r="B22" s="10" t="s">
        <v>34</v>
      </c>
      <c r="C22" s="2" t="s">
        <v>9</v>
      </c>
      <c r="D22" s="20"/>
      <c r="E22" s="4">
        <v>2.0000000000000001E-4</v>
      </c>
      <c r="F22" s="4"/>
      <c r="G22" s="4"/>
      <c r="I22" s="4">
        <v>2.0000000000000001E-4</v>
      </c>
    </row>
    <row r="23" spans="2:9" x14ac:dyDescent="0.2">
      <c r="B23" s="10" t="s">
        <v>93</v>
      </c>
      <c r="C23" s="11" t="s">
        <v>9</v>
      </c>
      <c r="E23" s="4">
        <v>8.0000000000000004E-4</v>
      </c>
      <c r="F23" s="4"/>
      <c r="G23" s="4"/>
      <c r="I23" s="4">
        <v>8.0000000000000004E-4</v>
      </c>
    </row>
    <row r="24" spans="2:9" ht="25.5" x14ac:dyDescent="0.2">
      <c r="B24" s="16" t="s">
        <v>94</v>
      </c>
      <c r="C24" s="20" t="s">
        <v>9</v>
      </c>
      <c r="E24" s="4">
        <v>-2.5000000000000001E-3</v>
      </c>
      <c r="F24" s="4"/>
      <c r="G24" s="4"/>
      <c r="I24" s="4">
        <v>-2.5000000000000001E-3</v>
      </c>
    </row>
    <row r="25" spans="2:9" x14ac:dyDescent="0.2">
      <c r="B25" s="10" t="s">
        <v>97</v>
      </c>
      <c r="C25" s="11" t="s">
        <v>9</v>
      </c>
      <c r="E25" s="4"/>
      <c r="F25" s="4"/>
      <c r="G25" s="4"/>
      <c r="I25" s="4">
        <v>-5.9999999999999995E-4</v>
      </c>
    </row>
    <row r="26" spans="2:9" ht="25.5" x14ac:dyDescent="0.2">
      <c r="B26" s="16" t="s">
        <v>98</v>
      </c>
      <c r="C26" s="20" t="s">
        <v>9</v>
      </c>
      <c r="E26" s="4"/>
      <c r="F26" s="4"/>
      <c r="G26" s="4"/>
      <c r="I26" s="4">
        <v>3.7000000000000002E-3</v>
      </c>
    </row>
    <row r="27" spans="2:9" x14ac:dyDescent="0.2">
      <c r="B27" s="16" t="s">
        <v>84</v>
      </c>
      <c r="C27" s="20" t="s">
        <v>9</v>
      </c>
      <c r="E27" s="4">
        <v>4.0000000000000002E-4</v>
      </c>
      <c r="F27" s="4"/>
      <c r="G27" s="4"/>
      <c r="I27" s="4">
        <v>0</v>
      </c>
    </row>
    <row r="28" spans="2:9" x14ac:dyDescent="0.2">
      <c r="B28" t="s">
        <v>3</v>
      </c>
      <c r="C28" s="2" t="s">
        <v>9</v>
      </c>
      <c r="E28" s="4">
        <v>6.1999999999999998E-3</v>
      </c>
      <c r="F28" s="4"/>
      <c r="G28" s="4"/>
      <c r="I28" s="4">
        <v>6.1000000000000004E-3</v>
      </c>
    </row>
    <row r="29" spans="2:9" x14ac:dyDescent="0.2">
      <c r="B29" t="s">
        <v>4</v>
      </c>
      <c r="C29" s="2" t="s">
        <v>9</v>
      </c>
      <c r="E29" s="4">
        <v>4.8999999999999998E-3</v>
      </c>
      <c r="F29" s="4"/>
      <c r="G29" s="4"/>
      <c r="I29" s="4">
        <v>5.0000000000000001E-3</v>
      </c>
    </row>
    <row r="30" spans="2:9" x14ac:dyDescent="0.2">
      <c r="E30" s="3"/>
      <c r="F30" s="3"/>
      <c r="G30" s="3"/>
      <c r="H30" s="3"/>
      <c r="I30" s="3"/>
    </row>
    <row r="31" spans="2:9" x14ac:dyDescent="0.2">
      <c r="B31" s="1" t="s">
        <v>19</v>
      </c>
    </row>
    <row r="32" spans="2:9" x14ac:dyDescent="0.2">
      <c r="B32" t="s">
        <v>1</v>
      </c>
      <c r="C32" s="2" t="s">
        <v>8</v>
      </c>
      <c r="E32" s="3">
        <v>149.36000000000001</v>
      </c>
      <c r="F32" s="3"/>
      <c r="G32" s="3"/>
      <c r="H32" s="9"/>
      <c r="I32" s="3">
        <v>151.83000000000001</v>
      </c>
    </row>
    <row r="33" spans="2:9" x14ac:dyDescent="0.2">
      <c r="B33" t="s">
        <v>2</v>
      </c>
      <c r="C33" s="2" t="s">
        <v>10</v>
      </c>
      <c r="E33" s="4">
        <v>6.5800999999999998</v>
      </c>
      <c r="F33" s="4"/>
      <c r="G33" s="4"/>
      <c r="H33" s="9"/>
      <c r="I33" s="4">
        <v>6.6886999999999999</v>
      </c>
    </row>
    <row r="34" spans="2:9" x14ac:dyDescent="0.2">
      <c r="B34" s="10" t="s">
        <v>34</v>
      </c>
      <c r="C34" s="2" t="s">
        <v>10</v>
      </c>
      <c r="E34" s="4">
        <v>7.3499999999999996E-2</v>
      </c>
      <c r="F34" s="4"/>
      <c r="G34" s="4"/>
      <c r="I34" s="4">
        <v>7.3499999999999996E-2</v>
      </c>
    </row>
    <row r="35" spans="2:9" x14ac:dyDescent="0.2">
      <c r="B35" s="10" t="s">
        <v>93</v>
      </c>
      <c r="C35" s="2" t="s">
        <v>10</v>
      </c>
      <c r="E35" s="4">
        <v>0.26019999999999999</v>
      </c>
      <c r="F35" s="4"/>
      <c r="G35" s="4"/>
      <c r="I35" s="4">
        <v>0.26019999999999999</v>
      </c>
    </row>
    <row r="36" spans="2:9" ht="25.5" x14ac:dyDescent="0.2">
      <c r="B36" s="16" t="s">
        <v>94</v>
      </c>
      <c r="C36" s="2" t="s">
        <v>10</v>
      </c>
      <c r="E36" s="4">
        <v>-0.8619</v>
      </c>
      <c r="F36" s="4"/>
      <c r="G36" s="4"/>
      <c r="I36" s="4">
        <v>-0.8619</v>
      </c>
    </row>
    <row r="37" spans="2:9" x14ac:dyDescent="0.2">
      <c r="B37" s="10" t="s">
        <v>97</v>
      </c>
      <c r="C37" s="2" t="s">
        <v>10</v>
      </c>
      <c r="E37" s="4"/>
      <c r="F37" s="4"/>
      <c r="G37" s="4"/>
      <c r="I37" s="4">
        <v>-0.1678</v>
      </c>
    </row>
    <row r="38" spans="2:9" ht="25.5" x14ac:dyDescent="0.2">
      <c r="B38" s="16" t="s">
        <v>98</v>
      </c>
      <c r="C38" s="2" t="s">
        <v>10</v>
      </c>
      <c r="E38" s="4"/>
      <c r="F38" s="4"/>
      <c r="G38" s="4"/>
      <c r="I38" s="4">
        <v>1.4104000000000001</v>
      </c>
    </row>
    <row r="39" spans="2:9" x14ac:dyDescent="0.2">
      <c r="B39" s="16" t="s">
        <v>84</v>
      </c>
      <c r="C39" s="20" t="s">
        <v>10</v>
      </c>
      <c r="E39" s="4">
        <v>4.41E-2</v>
      </c>
      <c r="F39" s="4"/>
      <c r="G39" s="4"/>
      <c r="I39" s="4">
        <v>0</v>
      </c>
    </row>
    <row r="40" spans="2:9" x14ac:dyDescent="0.2">
      <c r="B40" t="s">
        <v>3</v>
      </c>
      <c r="C40" s="2" t="s">
        <v>10</v>
      </c>
      <c r="E40" s="4">
        <v>2.6433</v>
      </c>
      <c r="F40" s="4"/>
      <c r="G40" s="4"/>
      <c r="I40" s="4">
        <v>2.5966</v>
      </c>
    </row>
    <row r="41" spans="2:9" x14ac:dyDescent="0.2">
      <c r="B41" t="s">
        <v>4</v>
      </c>
      <c r="C41" s="2" t="s">
        <v>10</v>
      </c>
      <c r="E41" s="4">
        <v>2.0314999999999999</v>
      </c>
      <c r="F41" s="4"/>
      <c r="G41" s="4"/>
      <c r="H41" s="5"/>
      <c r="I41" s="4">
        <v>2.0802999999999998</v>
      </c>
    </row>
    <row r="42" spans="2:9" x14ac:dyDescent="0.2">
      <c r="E42" s="3"/>
      <c r="F42" s="3"/>
      <c r="G42" s="3"/>
      <c r="H42" s="3"/>
      <c r="I42" s="3"/>
    </row>
    <row r="43" spans="2:9" x14ac:dyDescent="0.2">
      <c r="B43" s="1" t="s">
        <v>20</v>
      </c>
    </row>
    <row r="44" spans="2:9" x14ac:dyDescent="0.2">
      <c r="B44" s="10" t="s">
        <v>47</v>
      </c>
      <c r="C44" s="2" t="s">
        <v>8</v>
      </c>
      <c r="E44" s="3">
        <v>42.26</v>
      </c>
      <c r="F44" s="3"/>
      <c r="G44" s="3"/>
      <c r="H44" s="9"/>
      <c r="I44" s="3">
        <v>32.96</v>
      </c>
    </row>
    <row r="45" spans="2:9" x14ac:dyDescent="0.2">
      <c r="B45" t="s">
        <v>2</v>
      </c>
      <c r="C45" s="2" t="s">
        <v>9</v>
      </c>
      <c r="E45" s="4">
        <v>2.5000000000000001E-2</v>
      </c>
      <c r="F45" s="4"/>
      <c r="G45" s="4"/>
      <c r="H45" s="9"/>
      <c r="I45" s="4">
        <v>1.7899999999999999E-2</v>
      </c>
    </row>
    <row r="46" spans="2:9" x14ac:dyDescent="0.2">
      <c r="B46" s="10" t="s">
        <v>34</v>
      </c>
      <c r="C46" s="2" t="s">
        <v>9</v>
      </c>
      <c r="D46" s="20"/>
      <c r="E46" s="4">
        <v>2.0000000000000001E-4</v>
      </c>
      <c r="F46" s="4"/>
      <c r="G46" s="4"/>
      <c r="H46" s="22"/>
      <c r="I46" s="4">
        <v>2.0000000000000001E-4</v>
      </c>
    </row>
    <row r="47" spans="2:9" x14ac:dyDescent="0.2">
      <c r="B47" s="10" t="s">
        <v>93</v>
      </c>
      <c r="C47" s="11" t="s">
        <v>9</v>
      </c>
      <c r="E47" s="4">
        <v>8.0000000000000004E-4</v>
      </c>
      <c r="F47" s="4"/>
      <c r="G47" s="4"/>
      <c r="I47" s="4">
        <v>8.0000000000000004E-4</v>
      </c>
    </row>
    <row r="48" spans="2:9" ht="25.5" x14ac:dyDescent="0.2">
      <c r="B48" s="16" t="s">
        <v>94</v>
      </c>
      <c r="C48" s="20" t="s">
        <v>9</v>
      </c>
      <c r="E48" s="4">
        <v>-2.5000000000000001E-3</v>
      </c>
      <c r="F48" s="4"/>
      <c r="G48" s="4"/>
      <c r="I48" s="4">
        <v>-2.5000000000000001E-3</v>
      </c>
    </row>
    <row r="49" spans="2:9" x14ac:dyDescent="0.2">
      <c r="B49" s="10" t="s">
        <v>97</v>
      </c>
      <c r="C49" s="11" t="s">
        <v>9</v>
      </c>
      <c r="E49" s="4"/>
      <c r="F49" s="4"/>
      <c r="G49" s="4"/>
      <c r="I49" s="4">
        <v>-5.0000000000000001E-4</v>
      </c>
    </row>
    <row r="50" spans="2:9" ht="25.5" x14ac:dyDescent="0.2">
      <c r="B50" s="16" t="s">
        <v>98</v>
      </c>
      <c r="C50" s="20" t="s">
        <v>9</v>
      </c>
      <c r="E50" s="4"/>
      <c r="F50" s="4"/>
      <c r="G50" s="4"/>
      <c r="I50" s="4">
        <v>3.7000000000000002E-3</v>
      </c>
    </row>
    <row r="51" spans="2:9" x14ac:dyDescent="0.2">
      <c r="B51" s="16" t="s">
        <v>84</v>
      </c>
      <c r="C51" s="20" t="s">
        <v>9</v>
      </c>
      <c r="E51" s="4"/>
      <c r="F51" s="4"/>
      <c r="G51" s="4"/>
      <c r="I51" s="4"/>
    </row>
    <row r="52" spans="2:9" x14ac:dyDescent="0.2">
      <c r="B52" t="s">
        <v>3</v>
      </c>
      <c r="C52" s="2" t="s">
        <v>9</v>
      </c>
      <c r="E52" s="4">
        <v>6.4999999999999997E-3</v>
      </c>
      <c r="F52" s="4"/>
      <c r="G52" s="4"/>
      <c r="H52" s="5"/>
      <c r="I52" s="4">
        <v>6.4000000000000003E-3</v>
      </c>
    </row>
    <row r="53" spans="2:9" x14ac:dyDescent="0.2">
      <c r="B53" t="s">
        <v>4</v>
      </c>
      <c r="C53" s="2" t="s">
        <v>9</v>
      </c>
      <c r="E53" s="4">
        <v>5.0000000000000001E-3</v>
      </c>
      <c r="F53" s="4"/>
      <c r="G53" s="4"/>
      <c r="H53" s="6"/>
      <c r="I53" s="4">
        <v>5.1000000000000004E-3</v>
      </c>
    </row>
    <row r="54" spans="2:9" x14ac:dyDescent="0.2">
      <c r="E54" s="3"/>
      <c r="F54" s="3"/>
      <c r="G54" s="3"/>
      <c r="H54" s="3"/>
      <c r="I54" s="3"/>
    </row>
    <row r="55" spans="2:9" x14ac:dyDescent="0.2">
      <c r="B55" s="1" t="s">
        <v>21</v>
      </c>
    </row>
    <row r="56" spans="2:9" x14ac:dyDescent="0.2">
      <c r="B56" s="10" t="s">
        <v>48</v>
      </c>
      <c r="C56" s="2" t="s">
        <v>8</v>
      </c>
      <c r="E56" s="3">
        <v>5.17</v>
      </c>
      <c r="F56" s="3"/>
      <c r="G56" s="3"/>
      <c r="H56" s="9"/>
      <c r="I56" s="3">
        <v>5.09</v>
      </c>
    </row>
    <row r="57" spans="2:9" x14ac:dyDescent="0.2">
      <c r="B57" t="s">
        <v>2</v>
      </c>
      <c r="C57" s="2" t="s">
        <v>10</v>
      </c>
      <c r="E57" s="4">
        <v>4.9564000000000004</v>
      </c>
      <c r="F57" s="4"/>
      <c r="G57" s="4"/>
      <c r="H57" s="9"/>
      <c r="I57" s="4">
        <v>5.9009999999999998</v>
      </c>
    </row>
    <row r="58" spans="2:9" x14ac:dyDescent="0.2">
      <c r="B58" s="10" t="s">
        <v>34</v>
      </c>
      <c r="C58" s="2" t="s">
        <v>10</v>
      </c>
      <c r="E58" s="4">
        <v>5.4199999999999998E-2</v>
      </c>
      <c r="F58" s="4"/>
      <c r="G58" s="4"/>
      <c r="H58" s="9"/>
      <c r="I58" s="4">
        <v>5.4199999999999998E-2</v>
      </c>
    </row>
    <row r="59" spans="2:9" x14ac:dyDescent="0.2">
      <c r="B59" s="10" t="s">
        <v>90</v>
      </c>
      <c r="C59" s="2" t="s">
        <v>10</v>
      </c>
      <c r="E59" s="4">
        <v>0.1459</v>
      </c>
      <c r="F59" s="4"/>
      <c r="G59" s="4"/>
      <c r="I59" s="4">
        <v>0.1459</v>
      </c>
    </row>
    <row r="60" spans="2:9" ht="25.5" x14ac:dyDescent="0.2">
      <c r="B60" s="16" t="s">
        <v>89</v>
      </c>
      <c r="C60" s="2" t="s">
        <v>10</v>
      </c>
      <c r="E60" s="4">
        <v>-0.4758</v>
      </c>
      <c r="F60" s="4"/>
      <c r="G60" s="4"/>
      <c r="I60" s="4">
        <v>-0.4758</v>
      </c>
    </row>
    <row r="61" spans="2:9" x14ac:dyDescent="0.2">
      <c r="B61" s="10" t="s">
        <v>97</v>
      </c>
      <c r="C61" s="2" t="s">
        <v>10</v>
      </c>
      <c r="E61" s="4"/>
      <c r="F61" s="4"/>
      <c r="G61" s="4"/>
      <c r="I61" s="4">
        <v>-0.1318</v>
      </c>
    </row>
    <row r="62" spans="2:9" ht="25.5" x14ac:dyDescent="0.2">
      <c r="B62" s="16" t="s">
        <v>98</v>
      </c>
      <c r="C62" s="2" t="s">
        <v>10</v>
      </c>
      <c r="E62" s="4"/>
      <c r="F62" s="4"/>
      <c r="G62" s="4"/>
      <c r="I62" s="4">
        <v>0</v>
      </c>
    </row>
    <row r="63" spans="2:9" x14ac:dyDescent="0.2">
      <c r="B63" s="16" t="s">
        <v>84</v>
      </c>
      <c r="C63" s="20" t="s">
        <v>10</v>
      </c>
      <c r="E63" s="4"/>
      <c r="F63" s="4"/>
      <c r="G63" s="4"/>
      <c r="I63" s="4"/>
    </row>
    <row r="64" spans="2:9" x14ac:dyDescent="0.2">
      <c r="B64" t="s">
        <v>3</v>
      </c>
      <c r="C64" s="2" t="s">
        <v>10</v>
      </c>
      <c r="E64" s="4">
        <v>2.2526999999999999</v>
      </c>
      <c r="F64" s="4"/>
      <c r="G64" s="4"/>
      <c r="I64" s="4">
        <v>2.2128999999999999</v>
      </c>
    </row>
    <row r="65" spans="2:9" x14ac:dyDescent="0.2">
      <c r="B65" t="s">
        <v>4</v>
      </c>
      <c r="C65" s="2" t="s">
        <v>10</v>
      </c>
      <c r="E65" s="4">
        <v>1.6578999999999999</v>
      </c>
      <c r="F65" s="4"/>
      <c r="G65" s="4"/>
      <c r="I65" s="4">
        <v>1.6977</v>
      </c>
    </row>
    <row r="66" spans="2:9" x14ac:dyDescent="0.2">
      <c r="E66" s="3"/>
      <c r="F66" s="3"/>
      <c r="G66" s="3"/>
      <c r="H66" s="3"/>
      <c r="I66" s="3"/>
    </row>
    <row r="67" spans="2:9" x14ac:dyDescent="0.2">
      <c r="B67" s="1" t="s">
        <v>7</v>
      </c>
    </row>
    <row r="68" spans="2:9" x14ac:dyDescent="0.2">
      <c r="B68" s="10" t="s">
        <v>48</v>
      </c>
      <c r="C68" s="2" t="s">
        <v>8</v>
      </c>
      <c r="E68" s="17">
        <v>5.05</v>
      </c>
      <c r="F68" s="17"/>
      <c r="G68" s="17"/>
      <c r="H68" s="9"/>
      <c r="I68" s="17">
        <v>4.96</v>
      </c>
    </row>
    <row r="69" spans="2:9" x14ac:dyDescent="0.2">
      <c r="B69" t="s">
        <v>2</v>
      </c>
      <c r="C69" s="2" t="s">
        <v>10</v>
      </c>
      <c r="E69" s="4">
        <v>10.4941</v>
      </c>
      <c r="F69" s="4"/>
      <c r="G69" s="4"/>
      <c r="I69" s="4">
        <v>10.7965</v>
      </c>
    </row>
    <row r="70" spans="2:9" x14ac:dyDescent="0.2">
      <c r="B70" s="10" t="s">
        <v>34</v>
      </c>
      <c r="C70" s="2" t="s">
        <v>10</v>
      </c>
      <c r="E70" s="4">
        <v>5.0700000000000002E-2</v>
      </c>
      <c r="F70" s="4"/>
      <c r="G70" s="4"/>
      <c r="H70" s="9"/>
      <c r="I70" s="4">
        <v>5.0700000000000002E-2</v>
      </c>
    </row>
    <row r="71" spans="2:9" x14ac:dyDescent="0.2">
      <c r="B71" s="10" t="s">
        <v>93</v>
      </c>
      <c r="C71" s="2" t="s">
        <v>10</v>
      </c>
      <c r="E71" s="4">
        <v>0.24560000000000001</v>
      </c>
      <c r="F71" s="4"/>
      <c r="G71" s="4"/>
      <c r="H71" s="9"/>
      <c r="I71" s="4">
        <v>0.24560000000000001</v>
      </c>
    </row>
    <row r="72" spans="2:9" ht="25.5" x14ac:dyDescent="0.2">
      <c r="B72" s="16" t="s">
        <v>94</v>
      </c>
      <c r="C72" s="2" t="s">
        <v>10</v>
      </c>
      <c r="E72" s="4">
        <v>-0.76700000000000002</v>
      </c>
      <c r="F72" s="4"/>
      <c r="G72" s="4"/>
      <c r="H72" s="9"/>
      <c r="I72" s="4">
        <v>-0.76700000000000002</v>
      </c>
    </row>
    <row r="73" spans="2:9" x14ac:dyDescent="0.2">
      <c r="B73" s="10" t="s">
        <v>97</v>
      </c>
      <c r="C73" s="2" t="s">
        <v>10</v>
      </c>
      <c r="E73" s="4"/>
      <c r="F73" s="4"/>
      <c r="G73" s="4"/>
      <c r="H73" s="9"/>
      <c r="I73" s="4">
        <v>-0.15210000000000001</v>
      </c>
    </row>
    <row r="74" spans="2:9" ht="25.5" x14ac:dyDescent="0.2">
      <c r="B74" s="16" t="s">
        <v>98</v>
      </c>
      <c r="C74" s="2" t="s">
        <v>10</v>
      </c>
      <c r="E74" s="4"/>
      <c r="F74" s="4"/>
      <c r="G74" s="4"/>
      <c r="H74" s="9"/>
      <c r="I74" s="4">
        <v>1.2279</v>
      </c>
    </row>
    <row r="75" spans="2:9" x14ac:dyDescent="0.2">
      <c r="B75" s="16" t="s">
        <v>84</v>
      </c>
      <c r="C75" s="20" t="s">
        <v>10</v>
      </c>
      <c r="E75" s="4"/>
      <c r="F75" s="4"/>
      <c r="G75" s="4"/>
      <c r="H75" s="9"/>
      <c r="I75" s="4"/>
    </row>
    <row r="76" spans="2:9" x14ac:dyDescent="0.2">
      <c r="B76" t="s">
        <v>3</v>
      </c>
      <c r="C76" s="2" t="s">
        <v>10</v>
      </c>
      <c r="E76" s="4">
        <v>1.9564999999999999</v>
      </c>
      <c r="F76" s="4"/>
      <c r="G76" s="4"/>
      <c r="H76" s="9"/>
      <c r="I76" s="4">
        <v>1.9218999999999999</v>
      </c>
    </row>
    <row r="77" spans="2:9" x14ac:dyDescent="0.2">
      <c r="B77" t="s">
        <v>4</v>
      </c>
      <c r="C77" s="2" t="s">
        <v>10</v>
      </c>
      <c r="E77" s="4">
        <v>1.5501</v>
      </c>
      <c r="F77" s="4"/>
      <c r="G77" s="4"/>
      <c r="I77" s="4">
        <v>1.5872999999999999</v>
      </c>
    </row>
    <row r="78" spans="2:9" x14ac:dyDescent="0.2">
      <c r="E78" s="4"/>
      <c r="F78" s="4"/>
      <c r="G78" s="4"/>
      <c r="I78" s="13"/>
    </row>
    <row r="79" spans="2:9" x14ac:dyDescent="0.2">
      <c r="E79" s="4"/>
      <c r="F79" s="4"/>
      <c r="G79" s="4"/>
      <c r="I79" s="13"/>
    </row>
    <row r="80" spans="2:9" ht="15.75" x14ac:dyDescent="0.25">
      <c r="B80" s="103" t="s">
        <v>49</v>
      </c>
      <c r="C80" s="103"/>
      <c r="D80" s="103"/>
      <c r="E80" s="103"/>
      <c r="F80" s="103"/>
      <c r="G80" s="103"/>
      <c r="H80" s="103"/>
      <c r="I80" s="103"/>
    </row>
    <row r="81" spans="2:9" x14ac:dyDescent="0.2">
      <c r="B81" s="1" t="s">
        <v>66</v>
      </c>
    </row>
    <row r="82" spans="2:9" x14ac:dyDescent="0.2">
      <c r="B82" s="1" t="s">
        <v>27</v>
      </c>
    </row>
    <row r="83" spans="2:9" x14ac:dyDescent="0.2">
      <c r="B83" t="s">
        <v>1</v>
      </c>
      <c r="C83" s="2" t="s">
        <v>8</v>
      </c>
      <c r="E83" s="3">
        <v>19.43</v>
      </c>
      <c r="F83" s="3"/>
      <c r="G83" s="3"/>
      <c r="H83" s="9"/>
      <c r="I83" s="3">
        <f>I6</f>
        <v>23.44</v>
      </c>
    </row>
    <row r="84" spans="2:9" x14ac:dyDescent="0.2">
      <c r="B84" s="10" t="s">
        <v>95</v>
      </c>
      <c r="C84" s="2" t="s">
        <v>8</v>
      </c>
      <c r="E84" s="3">
        <v>0.79</v>
      </c>
      <c r="F84" s="3"/>
      <c r="G84" s="3"/>
      <c r="H84" s="9"/>
      <c r="I84" s="3">
        <v>0.79</v>
      </c>
    </row>
    <row r="85" spans="2:9" x14ac:dyDescent="0.2">
      <c r="B85" t="s">
        <v>2</v>
      </c>
      <c r="C85" s="2" t="s">
        <v>9</v>
      </c>
      <c r="E85" s="4">
        <v>2.0199999999999999E-2</v>
      </c>
      <c r="F85" s="4"/>
      <c r="G85" s="4"/>
      <c r="H85" s="9"/>
      <c r="I85" s="4">
        <f>I8</f>
        <v>1.52E-2</v>
      </c>
    </row>
    <row r="86" spans="2:9" x14ac:dyDescent="0.2">
      <c r="B86" s="10" t="s">
        <v>34</v>
      </c>
      <c r="C86" s="2" t="s">
        <v>9</v>
      </c>
      <c r="E86" s="4">
        <v>2.0000000000000001E-4</v>
      </c>
      <c r="F86" s="4"/>
      <c r="G86" s="4"/>
      <c r="H86" s="9"/>
      <c r="I86" s="4">
        <v>2.0000000000000001E-4</v>
      </c>
    </row>
    <row r="87" spans="2:9" x14ac:dyDescent="0.2">
      <c r="B87" s="10" t="s">
        <v>93</v>
      </c>
      <c r="C87" s="11" t="s">
        <v>9</v>
      </c>
      <c r="D87" s="20"/>
      <c r="E87" s="21">
        <v>2.9999999999999997E-4</v>
      </c>
      <c r="F87" s="21"/>
      <c r="G87" s="21"/>
      <c r="H87" s="22"/>
      <c r="I87" s="21">
        <v>2.9999999999999997E-4</v>
      </c>
    </row>
    <row r="88" spans="2:9" ht="25.5" x14ac:dyDescent="0.2">
      <c r="B88" s="16" t="s">
        <v>94</v>
      </c>
      <c r="C88" s="20" t="s">
        <v>9</v>
      </c>
      <c r="D88" s="20"/>
      <c r="E88" s="21">
        <v>7.4999999999999997E-3</v>
      </c>
      <c r="F88" s="21"/>
      <c r="G88" s="21"/>
      <c r="H88" s="22"/>
      <c r="I88" s="21">
        <v>7.4999999999999997E-3</v>
      </c>
    </row>
    <row r="89" spans="2:9" x14ac:dyDescent="0.2">
      <c r="B89" s="10" t="s">
        <v>97</v>
      </c>
      <c r="C89" s="11" t="s">
        <v>9</v>
      </c>
      <c r="D89" s="20"/>
      <c r="E89" s="21"/>
      <c r="F89" s="21"/>
      <c r="G89" s="21"/>
      <c r="H89" s="22"/>
      <c r="I89" s="21">
        <v>-2.7000000000000001E-3</v>
      </c>
    </row>
    <row r="90" spans="2:9" ht="25.5" x14ac:dyDescent="0.2">
      <c r="B90" s="16" t="s">
        <v>98</v>
      </c>
      <c r="C90" s="20" t="s">
        <v>9</v>
      </c>
      <c r="D90" s="20"/>
      <c r="E90" s="21"/>
      <c r="F90" s="21"/>
      <c r="G90" s="21"/>
      <c r="H90" s="22"/>
      <c r="I90" s="21">
        <v>1.0500000000000001E-2</v>
      </c>
    </row>
    <row r="91" spans="2:9" x14ac:dyDescent="0.2">
      <c r="B91" s="16" t="s">
        <v>84</v>
      </c>
      <c r="C91" s="20" t="s">
        <v>9</v>
      </c>
      <c r="D91" s="20"/>
      <c r="E91" s="21">
        <v>1E-4</v>
      </c>
      <c r="F91" s="21"/>
      <c r="G91" s="21"/>
      <c r="H91" s="22"/>
      <c r="I91" s="21">
        <v>0</v>
      </c>
    </row>
    <row r="92" spans="2:9" x14ac:dyDescent="0.2">
      <c r="B92" t="s">
        <v>3</v>
      </c>
      <c r="C92" s="2" t="s">
        <v>9</v>
      </c>
      <c r="E92" s="4">
        <v>7.3000000000000001E-3</v>
      </c>
      <c r="F92" s="4"/>
      <c r="G92" s="4"/>
      <c r="H92" s="9"/>
      <c r="I92" s="4">
        <f>I15</f>
        <v>7.1999999999999998E-3</v>
      </c>
    </row>
    <row r="93" spans="2:9" x14ac:dyDescent="0.2">
      <c r="B93" t="s">
        <v>4</v>
      </c>
      <c r="C93" s="2" t="s">
        <v>9</v>
      </c>
      <c r="E93" s="4">
        <v>5.7000000000000002E-3</v>
      </c>
      <c r="F93" s="4"/>
      <c r="G93" s="4"/>
      <c r="I93" s="4">
        <f>I16</f>
        <v>5.7999999999999996E-3</v>
      </c>
    </row>
    <row r="95" spans="2:9" x14ac:dyDescent="0.2">
      <c r="B95" s="1" t="s">
        <v>17</v>
      </c>
    </row>
    <row r="96" spans="2:9" x14ac:dyDescent="0.2">
      <c r="B96" t="s">
        <v>1</v>
      </c>
      <c r="C96" s="2" t="s">
        <v>8</v>
      </c>
      <c r="E96" s="3">
        <v>26.22</v>
      </c>
      <c r="F96" s="3"/>
      <c r="G96" s="3"/>
      <c r="H96" s="9"/>
      <c r="I96" s="3">
        <f>I19</f>
        <v>28.26</v>
      </c>
    </row>
    <row r="97" spans="2:9" x14ac:dyDescent="0.2">
      <c r="B97" s="10" t="s">
        <v>95</v>
      </c>
      <c r="C97" s="2" t="s">
        <v>8</v>
      </c>
      <c r="E97" s="3">
        <v>0.79</v>
      </c>
      <c r="F97" s="3"/>
      <c r="G97" s="3"/>
      <c r="H97" s="9"/>
      <c r="I97" s="3">
        <v>0.79</v>
      </c>
    </row>
    <row r="98" spans="2:9" x14ac:dyDescent="0.2">
      <c r="B98" t="s">
        <v>2</v>
      </c>
      <c r="C98" s="2" t="s">
        <v>9</v>
      </c>
      <c r="E98" s="4">
        <v>2.35E-2</v>
      </c>
      <c r="F98" s="4"/>
      <c r="G98" s="4"/>
      <c r="H98" s="12"/>
      <c r="I98" s="4">
        <f>I21</f>
        <v>2.3E-2</v>
      </c>
    </row>
    <row r="99" spans="2:9" x14ac:dyDescent="0.2">
      <c r="B99" s="10" t="s">
        <v>34</v>
      </c>
      <c r="C99" s="2" t="s">
        <v>9</v>
      </c>
      <c r="D99" s="20"/>
      <c r="E99" s="4">
        <v>2.0000000000000001E-4</v>
      </c>
      <c r="F99" s="4"/>
      <c r="G99" s="4"/>
      <c r="I99" s="4">
        <v>2.0000000000000001E-4</v>
      </c>
    </row>
    <row r="100" spans="2:9" x14ac:dyDescent="0.2">
      <c r="B100" s="10" t="s">
        <v>93</v>
      </c>
      <c r="C100" s="11" t="s">
        <v>9</v>
      </c>
      <c r="E100" s="4">
        <v>2.9999999999999997E-4</v>
      </c>
      <c r="F100" s="4"/>
      <c r="G100" s="4"/>
      <c r="I100" s="4">
        <v>2.9999999999999997E-4</v>
      </c>
    </row>
    <row r="101" spans="2:9" ht="25.5" x14ac:dyDescent="0.2">
      <c r="B101" s="16" t="s">
        <v>94</v>
      </c>
      <c r="C101" s="20" t="s">
        <v>9</v>
      </c>
      <c r="E101" s="4">
        <v>7.4999999999999997E-3</v>
      </c>
      <c r="F101" s="4"/>
      <c r="G101" s="4"/>
      <c r="I101" s="4">
        <v>7.4999999999999997E-3</v>
      </c>
    </row>
    <row r="102" spans="2:9" x14ac:dyDescent="0.2">
      <c r="B102" s="10" t="s">
        <v>97</v>
      </c>
      <c r="C102" s="11" t="s">
        <v>9</v>
      </c>
      <c r="E102" s="4"/>
      <c r="F102" s="4"/>
      <c r="G102" s="4"/>
      <c r="I102" s="4">
        <v>-2.7000000000000001E-3</v>
      </c>
    </row>
    <row r="103" spans="2:9" ht="25.5" x14ac:dyDescent="0.2">
      <c r="B103" s="16" t="s">
        <v>98</v>
      </c>
      <c r="C103" s="20" t="s">
        <v>9</v>
      </c>
      <c r="E103" s="4"/>
      <c r="F103" s="4"/>
      <c r="G103" s="4"/>
      <c r="I103" s="4">
        <v>1.0500000000000001E-2</v>
      </c>
    </row>
    <row r="104" spans="2:9" x14ac:dyDescent="0.2">
      <c r="B104" s="16" t="s">
        <v>84</v>
      </c>
      <c r="C104" s="20" t="s">
        <v>9</v>
      </c>
      <c r="E104" s="4">
        <v>4.0000000000000002E-4</v>
      </c>
      <c r="F104" s="4"/>
      <c r="G104" s="4"/>
      <c r="I104" s="4">
        <v>0</v>
      </c>
    </row>
    <row r="105" spans="2:9" x14ac:dyDescent="0.2">
      <c r="B105" t="s">
        <v>3</v>
      </c>
      <c r="C105" s="2" t="s">
        <v>9</v>
      </c>
      <c r="E105" s="4">
        <v>6.1999999999999998E-3</v>
      </c>
      <c r="F105" s="4"/>
      <c r="G105" s="4"/>
      <c r="I105" s="4">
        <f>I28</f>
        <v>6.1000000000000004E-3</v>
      </c>
    </row>
    <row r="106" spans="2:9" x14ac:dyDescent="0.2">
      <c r="B106" t="s">
        <v>4</v>
      </c>
      <c r="C106" s="2" t="s">
        <v>9</v>
      </c>
      <c r="E106" s="4">
        <v>4.8999999999999998E-3</v>
      </c>
      <c r="F106" s="4"/>
      <c r="G106" s="4"/>
      <c r="I106" s="4">
        <f>I29</f>
        <v>5.0000000000000001E-3</v>
      </c>
    </row>
    <row r="107" spans="2:9" x14ac:dyDescent="0.2">
      <c r="E107" s="3"/>
      <c r="F107" s="3"/>
      <c r="G107" s="3"/>
      <c r="H107" s="3"/>
      <c r="I107" s="3"/>
    </row>
    <row r="108" spans="2:9" x14ac:dyDescent="0.2">
      <c r="B108" s="1" t="s">
        <v>19</v>
      </c>
    </row>
    <row r="109" spans="2:9" x14ac:dyDescent="0.2">
      <c r="B109" t="s">
        <v>1</v>
      </c>
      <c r="C109" s="2" t="s">
        <v>8</v>
      </c>
      <c r="E109" s="3">
        <v>149.36000000000001</v>
      </c>
      <c r="F109" s="3"/>
      <c r="G109" s="3"/>
      <c r="H109" s="9"/>
      <c r="I109" s="3">
        <f>I32</f>
        <v>151.83000000000001</v>
      </c>
    </row>
    <row r="110" spans="2:9" x14ac:dyDescent="0.2">
      <c r="B110" t="s">
        <v>2</v>
      </c>
      <c r="C110" s="2" t="s">
        <v>10</v>
      </c>
      <c r="E110" s="4">
        <v>6.5800999999999998</v>
      </c>
      <c r="F110" s="4"/>
      <c r="G110" s="4"/>
      <c r="H110" s="9"/>
      <c r="I110" s="4">
        <f>I33</f>
        <v>6.6886999999999999</v>
      </c>
    </row>
    <row r="111" spans="2:9" x14ac:dyDescent="0.2">
      <c r="B111" s="10" t="s">
        <v>34</v>
      </c>
      <c r="C111" s="2" t="s">
        <v>10</v>
      </c>
      <c r="E111" s="4">
        <v>7.3499999999999996E-2</v>
      </c>
      <c r="F111" s="4"/>
      <c r="G111" s="4"/>
      <c r="I111" s="4">
        <v>7.3499999999999996E-2</v>
      </c>
    </row>
    <row r="112" spans="2:9" x14ac:dyDescent="0.2">
      <c r="B112" s="10" t="s">
        <v>93</v>
      </c>
      <c r="C112" s="2" t="s">
        <v>10</v>
      </c>
      <c r="E112" s="4">
        <v>7.5800000000000006E-2</v>
      </c>
      <c r="F112" s="4"/>
      <c r="G112" s="4"/>
      <c r="I112" s="4">
        <v>7.5800000000000006E-2</v>
      </c>
    </row>
    <row r="113" spans="2:9" ht="25.5" x14ac:dyDescent="0.2">
      <c r="B113" s="16" t="s">
        <v>94</v>
      </c>
      <c r="C113" s="2" t="s">
        <v>10</v>
      </c>
      <c r="E113" s="4">
        <v>2.6877</v>
      </c>
      <c r="F113" s="4"/>
      <c r="G113" s="4"/>
      <c r="I113" s="4">
        <v>2.6877</v>
      </c>
    </row>
    <row r="114" spans="2:9" x14ac:dyDescent="0.2">
      <c r="B114" s="10" t="s">
        <v>97</v>
      </c>
      <c r="C114" s="2" t="s">
        <v>10</v>
      </c>
      <c r="E114" s="4"/>
      <c r="F114" s="4"/>
      <c r="G114" s="4"/>
      <c r="I114" s="4">
        <v>-0.995</v>
      </c>
    </row>
    <row r="115" spans="2:9" ht="25.5" x14ac:dyDescent="0.2">
      <c r="B115" s="16" t="s">
        <v>98</v>
      </c>
      <c r="C115" s="2" t="s">
        <v>10</v>
      </c>
      <c r="E115" s="4"/>
      <c r="F115" s="4"/>
      <c r="G115" s="4"/>
      <c r="I115" s="4">
        <v>3.8538000000000001</v>
      </c>
    </row>
    <row r="116" spans="2:9" x14ac:dyDescent="0.2">
      <c r="B116" s="16" t="s">
        <v>84</v>
      </c>
      <c r="C116" s="20" t="s">
        <v>10</v>
      </c>
      <c r="E116" s="4">
        <v>4.41E-2</v>
      </c>
      <c r="F116" s="4"/>
      <c r="G116" s="4"/>
      <c r="I116" s="4">
        <v>0</v>
      </c>
    </row>
    <row r="117" spans="2:9" x14ac:dyDescent="0.2">
      <c r="B117" t="s">
        <v>3</v>
      </c>
      <c r="C117" s="2" t="s">
        <v>10</v>
      </c>
      <c r="E117" s="4">
        <v>2.6433</v>
      </c>
      <c r="F117" s="4"/>
      <c r="G117" s="4"/>
      <c r="I117" s="4">
        <f>I40</f>
        <v>2.5966</v>
      </c>
    </row>
    <row r="118" spans="2:9" x14ac:dyDescent="0.2">
      <c r="B118" t="s">
        <v>4</v>
      </c>
      <c r="C118" s="2" t="s">
        <v>10</v>
      </c>
      <c r="E118" s="4">
        <v>2.0314999999999999</v>
      </c>
      <c r="F118" s="4"/>
      <c r="G118" s="4"/>
      <c r="H118" s="5"/>
      <c r="I118" s="4">
        <f>I41</f>
        <v>2.0802999999999998</v>
      </c>
    </row>
    <row r="119" spans="2:9" x14ac:dyDescent="0.2">
      <c r="E119" s="3"/>
      <c r="F119" s="3"/>
      <c r="G119" s="3"/>
      <c r="H119" s="3"/>
      <c r="I119" s="3"/>
    </row>
    <row r="120" spans="2:9" x14ac:dyDescent="0.2">
      <c r="B120" s="1" t="s">
        <v>20</v>
      </c>
    </row>
    <row r="121" spans="2:9" x14ac:dyDescent="0.2">
      <c r="B121" s="10" t="s">
        <v>47</v>
      </c>
      <c r="C121" s="2" t="s">
        <v>8</v>
      </c>
      <c r="E121" s="3">
        <v>42.26</v>
      </c>
      <c r="F121" s="3"/>
      <c r="G121" s="3"/>
      <c r="H121" s="9"/>
      <c r="I121" s="3">
        <f>I44</f>
        <v>32.96</v>
      </c>
    </row>
    <row r="122" spans="2:9" x14ac:dyDescent="0.2">
      <c r="B122" t="s">
        <v>2</v>
      </c>
      <c r="C122" s="2" t="s">
        <v>9</v>
      </c>
      <c r="E122" s="4">
        <v>2.5000000000000001E-2</v>
      </c>
      <c r="F122" s="4"/>
      <c r="G122" s="4"/>
      <c r="H122" s="9"/>
      <c r="I122" s="4">
        <f>I45</f>
        <v>1.7899999999999999E-2</v>
      </c>
    </row>
    <row r="123" spans="2:9" x14ac:dyDescent="0.2">
      <c r="B123" s="10" t="s">
        <v>34</v>
      </c>
      <c r="C123" s="2" t="s">
        <v>9</v>
      </c>
      <c r="D123" s="20"/>
      <c r="E123" s="4">
        <v>2.0000000000000001E-4</v>
      </c>
      <c r="F123" s="4"/>
      <c r="G123" s="4"/>
      <c r="H123" s="22"/>
      <c r="I123" s="4">
        <v>2.0000000000000001E-4</v>
      </c>
    </row>
    <row r="124" spans="2:9" x14ac:dyDescent="0.2">
      <c r="B124" s="10" t="s">
        <v>93</v>
      </c>
      <c r="C124" s="11" t="s">
        <v>9</v>
      </c>
      <c r="E124" s="4">
        <v>2.9999999999999997E-4</v>
      </c>
      <c r="F124" s="4"/>
      <c r="G124" s="4"/>
      <c r="I124" s="4">
        <v>2.9999999999999997E-4</v>
      </c>
    </row>
    <row r="125" spans="2:9" ht="25.5" x14ac:dyDescent="0.2">
      <c r="B125" s="16" t="s">
        <v>94</v>
      </c>
      <c r="C125" s="20" t="s">
        <v>9</v>
      </c>
      <c r="E125" s="4"/>
      <c r="F125" s="4"/>
      <c r="G125" s="4"/>
      <c r="I125" s="4">
        <v>0</v>
      </c>
    </row>
    <row r="126" spans="2:9" x14ac:dyDescent="0.2">
      <c r="B126" s="10" t="s">
        <v>97</v>
      </c>
      <c r="C126" s="11" t="s">
        <v>9</v>
      </c>
      <c r="E126" s="4"/>
      <c r="F126" s="4"/>
      <c r="G126" s="4"/>
      <c r="I126" s="4">
        <v>-2.7000000000000001E-3</v>
      </c>
    </row>
    <row r="127" spans="2:9" ht="25.5" x14ac:dyDescent="0.2">
      <c r="B127" s="16" t="s">
        <v>98</v>
      </c>
      <c r="C127" s="20" t="s">
        <v>9</v>
      </c>
      <c r="E127" s="4"/>
      <c r="F127" s="4"/>
      <c r="G127" s="4"/>
      <c r="I127" s="4">
        <v>0</v>
      </c>
    </row>
    <row r="128" spans="2:9" x14ac:dyDescent="0.2">
      <c r="B128" s="16" t="s">
        <v>84</v>
      </c>
      <c r="C128" s="20" t="s">
        <v>9</v>
      </c>
      <c r="E128" s="4"/>
      <c r="F128" s="4"/>
      <c r="G128" s="4"/>
      <c r="I128" s="4"/>
    </row>
    <row r="129" spans="2:9" x14ac:dyDescent="0.2">
      <c r="B129" t="s">
        <v>3</v>
      </c>
      <c r="C129" s="2" t="s">
        <v>9</v>
      </c>
      <c r="E129" s="4">
        <v>6.4999999999999997E-3</v>
      </c>
      <c r="F129" s="4"/>
      <c r="G129" s="4"/>
      <c r="H129" s="5"/>
      <c r="I129" s="4">
        <f>I52</f>
        <v>6.4000000000000003E-3</v>
      </c>
    </row>
    <row r="130" spans="2:9" x14ac:dyDescent="0.2">
      <c r="B130" t="s">
        <v>4</v>
      </c>
      <c r="C130" s="2" t="s">
        <v>9</v>
      </c>
      <c r="E130" s="4">
        <v>5.0000000000000001E-3</v>
      </c>
      <c r="F130" s="4"/>
      <c r="G130" s="4"/>
      <c r="H130" s="6"/>
      <c r="I130" s="4">
        <f>I53</f>
        <v>5.1000000000000004E-3</v>
      </c>
    </row>
    <row r="131" spans="2:9" x14ac:dyDescent="0.2">
      <c r="E131" s="3"/>
      <c r="F131" s="3"/>
      <c r="G131" s="3"/>
      <c r="H131" s="3"/>
      <c r="I131" s="3"/>
    </row>
    <row r="132" spans="2:9" x14ac:dyDescent="0.2">
      <c r="B132" s="1" t="s">
        <v>21</v>
      </c>
    </row>
    <row r="133" spans="2:9" x14ac:dyDescent="0.2">
      <c r="B133" s="10" t="s">
        <v>48</v>
      </c>
      <c r="C133" s="2" t="s">
        <v>8</v>
      </c>
      <c r="E133" s="3">
        <v>5.17</v>
      </c>
      <c r="F133" s="3"/>
      <c r="G133" s="3"/>
      <c r="H133" s="9"/>
      <c r="I133" s="3">
        <f>I56</f>
        <v>5.09</v>
      </c>
    </row>
    <row r="134" spans="2:9" x14ac:dyDescent="0.2">
      <c r="B134" t="s">
        <v>2</v>
      </c>
      <c r="C134" s="2" t="s">
        <v>10</v>
      </c>
      <c r="E134" s="4">
        <v>4.9564000000000004</v>
      </c>
      <c r="F134" s="4"/>
      <c r="G134" s="4"/>
      <c r="H134" s="9"/>
      <c r="I134" s="4">
        <f>I57</f>
        <v>5.9009999999999998</v>
      </c>
    </row>
    <row r="135" spans="2:9" x14ac:dyDescent="0.2">
      <c r="B135" s="10" t="s">
        <v>34</v>
      </c>
      <c r="C135" s="2" t="s">
        <v>10</v>
      </c>
      <c r="E135" s="4">
        <v>5.4199999999999998E-2</v>
      </c>
      <c r="F135" s="4"/>
      <c r="G135" s="4"/>
      <c r="H135" s="9"/>
      <c r="I135" s="4">
        <v>5.4199999999999998E-2</v>
      </c>
    </row>
    <row r="136" spans="2:9" x14ac:dyDescent="0.2">
      <c r="B136" s="10" t="s">
        <v>93</v>
      </c>
      <c r="C136" s="2" t="s">
        <v>10</v>
      </c>
      <c r="E136" s="4">
        <v>0.22090000000000001</v>
      </c>
      <c r="F136" s="4"/>
      <c r="G136" s="4"/>
      <c r="H136" s="9"/>
      <c r="I136" s="4">
        <v>0.22090000000000001</v>
      </c>
    </row>
    <row r="137" spans="2:9" ht="25.5" x14ac:dyDescent="0.2">
      <c r="B137" s="16" t="s">
        <v>94</v>
      </c>
      <c r="C137" s="2" t="s">
        <v>10</v>
      </c>
      <c r="E137" s="4"/>
      <c r="F137" s="4"/>
      <c r="G137" s="4"/>
      <c r="H137" s="9"/>
      <c r="I137" s="4">
        <v>0</v>
      </c>
    </row>
    <row r="138" spans="2:9" x14ac:dyDescent="0.2">
      <c r="B138" s="10" t="s">
        <v>97</v>
      </c>
      <c r="C138" s="2" t="s">
        <v>10</v>
      </c>
      <c r="E138" s="4"/>
      <c r="F138" s="4"/>
      <c r="G138" s="4"/>
      <c r="H138" s="9"/>
      <c r="I138" s="4">
        <v>-0.88480000000000003</v>
      </c>
    </row>
    <row r="139" spans="2:9" ht="25.5" x14ac:dyDescent="0.2">
      <c r="B139" s="16" t="s">
        <v>98</v>
      </c>
      <c r="C139" s="2" t="s">
        <v>10</v>
      </c>
      <c r="E139" s="4"/>
      <c r="F139" s="4"/>
      <c r="G139" s="4"/>
      <c r="H139" s="9"/>
      <c r="I139" s="4">
        <v>0</v>
      </c>
    </row>
    <row r="140" spans="2:9" x14ac:dyDescent="0.2">
      <c r="B140" s="16" t="s">
        <v>84</v>
      </c>
      <c r="C140" s="20" t="s">
        <v>10</v>
      </c>
      <c r="E140" s="4"/>
      <c r="F140" s="4"/>
      <c r="G140" s="4"/>
      <c r="H140" s="9"/>
      <c r="I140" s="4"/>
    </row>
    <row r="141" spans="2:9" x14ac:dyDescent="0.2">
      <c r="B141" t="s">
        <v>3</v>
      </c>
      <c r="C141" s="2" t="s">
        <v>10</v>
      </c>
      <c r="E141" s="4">
        <v>2.2526999999999999</v>
      </c>
      <c r="F141" s="4"/>
      <c r="G141" s="4"/>
      <c r="I141" s="4">
        <f>I64</f>
        <v>2.2128999999999999</v>
      </c>
    </row>
    <row r="142" spans="2:9" x14ac:dyDescent="0.2">
      <c r="B142" t="s">
        <v>4</v>
      </c>
      <c r="C142" s="2" t="s">
        <v>10</v>
      </c>
      <c r="E142" s="4">
        <v>1.6578999999999999</v>
      </c>
      <c r="F142" s="4"/>
      <c r="G142" s="4"/>
      <c r="I142" s="4">
        <f>I65</f>
        <v>1.6977</v>
      </c>
    </row>
    <row r="143" spans="2:9" x14ac:dyDescent="0.2">
      <c r="E143" s="3"/>
      <c r="F143" s="3"/>
      <c r="G143" s="3"/>
      <c r="H143" s="3"/>
      <c r="I143" s="3"/>
    </row>
    <row r="144" spans="2:9" x14ac:dyDescent="0.2">
      <c r="B144" s="1" t="s">
        <v>7</v>
      </c>
    </row>
    <row r="145" spans="2:9" x14ac:dyDescent="0.2">
      <c r="B145" s="10" t="s">
        <v>48</v>
      </c>
      <c r="C145" s="2" t="s">
        <v>8</v>
      </c>
      <c r="E145" s="17">
        <v>5.05</v>
      </c>
      <c r="F145" s="17"/>
      <c r="G145" s="17"/>
      <c r="H145" s="9"/>
      <c r="I145" s="17">
        <f>I68</f>
        <v>4.96</v>
      </c>
    </row>
    <row r="146" spans="2:9" x14ac:dyDescent="0.2">
      <c r="B146" t="s">
        <v>2</v>
      </c>
      <c r="C146" s="2" t="s">
        <v>10</v>
      </c>
      <c r="E146" s="4">
        <v>10.4941</v>
      </c>
      <c r="F146" s="4"/>
      <c r="G146" s="4"/>
      <c r="I146" s="4">
        <f>I69</f>
        <v>10.7965</v>
      </c>
    </row>
    <row r="147" spans="2:9" x14ac:dyDescent="0.2">
      <c r="B147" s="10" t="s">
        <v>34</v>
      </c>
      <c r="C147" s="2" t="s">
        <v>10</v>
      </c>
      <c r="E147" s="4">
        <v>5.0700000000000002E-2</v>
      </c>
      <c r="F147" s="4"/>
      <c r="G147" s="4"/>
      <c r="H147" s="9"/>
      <c r="I147" s="4">
        <v>5.0700000000000002E-2</v>
      </c>
    </row>
    <row r="148" spans="2:9" x14ac:dyDescent="0.2">
      <c r="B148" s="10" t="s">
        <v>93</v>
      </c>
      <c r="C148" s="2" t="s">
        <v>10</v>
      </c>
      <c r="E148" s="4">
        <v>7.5600000000000001E-2</v>
      </c>
      <c r="F148" s="4"/>
      <c r="G148" s="4"/>
      <c r="H148" s="9"/>
      <c r="I148" s="4">
        <v>7.5600000000000001E-2</v>
      </c>
    </row>
    <row r="149" spans="2:9" ht="25.5" x14ac:dyDescent="0.2">
      <c r="B149" s="16" t="s">
        <v>94</v>
      </c>
      <c r="C149" s="2" t="s">
        <v>10</v>
      </c>
      <c r="E149" s="4">
        <v>2.4809999999999999</v>
      </c>
      <c r="F149" s="4"/>
      <c r="G149" s="4"/>
      <c r="H149" s="9"/>
      <c r="I149" s="4">
        <v>2.4809999999999999</v>
      </c>
    </row>
    <row r="150" spans="2:9" x14ac:dyDescent="0.2">
      <c r="B150" s="10" t="s">
        <v>97</v>
      </c>
      <c r="C150" s="2" t="s">
        <v>10</v>
      </c>
      <c r="E150" s="4"/>
      <c r="F150" s="4"/>
      <c r="G150" s="4"/>
      <c r="H150" s="9"/>
      <c r="I150" s="4">
        <v>-0.89049999999999996</v>
      </c>
    </row>
    <row r="151" spans="2:9" ht="25.5" x14ac:dyDescent="0.2">
      <c r="B151" s="16" t="s">
        <v>98</v>
      </c>
      <c r="C151" s="2" t="s">
        <v>10</v>
      </c>
      <c r="E151" s="4"/>
      <c r="F151" s="4"/>
      <c r="G151" s="4"/>
      <c r="H151" s="9"/>
      <c r="I151" s="4">
        <v>3.4611000000000001</v>
      </c>
    </row>
    <row r="152" spans="2:9" x14ac:dyDescent="0.2">
      <c r="B152" s="16" t="s">
        <v>84</v>
      </c>
      <c r="C152" s="20" t="s">
        <v>10</v>
      </c>
      <c r="E152" s="4"/>
      <c r="F152" s="4"/>
      <c r="G152" s="4"/>
      <c r="H152" s="9"/>
      <c r="I152" s="4"/>
    </row>
    <row r="153" spans="2:9" x14ac:dyDescent="0.2">
      <c r="B153" t="s">
        <v>3</v>
      </c>
      <c r="C153" s="2" t="s">
        <v>10</v>
      </c>
      <c r="E153" s="4">
        <v>1.9564999999999999</v>
      </c>
      <c r="F153" s="4"/>
      <c r="G153" s="4"/>
      <c r="H153" s="9"/>
      <c r="I153" s="4">
        <f>I76</f>
        <v>1.9218999999999999</v>
      </c>
    </row>
    <row r="154" spans="2:9" x14ac:dyDescent="0.2">
      <c r="B154" t="s">
        <v>4</v>
      </c>
      <c r="C154" s="2" t="s">
        <v>10</v>
      </c>
      <c r="E154" s="4">
        <v>1.5501</v>
      </c>
      <c r="F154" s="4"/>
      <c r="G154" s="4"/>
      <c r="I154" s="4">
        <f>I77</f>
        <v>1.5872999999999999</v>
      </c>
    </row>
    <row r="155" spans="2:9" x14ac:dyDescent="0.2">
      <c r="E155" s="4"/>
      <c r="F155" s="4"/>
      <c r="G155" s="4"/>
      <c r="I155" s="13"/>
    </row>
    <row r="156" spans="2:9" x14ac:dyDescent="0.2">
      <c r="E156" s="4"/>
      <c r="F156" s="4"/>
      <c r="G156" s="4"/>
      <c r="I156" s="13"/>
    </row>
    <row r="157" spans="2:9" ht="15.75" x14ac:dyDescent="0.25">
      <c r="B157" s="103" t="s">
        <v>50</v>
      </c>
      <c r="C157" s="103"/>
      <c r="D157" s="103"/>
      <c r="E157" s="103"/>
      <c r="F157" s="103"/>
      <c r="G157" s="103"/>
      <c r="H157" s="103"/>
      <c r="I157" s="103"/>
    </row>
    <row r="158" spans="2:9" x14ac:dyDescent="0.2">
      <c r="B158" s="1" t="s">
        <v>67</v>
      </c>
      <c r="I158" s="13"/>
    </row>
    <row r="159" spans="2:9" x14ac:dyDescent="0.2">
      <c r="B159" s="1" t="s">
        <v>27</v>
      </c>
      <c r="I159" s="13"/>
    </row>
    <row r="160" spans="2:9" x14ac:dyDescent="0.2">
      <c r="B160" t="s">
        <v>1</v>
      </c>
      <c r="C160" s="2" t="s">
        <v>8</v>
      </c>
      <c r="E160" s="3">
        <v>18.760000000000002</v>
      </c>
      <c r="F160" s="3"/>
      <c r="G160" s="3"/>
      <c r="I160" s="3">
        <f>I6</f>
        <v>23.44</v>
      </c>
    </row>
    <row r="161" spans="2:9" x14ac:dyDescent="0.2">
      <c r="B161" s="10" t="s">
        <v>95</v>
      </c>
      <c r="C161" s="2" t="s">
        <v>8</v>
      </c>
      <c r="E161" s="3">
        <v>0.79</v>
      </c>
      <c r="F161" s="3"/>
      <c r="G161" s="3"/>
      <c r="I161" s="3">
        <v>0.79</v>
      </c>
    </row>
    <row r="162" spans="2:9" x14ac:dyDescent="0.2">
      <c r="B162" t="s">
        <v>2</v>
      </c>
      <c r="C162" s="2" t="s">
        <v>9</v>
      </c>
      <c r="E162" s="4">
        <v>2.1299999999999999E-2</v>
      </c>
      <c r="F162" s="4"/>
      <c r="G162" s="4"/>
      <c r="I162" s="4">
        <f>I8</f>
        <v>1.52E-2</v>
      </c>
    </row>
    <row r="163" spans="2:9" x14ac:dyDescent="0.2">
      <c r="B163" s="10" t="s">
        <v>34</v>
      </c>
      <c r="C163" s="2" t="s">
        <v>9</v>
      </c>
      <c r="E163" s="4">
        <v>2.0000000000000001E-4</v>
      </c>
      <c r="F163" s="4"/>
      <c r="G163" s="4"/>
      <c r="I163" s="4">
        <v>2.0000000000000001E-4</v>
      </c>
    </row>
    <row r="164" spans="2:9" x14ac:dyDescent="0.2">
      <c r="B164" s="10" t="s">
        <v>93</v>
      </c>
      <c r="C164" s="11" t="s">
        <v>9</v>
      </c>
      <c r="D164" s="20"/>
      <c r="E164" s="21">
        <v>-6.9999999999999999E-4</v>
      </c>
      <c r="F164" s="21"/>
      <c r="G164" s="21"/>
      <c r="I164" s="21">
        <v>-6.9999999999999999E-4</v>
      </c>
    </row>
    <row r="165" spans="2:9" ht="25.5" x14ac:dyDescent="0.2">
      <c r="B165" s="16" t="s">
        <v>94</v>
      </c>
      <c r="C165" s="20" t="s">
        <v>9</v>
      </c>
      <c r="D165" s="20"/>
      <c r="E165" s="21">
        <v>-2.3E-3</v>
      </c>
      <c r="F165" s="21"/>
      <c r="G165" s="21"/>
      <c r="I165" s="21">
        <v>-2.3E-3</v>
      </c>
    </row>
    <row r="166" spans="2:9" x14ac:dyDescent="0.2">
      <c r="B166" s="10" t="s">
        <v>97</v>
      </c>
      <c r="C166" s="11" t="s">
        <v>9</v>
      </c>
      <c r="D166" s="20"/>
      <c r="E166" s="21"/>
      <c r="F166" s="21"/>
      <c r="G166" s="21"/>
      <c r="I166" s="21">
        <v>-1.2999999999999999E-3</v>
      </c>
    </row>
    <row r="167" spans="2:9" ht="25.5" x14ac:dyDescent="0.2">
      <c r="B167" s="16" t="s">
        <v>98</v>
      </c>
      <c r="C167" s="20" t="s">
        <v>9</v>
      </c>
      <c r="D167" s="20"/>
      <c r="E167" s="21"/>
      <c r="F167" s="21"/>
      <c r="G167" s="21"/>
      <c r="I167" s="21">
        <v>1.9E-3</v>
      </c>
    </row>
    <row r="168" spans="2:9" ht="12.75" customHeight="1" x14ac:dyDescent="0.2">
      <c r="B168" s="16" t="s">
        <v>51</v>
      </c>
      <c r="C168" s="20" t="s">
        <v>9</v>
      </c>
      <c r="D168" s="20"/>
      <c r="E168" s="21">
        <v>6.9999999999999999E-4</v>
      </c>
      <c r="F168" s="21"/>
      <c r="G168" s="21"/>
      <c r="I168" s="21">
        <v>6.9999999999999999E-4</v>
      </c>
    </row>
    <row r="169" spans="2:9" ht="12.75" customHeight="1" x14ac:dyDescent="0.2">
      <c r="B169" s="16" t="s">
        <v>84</v>
      </c>
      <c r="C169" s="20" t="s">
        <v>9</v>
      </c>
      <c r="D169" s="20"/>
      <c r="E169" s="21">
        <v>1E-4</v>
      </c>
      <c r="F169" s="21"/>
      <c r="G169" s="21"/>
      <c r="I169" s="21">
        <v>0</v>
      </c>
    </row>
    <row r="170" spans="2:9" x14ac:dyDescent="0.2">
      <c r="B170" t="s">
        <v>3</v>
      </c>
      <c r="C170" s="2" t="s">
        <v>9</v>
      </c>
      <c r="E170" s="4">
        <v>7.3000000000000001E-3</v>
      </c>
      <c r="F170" s="4"/>
      <c r="G170" s="4"/>
      <c r="I170" s="4">
        <f>I15</f>
        <v>7.1999999999999998E-3</v>
      </c>
    </row>
    <row r="171" spans="2:9" x14ac:dyDescent="0.2">
      <c r="B171" t="s">
        <v>4</v>
      </c>
      <c r="C171" s="2" t="s">
        <v>9</v>
      </c>
      <c r="E171" s="4">
        <v>5.7000000000000002E-3</v>
      </c>
      <c r="F171" s="4"/>
      <c r="G171" s="4"/>
      <c r="I171" s="4">
        <f>I16</f>
        <v>5.7999999999999996E-3</v>
      </c>
    </row>
    <row r="173" spans="2:9" x14ac:dyDescent="0.2">
      <c r="B173" s="1" t="s">
        <v>17</v>
      </c>
    </row>
    <row r="174" spans="2:9" x14ac:dyDescent="0.2">
      <c r="B174" t="s">
        <v>1</v>
      </c>
      <c r="C174" s="2" t="s">
        <v>8</v>
      </c>
      <c r="E174" s="3">
        <v>28.76</v>
      </c>
      <c r="F174" s="3"/>
      <c r="G174" s="3"/>
      <c r="I174" s="3">
        <f>I19</f>
        <v>28.26</v>
      </c>
    </row>
    <row r="175" spans="2:9" x14ac:dyDescent="0.2">
      <c r="B175" s="10" t="s">
        <v>95</v>
      </c>
      <c r="C175" s="2" t="s">
        <v>8</v>
      </c>
      <c r="E175" s="3">
        <v>0.79</v>
      </c>
      <c r="F175" s="3"/>
      <c r="G175" s="3"/>
      <c r="I175" s="3">
        <v>0.79</v>
      </c>
    </row>
    <row r="176" spans="2:9" x14ac:dyDescent="0.2">
      <c r="B176" t="s">
        <v>2</v>
      </c>
      <c r="C176" s="2" t="s">
        <v>9</v>
      </c>
      <c r="E176" s="4">
        <v>2.1999999999999999E-2</v>
      </c>
      <c r="F176" s="4"/>
      <c r="G176" s="4"/>
      <c r="I176" s="4">
        <f>I21</f>
        <v>2.3E-2</v>
      </c>
    </row>
    <row r="177" spans="2:9" x14ac:dyDescent="0.2">
      <c r="B177" s="10" t="s">
        <v>34</v>
      </c>
      <c r="C177" s="2" t="s">
        <v>9</v>
      </c>
      <c r="D177" s="20"/>
      <c r="E177" s="4">
        <v>2.0000000000000001E-4</v>
      </c>
      <c r="F177" s="4"/>
      <c r="G177" s="4"/>
      <c r="I177" s="4">
        <v>2.0000000000000001E-4</v>
      </c>
    </row>
    <row r="178" spans="2:9" x14ac:dyDescent="0.2">
      <c r="B178" s="10" t="s">
        <v>93</v>
      </c>
      <c r="C178" s="11" t="s">
        <v>9</v>
      </c>
      <c r="E178" s="4">
        <v>-5.9999999999999995E-4</v>
      </c>
      <c r="F178" s="4"/>
      <c r="G178" s="4"/>
      <c r="I178" s="4">
        <v>-5.9999999999999995E-4</v>
      </c>
    </row>
    <row r="179" spans="2:9" ht="25.5" x14ac:dyDescent="0.2">
      <c r="B179" s="16" t="s">
        <v>94</v>
      </c>
      <c r="C179" s="20" t="s">
        <v>9</v>
      </c>
      <c r="E179" s="4">
        <v>-2.3E-3</v>
      </c>
      <c r="F179" s="4"/>
      <c r="G179" s="4"/>
      <c r="I179" s="4">
        <v>-2.3E-3</v>
      </c>
    </row>
    <row r="180" spans="2:9" x14ac:dyDescent="0.2">
      <c r="B180" s="10" t="s">
        <v>97</v>
      </c>
      <c r="C180" s="11" t="s">
        <v>9</v>
      </c>
      <c r="E180" s="4"/>
      <c r="F180" s="4"/>
      <c r="G180" s="4"/>
      <c r="I180" s="4">
        <v>-1.2999999999999999E-3</v>
      </c>
    </row>
    <row r="181" spans="2:9" ht="25.5" x14ac:dyDescent="0.2">
      <c r="B181" s="16" t="s">
        <v>98</v>
      </c>
      <c r="C181" s="20" t="s">
        <v>9</v>
      </c>
      <c r="E181" s="4"/>
      <c r="F181" s="4"/>
      <c r="G181" s="4"/>
      <c r="I181" s="4">
        <v>1.9E-3</v>
      </c>
    </row>
    <row r="182" spans="2:9" ht="12.75" customHeight="1" x14ac:dyDescent="0.2">
      <c r="B182" s="16" t="s">
        <v>51</v>
      </c>
      <c r="C182" s="20" t="s">
        <v>9</v>
      </c>
      <c r="E182" s="4">
        <v>5.0000000000000001E-4</v>
      </c>
      <c r="F182" s="4"/>
      <c r="G182" s="4"/>
      <c r="I182" s="4">
        <v>5.0000000000000001E-4</v>
      </c>
    </row>
    <row r="183" spans="2:9" ht="12.75" customHeight="1" x14ac:dyDescent="0.2">
      <c r="B183" s="16" t="s">
        <v>84</v>
      </c>
      <c r="C183" s="20" t="s">
        <v>9</v>
      </c>
      <c r="E183" s="4">
        <v>4.0000000000000002E-4</v>
      </c>
      <c r="F183" s="4"/>
      <c r="G183" s="4"/>
      <c r="I183" s="4">
        <v>0</v>
      </c>
    </row>
    <row r="184" spans="2:9" x14ac:dyDescent="0.2">
      <c r="B184" t="s">
        <v>3</v>
      </c>
      <c r="C184" s="2" t="s">
        <v>9</v>
      </c>
      <c r="E184" s="4">
        <v>6.1999999999999998E-3</v>
      </c>
      <c r="F184" s="4"/>
      <c r="G184" s="4"/>
      <c r="I184" s="4">
        <f>I28</f>
        <v>6.1000000000000004E-3</v>
      </c>
    </row>
    <row r="185" spans="2:9" x14ac:dyDescent="0.2">
      <c r="B185" t="s">
        <v>4</v>
      </c>
      <c r="C185" s="2" t="s">
        <v>9</v>
      </c>
      <c r="E185" s="4">
        <v>4.8999999999999998E-3</v>
      </c>
      <c r="F185" s="4"/>
      <c r="G185" s="4"/>
      <c r="I185" s="4">
        <f>I29</f>
        <v>5.0000000000000001E-3</v>
      </c>
    </row>
    <row r="186" spans="2:9" x14ac:dyDescent="0.2">
      <c r="E186" s="3"/>
      <c r="F186" s="3"/>
      <c r="G186" s="3"/>
      <c r="I186" s="3"/>
    </row>
    <row r="187" spans="2:9" x14ac:dyDescent="0.2">
      <c r="B187" s="1" t="s">
        <v>19</v>
      </c>
    </row>
    <row r="188" spans="2:9" x14ac:dyDescent="0.2">
      <c r="B188" t="s">
        <v>1</v>
      </c>
      <c r="C188" s="2" t="s">
        <v>8</v>
      </c>
      <c r="E188" s="3">
        <v>149.36000000000001</v>
      </c>
      <c r="F188" s="3"/>
      <c r="G188" s="3"/>
      <c r="I188" s="3">
        <f>I32</f>
        <v>151.83000000000001</v>
      </c>
    </row>
    <row r="189" spans="2:9" x14ac:dyDescent="0.2">
      <c r="B189" t="s">
        <v>2</v>
      </c>
      <c r="C189" s="2" t="s">
        <v>10</v>
      </c>
      <c r="E189" s="4">
        <v>6.5800999999999998</v>
      </c>
      <c r="F189" s="4"/>
      <c r="G189" s="4"/>
      <c r="I189" s="4">
        <f>I33</f>
        <v>6.6886999999999999</v>
      </c>
    </row>
    <row r="190" spans="2:9" x14ac:dyDescent="0.2">
      <c r="B190" s="10" t="s">
        <v>34</v>
      </c>
      <c r="C190" s="2" t="s">
        <v>10</v>
      </c>
      <c r="E190" s="4">
        <v>7.3499999999999996E-2</v>
      </c>
      <c r="F190" s="4"/>
      <c r="G190" s="4"/>
      <c r="I190" s="4">
        <v>7.3499999999999996E-2</v>
      </c>
    </row>
    <row r="191" spans="2:9" x14ac:dyDescent="0.2">
      <c r="B191" s="10" t="s">
        <v>93</v>
      </c>
      <c r="C191" s="2" t="s">
        <v>10</v>
      </c>
      <c r="E191" s="4">
        <v>-3.8399999999999997E-2</v>
      </c>
      <c r="F191" s="4"/>
      <c r="G191" s="4"/>
      <c r="I191" s="4">
        <v>-3.8399999999999997E-2</v>
      </c>
    </row>
    <row r="192" spans="2:9" ht="25.5" x14ac:dyDescent="0.2">
      <c r="B192" s="16" t="s">
        <v>94</v>
      </c>
      <c r="C192" s="2" t="s">
        <v>10</v>
      </c>
      <c r="E192" s="4">
        <v>-0.67420000000000002</v>
      </c>
      <c r="F192" s="4"/>
      <c r="G192" s="4"/>
      <c r="I192" s="4">
        <v>-0.67420000000000002</v>
      </c>
    </row>
    <row r="193" spans="2:9" x14ac:dyDescent="0.2">
      <c r="B193" s="10" t="s">
        <v>97</v>
      </c>
      <c r="C193" s="2" t="s">
        <v>10</v>
      </c>
      <c r="E193" s="4"/>
      <c r="F193" s="4"/>
      <c r="G193" s="4"/>
      <c r="I193" s="4">
        <v>-0.40539999999999998</v>
      </c>
    </row>
    <row r="194" spans="2:9" ht="25.5" x14ac:dyDescent="0.2">
      <c r="B194" s="16" t="s">
        <v>98</v>
      </c>
      <c r="C194" s="2" t="s">
        <v>10</v>
      </c>
      <c r="E194" s="4"/>
      <c r="F194" s="4"/>
      <c r="G194" s="4"/>
      <c r="I194" s="4">
        <v>0.62239999999999995</v>
      </c>
    </row>
    <row r="195" spans="2:9" ht="12.75" customHeight="1" x14ac:dyDescent="0.2">
      <c r="B195" s="16" t="s">
        <v>51</v>
      </c>
      <c r="C195" s="2" t="s">
        <v>10</v>
      </c>
      <c r="E195" s="4">
        <v>8.1100000000000005E-2</v>
      </c>
      <c r="F195" s="4"/>
      <c r="G195" s="4"/>
      <c r="I195" s="4">
        <v>8.1100000000000005E-2</v>
      </c>
    </row>
    <row r="196" spans="2:9" ht="12.75" customHeight="1" x14ac:dyDescent="0.2">
      <c r="B196" s="16" t="s">
        <v>84</v>
      </c>
      <c r="C196" s="20" t="s">
        <v>10</v>
      </c>
      <c r="E196" s="4">
        <v>4.41E-2</v>
      </c>
      <c r="F196" s="4"/>
      <c r="G196" s="4"/>
      <c r="I196" s="4">
        <v>0</v>
      </c>
    </row>
    <row r="197" spans="2:9" x14ac:dyDescent="0.2">
      <c r="B197" t="s">
        <v>3</v>
      </c>
      <c r="C197" s="2" t="s">
        <v>10</v>
      </c>
      <c r="E197" s="4">
        <v>2.6433</v>
      </c>
      <c r="F197" s="4"/>
      <c r="G197" s="4"/>
      <c r="I197" s="4">
        <f>I40</f>
        <v>2.5966</v>
      </c>
    </row>
    <row r="198" spans="2:9" x14ac:dyDescent="0.2">
      <c r="B198" t="s">
        <v>4</v>
      </c>
      <c r="C198" s="2" t="s">
        <v>10</v>
      </c>
      <c r="E198" s="4">
        <v>2.0314999999999999</v>
      </c>
      <c r="F198" s="4"/>
      <c r="G198" s="4"/>
      <c r="I198" s="4">
        <f>I41</f>
        <v>2.0802999999999998</v>
      </c>
    </row>
    <row r="199" spans="2:9" x14ac:dyDescent="0.2">
      <c r="E199" s="3"/>
      <c r="F199" s="3"/>
      <c r="G199" s="3"/>
      <c r="I199" s="3"/>
    </row>
    <row r="200" spans="2:9" x14ac:dyDescent="0.2">
      <c r="B200" s="1" t="s">
        <v>20</v>
      </c>
    </row>
    <row r="201" spans="2:9" x14ac:dyDescent="0.2">
      <c r="B201" s="10" t="s">
        <v>47</v>
      </c>
      <c r="C201" s="2" t="s">
        <v>8</v>
      </c>
      <c r="E201" s="3">
        <v>37.43</v>
      </c>
      <c r="F201" s="3"/>
      <c r="G201" s="3"/>
      <c r="I201" s="3">
        <f>I44</f>
        <v>32.96</v>
      </c>
    </row>
    <row r="202" spans="2:9" x14ac:dyDescent="0.2">
      <c r="B202" t="s">
        <v>2</v>
      </c>
      <c r="C202" s="2" t="s">
        <v>9</v>
      </c>
      <c r="E202" s="4">
        <v>2.1999999999999999E-2</v>
      </c>
      <c r="F202" s="4"/>
      <c r="G202" s="4"/>
      <c r="I202" s="4">
        <f>I45</f>
        <v>1.7899999999999999E-2</v>
      </c>
    </row>
    <row r="203" spans="2:9" x14ac:dyDescent="0.2">
      <c r="B203" s="10" t="s">
        <v>34</v>
      </c>
      <c r="C203" s="2" t="s">
        <v>9</v>
      </c>
      <c r="D203" s="20"/>
      <c r="E203" s="4">
        <v>2.0000000000000001E-4</v>
      </c>
      <c r="F203" s="4"/>
      <c r="G203" s="4"/>
      <c r="I203" s="4">
        <v>2.0000000000000001E-4</v>
      </c>
    </row>
    <row r="204" spans="2:9" x14ac:dyDescent="0.2">
      <c r="B204" s="10" t="s">
        <v>90</v>
      </c>
      <c r="C204" s="11" t="s">
        <v>9</v>
      </c>
      <c r="E204" s="4">
        <v>-8.0000000000000004E-4</v>
      </c>
      <c r="F204" s="4"/>
      <c r="G204" s="4"/>
      <c r="I204" s="4">
        <v>-8.0000000000000004E-4</v>
      </c>
    </row>
    <row r="205" spans="2:9" ht="25.5" x14ac:dyDescent="0.2">
      <c r="B205" s="16" t="s">
        <v>89</v>
      </c>
      <c r="C205" s="20" t="s">
        <v>9</v>
      </c>
      <c r="E205" s="4">
        <v>-2.3E-3</v>
      </c>
      <c r="F205" s="4"/>
      <c r="G205" s="4"/>
      <c r="I205" s="4">
        <v>-2.3E-3</v>
      </c>
    </row>
    <row r="206" spans="2:9" x14ac:dyDescent="0.2">
      <c r="B206" s="10" t="s">
        <v>97</v>
      </c>
      <c r="C206" s="11" t="s">
        <v>9</v>
      </c>
      <c r="E206" s="4"/>
      <c r="F206" s="4"/>
      <c r="G206" s="4"/>
      <c r="I206" s="4">
        <v>-1.2999999999999999E-3</v>
      </c>
    </row>
    <row r="207" spans="2:9" ht="25.5" x14ac:dyDescent="0.2">
      <c r="B207" s="16" t="s">
        <v>98</v>
      </c>
      <c r="C207" s="20" t="s">
        <v>9</v>
      </c>
      <c r="E207" s="4"/>
      <c r="F207" s="4"/>
      <c r="G207" s="4"/>
      <c r="I207" s="4">
        <v>1.9E-3</v>
      </c>
    </row>
    <row r="208" spans="2:9" ht="12.75" customHeight="1" x14ac:dyDescent="0.2">
      <c r="B208" s="16" t="s">
        <v>51</v>
      </c>
      <c r="C208" s="11" t="s">
        <v>9</v>
      </c>
      <c r="E208" s="4">
        <v>5.9999999999999995E-4</v>
      </c>
      <c r="F208" s="4"/>
      <c r="G208" s="4"/>
      <c r="I208" s="4">
        <v>5.9999999999999995E-4</v>
      </c>
    </row>
    <row r="209" spans="2:9" ht="12.75" customHeight="1" x14ac:dyDescent="0.2">
      <c r="B209" s="16" t="s">
        <v>84</v>
      </c>
      <c r="C209" s="20" t="s">
        <v>9</v>
      </c>
      <c r="E209" s="4"/>
      <c r="F209" s="4"/>
      <c r="G209" s="4"/>
      <c r="I209" s="4"/>
    </row>
    <row r="210" spans="2:9" x14ac:dyDescent="0.2">
      <c r="B210" t="s">
        <v>3</v>
      </c>
      <c r="C210" s="2" t="s">
        <v>9</v>
      </c>
      <c r="E210" s="4">
        <v>6.4999999999999997E-3</v>
      </c>
      <c r="F210" s="4"/>
      <c r="G210" s="4"/>
      <c r="I210" s="4">
        <f>I52</f>
        <v>6.4000000000000003E-3</v>
      </c>
    </row>
    <row r="211" spans="2:9" x14ac:dyDescent="0.2">
      <c r="B211" t="s">
        <v>4</v>
      </c>
      <c r="C211" s="2" t="s">
        <v>9</v>
      </c>
      <c r="E211" s="4">
        <v>5.0000000000000001E-3</v>
      </c>
      <c r="F211" s="4"/>
      <c r="G211" s="4"/>
      <c r="I211" s="4">
        <f>I53</f>
        <v>5.1000000000000004E-3</v>
      </c>
    </row>
    <row r="212" spans="2:9" x14ac:dyDescent="0.2">
      <c r="E212" s="3"/>
      <c r="F212" s="3"/>
      <c r="G212" s="3"/>
      <c r="I212" s="3"/>
    </row>
    <row r="213" spans="2:9" x14ac:dyDescent="0.2">
      <c r="B213" s="1" t="s">
        <v>21</v>
      </c>
    </row>
    <row r="214" spans="2:9" x14ac:dyDescent="0.2">
      <c r="B214" s="10" t="s">
        <v>48</v>
      </c>
      <c r="C214" s="2" t="s">
        <v>8</v>
      </c>
      <c r="E214" s="3">
        <v>5.17</v>
      </c>
      <c r="F214" s="3"/>
      <c r="G214" s="3"/>
      <c r="I214" s="3">
        <f>I56</f>
        <v>5.09</v>
      </c>
    </row>
    <row r="215" spans="2:9" x14ac:dyDescent="0.2">
      <c r="B215" t="s">
        <v>2</v>
      </c>
      <c r="C215" s="2" t="s">
        <v>10</v>
      </c>
      <c r="E215" s="4">
        <v>4.9564000000000004</v>
      </c>
      <c r="F215" s="4"/>
      <c r="G215" s="4"/>
      <c r="I215" s="4">
        <f>I57</f>
        <v>5.9009999999999998</v>
      </c>
    </row>
    <row r="216" spans="2:9" x14ac:dyDescent="0.2">
      <c r="B216" s="10" t="s">
        <v>34</v>
      </c>
      <c r="C216" s="2" t="s">
        <v>10</v>
      </c>
      <c r="E216" s="4">
        <v>5.4199999999999998E-2</v>
      </c>
      <c r="F216" s="4"/>
      <c r="G216" s="4"/>
      <c r="I216" s="4">
        <v>5.4199999999999998E-2</v>
      </c>
    </row>
    <row r="217" spans="2:9" x14ac:dyDescent="0.2">
      <c r="B217" s="10" t="s">
        <v>93</v>
      </c>
      <c r="C217" s="2" t="s">
        <v>10</v>
      </c>
      <c r="E217" s="4">
        <v>-0.25600000000000001</v>
      </c>
      <c r="F217" s="4"/>
      <c r="G217" s="4"/>
      <c r="I217" s="4">
        <v>-0.25600000000000001</v>
      </c>
    </row>
    <row r="218" spans="2:9" ht="25.5" x14ac:dyDescent="0.2">
      <c r="B218" s="16" t="s">
        <v>94</v>
      </c>
      <c r="C218" s="2" t="s">
        <v>10</v>
      </c>
      <c r="E218" s="4"/>
      <c r="F218" s="4"/>
      <c r="G218" s="4"/>
      <c r="I218" s="4">
        <v>0</v>
      </c>
    </row>
    <row r="219" spans="2:9" x14ac:dyDescent="0.2">
      <c r="B219" s="10" t="s">
        <v>97</v>
      </c>
      <c r="C219" s="2" t="s">
        <v>10</v>
      </c>
      <c r="E219" s="4"/>
      <c r="F219" s="4"/>
      <c r="G219" s="4"/>
      <c r="I219" s="4">
        <v>-0.38540000000000002</v>
      </c>
    </row>
    <row r="220" spans="2:9" ht="25.5" x14ac:dyDescent="0.2">
      <c r="B220" s="16" t="s">
        <v>98</v>
      </c>
      <c r="C220" s="2" t="s">
        <v>10</v>
      </c>
      <c r="E220" s="4"/>
      <c r="F220" s="4"/>
      <c r="G220" s="4"/>
      <c r="I220" s="4">
        <v>0</v>
      </c>
    </row>
    <row r="221" spans="2:9" ht="12.75" customHeight="1" x14ac:dyDescent="0.2">
      <c r="B221" s="16" t="s">
        <v>51</v>
      </c>
      <c r="C221" s="2" t="s">
        <v>10</v>
      </c>
      <c r="E221" s="4">
        <v>0.94199999999999995</v>
      </c>
      <c r="F221" s="4"/>
      <c r="G221" s="4"/>
      <c r="I221" s="4">
        <v>0.94199999999999995</v>
      </c>
    </row>
    <row r="222" spans="2:9" ht="12.75" customHeight="1" x14ac:dyDescent="0.2">
      <c r="B222" s="16" t="s">
        <v>84</v>
      </c>
      <c r="C222" s="20" t="s">
        <v>10</v>
      </c>
      <c r="E222" s="4"/>
      <c r="F222" s="4"/>
      <c r="G222" s="4"/>
      <c r="I222" s="4"/>
    </row>
    <row r="223" spans="2:9" x14ac:dyDescent="0.2">
      <c r="B223" t="s">
        <v>3</v>
      </c>
      <c r="C223" s="2" t="s">
        <v>10</v>
      </c>
      <c r="E223" s="4">
        <v>2.2526999999999999</v>
      </c>
      <c r="F223" s="4"/>
      <c r="G223" s="4"/>
      <c r="I223" s="4">
        <f>I64</f>
        <v>2.2128999999999999</v>
      </c>
    </row>
    <row r="224" spans="2:9" x14ac:dyDescent="0.2">
      <c r="B224" t="s">
        <v>4</v>
      </c>
      <c r="C224" s="2" t="s">
        <v>10</v>
      </c>
      <c r="E224" s="4">
        <v>1.6578999999999999</v>
      </c>
      <c r="F224" s="4"/>
      <c r="G224" s="4"/>
      <c r="I224" s="4">
        <f>I65</f>
        <v>1.6977</v>
      </c>
    </row>
    <row r="225" spans="2:9" x14ac:dyDescent="0.2">
      <c r="E225" s="3"/>
      <c r="F225" s="3"/>
      <c r="G225" s="3"/>
      <c r="I225" s="3"/>
    </row>
    <row r="226" spans="2:9" x14ac:dyDescent="0.2">
      <c r="B226" s="1" t="s">
        <v>7</v>
      </c>
    </row>
    <row r="227" spans="2:9" x14ac:dyDescent="0.2">
      <c r="B227" s="10" t="s">
        <v>48</v>
      </c>
      <c r="C227" s="2" t="s">
        <v>8</v>
      </c>
      <c r="E227" s="17">
        <v>4.6100000000000003</v>
      </c>
      <c r="F227" s="17"/>
      <c r="G227" s="17"/>
      <c r="I227" s="17">
        <f>I68</f>
        <v>4.96</v>
      </c>
    </row>
    <row r="228" spans="2:9" x14ac:dyDescent="0.2">
      <c r="B228" t="s">
        <v>2</v>
      </c>
      <c r="C228" s="2" t="s">
        <v>10</v>
      </c>
      <c r="E228" s="4">
        <v>10.4941</v>
      </c>
      <c r="F228" s="4"/>
      <c r="G228" s="4"/>
      <c r="I228" s="4">
        <f>I69</f>
        <v>10.7965</v>
      </c>
    </row>
    <row r="229" spans="2:9" x14ac:dyDescent="0.2">
      <c r="B229" s="10" t="s">
        <v>34</v>
      </c>
      <c r="C229" s="2" t="s">
        <v>10</v>
      </c>
      <c r="E229" s="4">
        <v>5.0700000000000002E-2</v>
      </c>
      <c r="F229" s="4"/>
      <c r="G229" s="4"/>
      <c r="I229" s="4">
        <v>5.0700000000000002E-2</v>
      </c>
    </row>
    <row r="230" spans="2:9" x14ac:dyDescent="0.2">
      <c r="B230" s="10" t="s">
        <v>93</v>
      </c>
      <c r="C230" s="2" t="s">
        <v>10</v>
      </c>
      <c r="E230" s="4">
        <v>-4.9000000000000002E-2</v>
      </c>
      <c r="F230" s="4"/>
      <c r="G230" s="4"/>
      <c r="I230" s="4">
        <v>-4.9000000000000002E-2</v>
      </c>
    </row>
    <row r="231" spans="2:9" ht="25.5" x14ac:dyDescent="0.2">
      <c r="B231" s="16" t="s">
        <v>94</v>
      </c>
      <c r="C231" s="2" t="s">
        <v>10</v>
      </c>
      <c r="E231" s="4">
        <v>-0.77990000000000004</v>
      </c>
      <c r="F231" s="4"/>
      <c r="G231" s="4"/>
      <c r="I231" s="4">
        <v>-0.77990000000000004</v>
      </c>
    </row>
    <row r="232" spans="2:9" x14ac:dyDescent="0.2">
      <c r="B232" s="10" t="s">
        <v>97</v>
      </c>
      <c r="C232" s="2" t="s">
        <v>10</v>
      </c>
      <c r="E232" s="4"/>
      <c r="F232" s="4"/>
      <c r="G232" s="4"/>
      <c r="I232" s="4">
        <v>-0.40660000000000002</v>
      </c>
    </row>
    <row r="233" spans="2:9" ht="25.5" x14ac:dyDescent="0.2">
      <c r="B233" s="16" t="s">
        <v>98</v>
      </c>
      <c r="C233" s="2" t="s">
        <v>10</v>
      </c>
      <c r="E233" s="4"/>
      <c r="F233" s="4"/>
      <c r="G233" s="4"/>
      <c r="I233" s="4">
        <v>0.63639999999999997</v>
      </c>
    </row>
    <row r="234" spans="2:9" ht="12.75" customHeight="1" x14ac:dyDescent="0.2">
      <c r="B234" s="16" t="s">
        <v>51</v>
      </c>
      <c r="C234" s="2" t="s">
        <v>10</v>
      </c>
      <c r="E234" s="4">
        <v>0.43690000000000001</v>
      </c>
      <c r="F234" s="4"/>
      <c r="G234" s="4"/>
      <c r="I234" s="4">
        <v>0.43690000000000001</v>
      </c>
    </row>
    <row r="235" spans="2:9" ht="12.75" customHeight="1" x14ac:dyDescent="0.2">
      <c r="B235" s="16" t="s">
        <v>84</v>
      </c>
      <c r="C235" s="20" t="s">
        <v>10</v>
      </c>
      <c r="E235" s="4"/>
      <c r="F235" s="4"/>
      <c r="G235" s="4"/>
      <c r="I235" s="4"/>
    </row>
    <row r="236" spans="2:9" x14ac:dyDescent="0.2">
      <c r="B236" t="s">
        <v>3</v>
      </c>
      <c r="C236" s="2" t="s">
        <v>10</v>
      </c>
      <c r="E236" s="4">
        <v>1.9564999999999999</v>
      </c>
      <c r="F236" s="4"/>
      <c r="G236" s="4"/>
      <c r="I236" s="4">
        <f>I76</f>
        <v>1.9218999999999999</v>
      </c>
    </row>
    <row r="237" spans="2:9" x14ac:dyDescent="0.2">
      <c r="B237" t="s">
        <v>4</v>
      </c>
      <c r="C237" s="2" t="s">
        <v>10</v>
      </c>
      <c r="E237" s="4">
        <v>1.5501</v>
      </c>
      <c r="F237" s="4"/>
      <c r="G237" s="4"/>
      <c r="I237" s="4">
        <f>I77</f>
        <v>1.5872999999999999</v>
      </c>
    </row>
    <row r="238" spans="2:9" x14ac:dyDescent="0.2">
      <c r="E238" s="4"/>
      <c r="F238" s="4"/>
      <c r="G238" s="4"/>
      <c r="I238" s="13"/>
    </row>
    <row r="239" spans="2:9" x14ac:dyDescent="0.2">
      <c r="E239" s="4"/>
      <c r="F239" s="4"/>
      <c r="G239" s="4"/>
      <c r="I239" s="13"/>
    </row>
    <row r="240" spans="2:9" x14ac:dyDescent="0.2">
      <c r="B240" s="1" t="s">
        <v>46</v>
      </c>
      <c r="I240" s="14"/>
    </row>
    <row r="241" spans="2:9" x14ac:dyDescent="0.2">
      <c r="B241" s="10" t="s">
        <v>22</v>
      </c>
      <c r="C241" s="2" t="s">
        <v>8</v>
      </c>
      <c r="E241" s="17">
        <v>5.4</v>
      </c>
      <c r="F241" s="17"/>
      <c r="G241" s="17"/>
      <c r="I241" s="12">
        <v>5.4</v>
      </c>
    </row>
    <row r="242" spans="2:9" x14ac:dyDescent="0.2">
      <c r="B242" s="10"/>
      <c r="E242" s="17"/>
      <c r="F242" s="17"/>
      <c r="G242" s="17"/>
      <c r="I242" s="12"/>
    </row>
    <row r="243" spans="2:9" x14ac:dyDescent="0.2">
      <c r="B243" s="1" t="s">
        <v>41</v>
      </c>
      <c r="E243" s="17"/>
      <c r="F243" s="17"/>
      <c r="G243" s="17"/>
      <c r="I243" s="12"/>
    </row>
    <row r="244" spans="2:9" x14ac:dyDescent="0.2">
      <c r="B244" t="s">
        <v>5</v>
      </c>
      <c r="C244" s="2" t="s">
        <v>9</v>
      </c>
      <c r="E244" s="4">
        <v>4.4000000000000003E-3</v>
      </c>
      <c r="F244" s="4"/>
      <c r="G244" s="4"/>
      <c r="I244" s="4">
        <v>3.5999999999999999E-3</v>
      </c>
    </row>
    <row r="245" spans="2:9" x14ac:dyDescent="0.2">
      <c r="B245" t="s">
        <v>6</v>
      </c>
      <c r="C245" s="2" t="s">
        <v>9</v>
      </c>
      <c r="E245" s="4">
        <v>1.2999999999999999E-3</v>
      </c>
      <c r="F245" s="4"/>
      <c r="G245" s="4"/>
      <c r="I245" s="4">
        <v>1.2999999999999999E-3</v>
      </c>
    </row>
    <row r="246" spans="2:9" x14ac:dyDescent="0.2">
      <c r="B246" s="10" t="s">
        <v>100</v>
      </c>
      <c r="C246" s="2" t="s">
        <v>9</v>
      </c>
      <c r="E246" s="4"/>
      <c r="F246" s="4"/>
      <c r="G246" s="4"/>
      <c r="I246" s="4">
        <v>1.1000000000000001E-3</v>
      </c>
    </row>
    <row r="247" spans="2:9" x14ac:dyDescent="0.2">
      <c r="B247" s="10" t="s">
        <v>18</v>
      </c>
      <c r="C247" s="2" t="s">
        <v>8</v>
      </c>
      <c r="E247" s="17">
        <v>0.25</v>
      </c>
      <c r="F247" s="17"/>
      <c r="G247" s="17"/>
      <c r="I247" s="17">
        <v>0.25</v>
      </c>
    </row>
    <row r="248" spans="2:9" x14ac:dyDescent="0.2">
      <c r="B248" s="10" t="s">
        <v>45</v>
      </c>
      <c r="C248" s="11" t="s">
        <v>8</v>
      </c>
      <c r="E248" s="17">
        <v>0.79</v>
      </c>
      <c r="F248" s="17"/>
      <c r="G248" s="17"/>
      <c r="I248" s="17">
        <v>0.79</v>
      </c>
    </row>
    <row r="249" spans="2:9" x14ac:dyDescent="0.2">
      <c r="B249" s="10"/>
      <c r="E249" s="17"/>
      <c r="F249" s="17"/>
      <c r="G249" s="17"/>
      <c r="I249" s="12"/>
    </row>
    <row r="250" spans="2:9" x14ac:dyDescent="0.2">
      <c r="B250" s="1" t="s">
        <v>11</v>
      </c>
      <c r="E250" s="17"/>
      <c r="F250" s="17"/>
      <c r="G250" s="17"/>
      <c r="I250" s="12"/>
    </row>
    <row r="251" spans="2:9" x14ac:dyDescent="0.2">
      <c r="B251" s="10" t="s">
        <v>42</v>
      </c>
      <c r="C251" s="2" t="s">
        <v>8</v>
      </c>
      <c r="E251" s="4">
        <v>0</v>
      </c>
      <c r="F251" s="4"/>
      <c r="G251" s="4"/>
      <c r="I251" s="4">
        <v>0</v>
      </c>
    </row>
    <row r="252" spans="2:9" x14ac:dyDescent="0.2">
      <c r="B252" s="10" t="s">
        <v>43</v>
      </c>
      <c r="C252" s="2" t="s">
        <v>8</v>
      </c>
      <c r="E252" s="4">
        <v>5.1000000000000004E-3</v>
      </c>
      <c r="F252" s="4"/>
      <c r="G252" s="4"/>
      <c r="I252" s="4">
        <v>0</v>
      </c>
    </row>
    <row r="253" spans="2:9" x14ac:dyDescent="0.2">
      <c r="B253" s="10" t="s">
        <v>44</v>
      </c>
      <c r="C253" s="2" t="s">
        <v>8</v>
      </c>
      <c r="E253" s="4">
        <v>7.0000000000000001E-3</v>
      </c>
      <c r="F253" s="4"/>
      <c r="G253" s="4"/>
      <c r="I253" s="4">
        <v>0</v>
      </c>
    </row>
    <row r="254" spans="2:9" x14ac:dyDescent="0.2">
      <c r="B254" s="10"/>
      <c r="E254" s="4"/>
      <c r="F254" s="4"/>
      <c r="G254" s="4"/>
      <c r="I254" s="13"/>
    </row>
    <row r="255" spans="2:9" x14ac:dyDescent="0.2">
      <c r="B255" s="1" t="s">
        <v>28</v>
      </c>
      <c r="E255" s="4"/>
      <c r="F255" s="4"/>
      <c r="G255" s="4"/>
      <c r="I255" s="13"/>
    </row>
    <row r="256" spans="2:9" x14ac:dyDescent="0.2">
      <c r="B256" s="10" t="s">
        <v>23</v>
      </c>
      <c r="C256" s="2" t="s">
        <v>10</v>
      </c>
      <c r="E256" s="4">
        <v>-0.6</v>
      </c>
      <c r="F256" s="4"/>
      <c r="G256" s="4"/>
      <c r="I256" s="13">
        <f>+E256</f>
        <v>-0.6</v>
      </c>
    </row>
    <row r="257" spans="2:9" x14ac:dyDescent="0.2">
      <c r="B257" s="10" t="s">
        <v>24</v>
      </c>
      <c r="C257" s="11" t="s">
        <v>12</v>
      </c>
      <c r="E257" s="4">
        <v>-1</v>
      </c>
      <c r="F257" s="4"/>
      <c r="G257" s="4"/>
      <c r="I257" s="13">
        <f>+E257</f>
        <v>-1</v>
      </c>
    </row>
    <row r="258" spans="2:9" x14ac:dyDescent="0.2">
      <c r="E258" s="3"/>
      <c r="F258" s="3"/>
      <c r="G258" s="3"/>
      <c r="H258" s="3"/>
      <c r="I258" s="12"/>
    </row>
    <row r="259" spans="2:9" x14ac:dyDescent="0.2">
      <c r="B259" s="1" t="s">
        <v>13</v>
      </c>
      <c r="H259" s="3"/>
      <c r="I259" s="14"/>
    </row>
    <row r="260" spans="2:9" x14ac:dyDescent="0.2">
      <c r="B260" s="10" t="s">
        <v>25</v>
      </c>
      <c r="E260" s="4">
        <v>1.0542</v>
      </c>
      <c r="F260" s="4"/>
      <c r="G260" s="4"/>
      <c r="I260" s="13">
        <v>1.0542</v>
      </c>
    </row>
    <row r="261" spans="2:9" x14ac:dyDescent="0.2">
      <c r="B261" s="10" t="s">
        <v>26</v>
      </c>
      <c r="E261" s="4">
        <v>1.043658</v>
      </c>
      <c r="F261" s="4"/>
      <c r="G261" s="4"/>
      <c r="I261" s="13">
        <f>I260*0.99</f>
        <v>1.043658</v>
      </c>
    </row>
    <row r="262" spans="2:9" x14ac:dyDescent="0.2">
      <c r="B262" s="10"/>
      <c r="E262" s="4"/>
      <c r="F262" s="4"/>
      <c r="G262" s="4"/>
      <c r="I262" s="15"/>
    </row>
    <row r="263" spans="2:9" x14ac:dyDescent="0.2">
      <c r="B263" s="10" t="s">
        <v>38</v>
      </c>
      <c r="C263" s="2" t="s">
        <v>9</v>
      </c>
      <c r="E263" s="18">
        <v>8.3000000000000004E-2</v>
      </c>
      <c r="F263" s="18"/>
      <c r="G263" s="18"/>
      <c r="I263" s="18">
        <v>8.3000000000000004E-2</v>
      </c>
    </row>
    <row r="264" spans="2:9" x14ac:dyDescent="0.2">
      <c r="B264" s="10" t="s">
        <v>39</v>
      </c>
      <c r="C264" s="2" t="s">
        <v>9</v>
      </c>
      <c r="E264" s="18">
        <v>0.128</v>
      </c>
      <c r="F264" s="18"/>
      <c r="G264" s="18"/>
      <c r="I264" s="18">
        <v>0.128</v>
      </c>
    </row>
    <row r="265" spans="2:9" x14ac:dyDescent="0.2">
      <c r="B265" s="10" t="s">
        <v>40</v>
      </c>
      <c r="C265" s="2" t="s">
        <v>9</v>
      </c>
      <c r="E265" s="18">
        <v>0.17499999999999999</v>
      </c>
      <c r="F265" s="18"/>
      <c r="G265" s="18"/>
      <c r="I265" s="18">
        <v>0.17499999999999999</v>
      </c>
    </row>
    <row r="267" spans="2:9" x14ac:dyDescent="0.2">
      <c r="B267" s="10" t="s">
        <v>68</v>
      </c>
      <c r="C267" s="2" t="s">
        <v>9</v>
      </c>
      <c r="E267" s="18">
        <f>(0.64*E263)+(0.18*E264)+(0.18*E265)</f>
        <v>0.10766000000000001</v>
      </c>
      <c r="F267" s="18"/>
      <c r="G267" s="18"/>
      <c r="I267" s="18">
        <f>(0.64*I263)+(0.18*I264)+(0.18*I265)</f>
        <v>0.10766000000000001</v>
      </c>
    </row>
    <row r="269" spans="2:9" x14ac:dyDescent="0.2">
      <c r="B269" s="10" t="s">
        <v>30</v>
      </c>
      <c r="C269" s="11" t="s">
        <v>12</v>
      </c>
      <c r="E269" s="19">
        <v>0.13</v>
      </c>
      <c r="F269" s="19"/>
      <c r="G269" s="19"/>
      <c r="I269" s="19">
        <v>0.13</v>
      </c>
    </row>
    <row r="271" spans="2:9" x14ac:dyDescent="0.2">
      <c r="B271" s="10" t="s">
        <v>31</v>
      </c>
      <c r="C271" s="11" t="s">
        <v>12</v>
      </c>
      <c r="E271" s="19">
        <v>-0.1</v>
      </c>
      <c r="F271" s="19"/>
      <c r="G271" s="19"/>
      <c r="I271" s="19">
        <v>0</v>
      </c>
    </row>
  </sheetData>
  <mergeCells count="3">
    <mergeCell ref="B2:I2"/>
    <mergeCell ref="B80:I80"/>
    <mergeCell ref="B157:I157"/>
  </mergeCells>
  <phoneticPr fontId="2" type="noConversion"/>
  <pageMargins left="0.74803149606299213" right="0.74803149606299213" top="0.98425196850393704" bottom="0.98425196850393704" header="0.51181102362204722" footer="0.51181102362204722"/>
  <pageSetup scale="70" fitToHeight="0" orientation="portrait" r:id="rId1"/>
  <headerFooter alignWithMargins="0">
    <oddHeader xml:space="preserve">&amp;C&amp;"Arial,Bold"&amp;16 </oddHeader>
  </headerFooter>
  <rowBreaks count="2" manualBreakCount="2">
    <brk id="79" max="16383" man="1"/>
    <brk id="15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L39"/>
  <sheetViews>
    <sheetView showGridLines="0" workbookViewId="0">
      <selection activeCell="C3" sqref="C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5" max="5" width="10.28515625" bestFit="1" customWidth="1"/>
    <col min="6" max="6" width="1.7109375" customWidth="1"/>
    <col min="9" max="9" width="10.28515625" bestFit="1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Rates!B81</f>
        <v>CNPI - Eastern Ontario Power</v>
      </c>
    </row>
    <row r="3" spans="2:12" ht="15.75" x14ac:dyDescent="0.25">
      <c r="B3" s="24" t="str">
        <f>Rates!B144</f>
        <v>Street Lighting</v>
      </c>
      <c r="C3" s="1" t="s">
        <v>103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900</v>
      </c>
    </row>
    <row r="7" spans="2:12" x14ac:dyDescent="0.2">
      <c r="B7" s="28" t="s">
        <v>62</v>
      </c>
      <c r="C7" s="29">
        <v>46000</v>
      </c>
    </row>
    <row r="8" spans="2:12" x14ac:dyDescent="0.2">
      <c r="B8" s="28" t="s">
        <v>63</v>
      </c>
      <c r="C8" s="62">
        <v>129</v>
      </c>
    </row>
    <row r="9" spans="2:12" ht="13.5" thickBot="1" x14ac:dyDescent="0.25">
      <c r="B9" s="30" t="s">
        <v>64</v>
      </c>
      <c r="C9" s="31">
        <f>IF(C8=0,"n/a",C7/(C8*24*365/12))</f>
        <v>0.48847828395455029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Rates!E145</f>
        <v>5.05</v>
      </c>
      <c r="D14" s="37">
        <f>C6</f>
        <v>900</v>
      </c>
      <c r="E14" s="36">
        <f>C14*D14</f>
        <v>4545</v>
      </c>
      <c r="F14" s="45"/>
      <c r="G14" s="36">
        <f>Rates!I145</f>
        <v>4.96</v>
      </c>
      <c r="H14" s="37">
        <f>D14</f>
        <v>900</v>
      </c>
      <c r="I14" s="36">
        <f>G14*H14</f>
        <v>4464</v>
      </c>
      <c r="J14" s="45"/>
      <c r="K14" s="36">
        <f>I14-E14</f>
        <v>-81</v>
      </c>
      <c r="L14" s="47">
        <f>IF((E14)=0," ",K14/E14)</f>
        <v>-1.782178217821782E-2</v>
      </c>
    </row>
    <row r="15" spans="2:12" x14ac:dyDescent="0.2">
      <c r="B15" s="44" t="str">
        <f>Rates!B8</f>
        <v>Distribution Volumetric Rate</v>
      </c>
      <c r="C15" s="25">
        <f>Rates!E146</f>
        <v>10.4941</v>
      </c>
      <c r="D15" s="38">
        <f>C8</f>
        <v>129</v>
      </c>
      <c r="E15" s="36">
        <f t="shared" ref="E15" si="0">C15*D15</f>
        <v>1353.7388999999998</v>
      </c>
      <c r="F15" s="45"/>
      <c r="G15" s="25">
        <f>Rates!I146</f>
        <v>10.7965</v>
      </c>
      <c r="H15" s="38">
        <f>D15</f>
        <v>129</v>
      </c>
      <c r="I15" s="36">
        <f t="shared" ref="I15" si="1">G15*H15</f>
        <v>1392.7484999999999</v>
      </c>
      <c r="J15" s="45"/>
      <c r="K15" s="36">
        <f t="shared" ref="K15:K39" si="2">I15-E15</f>
        <v>39.009600000000091</v>
      </c>
      <c r="L15" s="47">
        <f t="shared" ref="L15:L39" si="3">IF((E15)=0," ",K15/E15)</f>
        <v>2.8816191955479818E-2</v>
      </c>
    </row>
    <row r="16" spans="2:12" x14ac:dyDescent="0.2">
      <c r="B16" s="49" t="s">
        <v>36</v>
      </c>
      <c r="C16" s="50"/>
      <c r="D16" s="51"/>
      <c r="E16" s="52">
        <f>SUM(E14:E15)</f>
        <v>5898.7389000000003</v>
      </c>
      <c r="F16" s="53"/>
      <c r="G16" s="50"/>
      <c r="H16" s="51"/>
      <c r="I16" s="52">
        <f>SUM(I14:I15)</f>
        <v>5856.7484999999997</v>
      </c>
      <c r="J16" s="53"/>
      <c r="K16" s="54">
        <f t="shared" si="2"/>
        <v>-41.990400000000591</v>
      </c>
      <c r="L16" s="55">
        <f t="shared" si="3"/>
        <v>-7.1185385065951285E-3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2493.2000000000012</v>
      </c>
      <c r="E17" s="36">
        <f t="shared" ref="E17:E23" si="4">C17*D17</f>
        <v>268.41791200000011</v>
      </c>
      <c r="F17" s="45"/>
      <c r="G17" s="25">
        <f>Rates!I267</f>
        <v>0.10766000000000001</v>
      </c>
      <c r="H17" s="40">
        <f>(C5-1)*C7</f>
        <v>2493.2000000000012</v>
      </c>
      <c r="I17" s="36">
        <f t="shared" ref="I17:I23" si="5">G17*H17</f>
        <v>268.41791200000011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Rates!B148</f>
        <v>Rate Rider for Deferral/Variance Account Disposition (2015) - effective until December 31, 2016</v>
      </c>
      <c r="C18" s="25">
        <f>Rates!E148</f>
        <v>7.5600000000000001E-2</v>
      </c>
      <c r="D18" s="37">
        <f>C8</f>
        <v>129</v>
      </c>
      <c r="E18" s="36">
        <f t="shared" si="4"/>
        <v>9.7523999999999997</v>
      </c>
      <c r="F18" s="45"/>
      <c r="G18" s="25">
        <f>Rates!I148</f>
        <v>7.5600000000000001E-2</v>
      </c>
      <c r="H18" s="37">
        <f t="shared" ref="H18:H23" si="6">D18</f>
        <v>129</v>
      </c>
      <c r="I18" s="36">
        <f t="shared" si="5"/>
        <v>9.7523999999999997</v>
      </c>
      <c r="J18" s="45"/>
      <c r="K18" s="36">
        <f t="shared" ref="K18:K22" si="7">I18-E18</f>
        <v>0</v>
      </c>
      <c r="L18" s="47">
        <f t="shared" ref="L18:L22" si="8">IF((E18)=0," ",K18/E18)</f>
        <v>0</v>
      </c>
    </row>
    <row r="19" spans="2:12" ht="25.5" x14ac:dyDescent="0.2">
      <c r="B19" s="48" t="str">
        <f>Rates!B149</f>
        <v>Rate Rider for Global Adjustment Sub-Account Disposition (2015) - effective until December 31, 2016 Applicable only for Non-RPP Customers</v>
      </c>
      <c r="C19" s="25">
        <f>Rates!E149</f>
        <v>2.4809999999999999</v>
      </c>
      <c r="D19" s="37">
        <f>C8</f>
        <v>129</v>
      </c>
      <c r="E19" s="36">
        <f t="shared" si="4"/>
        <v>320.04899999999998</v>
      </c>
      <c r="F19" s="45"/>
      <c r="G19" s="25">
        <f>Rates!I149</f>
        <v>2.4809999999999999</v>
      </c>
      <c r="H19" s="37">
        <f t="shared" si="6"/>
        <v>129</v>
      </c>
      <c r="I19" s="36">
        <f t="shared" si="5"/>
        <v>320.04899999999998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Rates!B150</f>
        <v>Rate Rider for Deferral/Variance Account Disposition (2016) - effective until December 31, 2017</v>
      </c>
      <c r="C20" s="25">
        <f>Rates!E150</f>
        <v>0</v>
      </c>
      <c r="D20" s="37">
        <f>C8</f>
        <v>129</v>
      </c>
      <c r="E20" s="36">
        <f t="shared" si="4"/>
        <v>0</v>
      </c>
      <c r="F20" s="45"/>
      <c r="G20" s="25">
        <f>Rates!I150</f>
        <v>-0.89049999999999996</v>
      </c>
      <c r="H20" s="37">
        <f t="shared" si="6"/>
        <v>129</v>
      </c>
      <c r="I20" s="36">
        <f t="shared" si="5"/>
        <v>-114.8745</v>
      </c>
      <c r="J20" s="45"/>
      <c r="K20" s="36">
        <f t="shared" ref="K20:K21" si="9">I20-E20</f>
        <v>-114.8745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Rates!B151</f>
        <v>Rate Rider for Global Adjustment Sub-Account Disposition (2016) - effective until December 31, 2017 Applicable only for Non-RPP Customers</v>
      </c>
      <c r="C21" s="25">
        <f>Rates!E151</f>
        <v>0</v>
      </c>
      <c r="D21" s="37">
        <f>C8</f>
        <v>129</v>
      </c>
      <c r="E21" s="36">
        <f t="shared" si="4"/>
        <v>0</v>
      </c>
      <c r="F21" s="45"/>
      <c r="G21" s="25">
        <f>Rates!I151</f>
        <v>3.4611000000000001</v>
      </c>
      <c r="H21" s="37">
        <f t="shared" si="6"/>
        <v>129</v>
      </c>
      <c r="I21" s="36">
        <f t="shared" si="5"/>
        <v>446.4819</v>
      </c>
      <c r="J21" s="45"/>
      <c r="K21" s="36">
        <f t="shared" si="9"/>
        <v>446.4819</v>
      </c>
      <c r="L21" s="47" t="str">
        <f t="shared" si="10"/>
        <v xml:space="preserve"> </v>
      </c>
    </row>
    <row r="22" spans="2:12" x14ac:dyDescent="0.2">
      <c r="B22" s="48" t="str">
        <f>Rates!B152</f>
        <v>Rate Rider for Loss Revenue Adjustment Mechanism (LRAM) - effective until December 31, 2015</v>
      </c>
      <c r="C22" s="25">
        <f>Rates!E152</f>
        <v>0</v>
      </c>
      <c r="D22" s="37">
        <f>C8</f>
        <v>129</v>
      </c>
      <c r="E22" s="36">
        <f t="shared" si="4"/>
        <v>0</v>
      </c>
      <c r="F22" s="45"/>
      <c r="G22" s="25">
        <f>Rates!I152</f>
        <v>0</v>
      </c>
      <c r="H22" s="37">
        <f t="shared" si="6"/>
        <v>129</v>
      </c>
      <c r="I22" s="36">
        <f t="shared" si="5"/>
        <v>0</v>
      </c>
      <c r="J22" s="45"/>
      <c r="K22" s="36">
        <f t="shared" si="7"/>
        <v>0</v>
      </c>
      <c r="L22" s="47" t="str">
        <f t="shared" si="8"/>
        <v xml:space="preserve"> </v>
      </c>
    </row>
    <row r="23" spans="2:12" x14ac:dyDescent="0.2">
      <c r="B23" s="44" t="str">
        <f>Rates!B9</f>
        <v>Low Voltage Service Rate</v>
      </c>
      <c r="C23" s="25">
        <f>Rates!E147</f>
        <v>5.0700000000000002E-2</v>
      </c>
      <c r="D23" s="37">
        <f>C8</f>
        <v>129</v>
      </c>
      <c r="E23" s="36">
        <f t="shared" si="4"/>
        <v>6.5403000000000002</v>
      </c>
      <c r="F23" s="45"/>
      <c r="G23" s="25">
        <f>Rates!I147</f>
        <v>5.0700000000000002E-2</v>
      </c>
      <c r="H23" s="37">
        <f t="shared" si="6"/>
        <v>129</v>
      </c>
      <c r="I23" s="36">
        <f t="shared" si="5"/>
        <v>6.5403000000000002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9" t="s">
        <v>56</v>
      </c>
      <c r="C24" s="50"/>
      <c r="D24" s="51"/>
      <c r="E24" s="52">
        <f>SUM(E16:E23)</f>
        <v>6503.4985120000001</v>
      </c>
      <c r="F24" s="53"/>
      <c r="G24" s="50"/>
      <c r="H24" s="51"/>
      <c r="I24" s="52">
        <f>SUM(I16:I23)</f>
        <v>6793.1155119999994</v>
      </c>
      <c r="J24" s="53"/>
      <c r="K24" s="54">
        <f t="shared" si="2"/>
        <v>289.61699999999928</v>
      </c>
      <c r="L24" s="55">
        <f t="shared" si="3"/>
        <v>4.4532492698446745E-2</v>
      </c>
    </row>
    <row r="25" spans="2:12" x14ac:dyDescent="0.2">
      <c r="B25" s="44" t="str">
        <f>Rates!B15</f>
        <v>Retail Transmission Rate - Network Service Rate</v>
      </c>
      <c r="C25" s="25">
        <f>Rates!E153</f>
        <v>1.9564999999999999</v>
      </c>
      <c r="D25" s="37">
        <f>C8</f>
        <v>129</v>
      </c>
      <c r="E25" s="36">
        <f>C25*D25</f>
        <v>252.38849999999999</v>
      </c>
      <c r="F25" s="45"/>
      <c r="G25" s="25">
        <f>Rates!I153</f>
        <v>1.9218999999999999</v>
      </c>
      <c r="H25" s="37">
        <f>D25</f>
        <v>129</v>
      </c>
      <c r="I25" s="36">
        <f>G25*H25</f>
        <v>247.92509999999999</v>
      </c>
      <c r="J25" s="45"/>
      <c r="K25" s="36">
        <f t="shared" si="2"/>
        <v>-4.4634000000000071</v>
      </c>
      <c r="L25" s="47">
        <f t="shared" si="3"/>
        <v>-1.7684640940454924E-2</v>
      </c>
    </row>
    <row r="26" spans="2:12" x14ac:dyDescent="0.2">
      <c r="B26" s="44" t="str">
        <f>Rates!B16</f>
        <v>Retail Transmission Rate - Line and Transformation Connection Service Rate</v>
      </c>
      <c r="C26" s="25">
        <f>Rates!E154</f>
        <v>1.5501</v>
      </c>
      <c r="D26" s="37">
        <f>C8</f>
        <v>129</v>
      </c>
      <c r="E26" s="36">
        <f>C26*D26</f>
        <v>199.96289999999999</v>
      </c>
      <c r="F26" s="45"/>
      <c r="G26" s="25">
        <f>Rates!I154</f>
        <v>1.5872999999999999</v>
      </c>
      <c r="H26" s="37">
        <f>D26</f>
        <v>129</v>
      </c>
      <c r="I26" s="36">
        <f>G26*H26</f>
        <v>204.76169999999999</v>
      </c>
      <c r="J26" s="45"/>
      <c r="K26" s="36">
        <f t="shared" si="2"/>
        <v>4.7988</v>
      </c>
      <c r="L26" s="47">
        <f t="shared" si="3"/>
        <v>2.3998451712792725E-2</v>
      </c>
    </row>
    <row r="27" spans="2:12" x14ac:dyDescent="0.2">
      <c r="B27" s="49" t="s">
        <v>57</v>
      </c>
      <c r="C27" s="50"/>
      <c r="D27" s="51"/>
      <c r="E27" s="52">
        <f>SUM(E24:E26)</f>
        <v>6955.8499119999997</v>
      </c>
      <c r="F27" s="53"/>
      <c r="G27" s="50"/>
      <c r="H27" s="52"/>
      <c r="I27" s="52">
        <f>SUM(I24:I26)</f>
        <v>7245.8023119999998</v>
      </c>
      <c r="J27" s="53"/>
      <c r="K27" s="54">
        <f t="shared" si="2"/>
        <v>289.95240000000013</v>
      </c>
      <c r="L27" s="55">
        <f t="shared" si="3"/>
        <v>4.1684683204533203E-2</v>
      </c>
    </row>
    <row r="28" spans="2:12" x14ac:dyDescent="0.2">
      <c r="B28" s="44" t="str">
        <f>Rates!B244</f>
        <v>Wholesale Market Service Rate</v>
      </c>
      <c r="C28" s="25">
        <f>Rates!E244</f>
        <v>4.4000000000000003E-3</v>
      </c>
      <c r="D28" s="37">
        <f>C5*C7</f>
        <v>48493.200000000004</v>
      </c>
      <c r="E28" s="36">
        <f t="shared" ref="E28:E33" si="11">C28*D28</f>
        <v>213.37008000000003</v>
      </c>
      <c r="F28" s="45"/>
      <c r="G28" s="25">
        <f>Rates!I244</f>
        <v>3.5999999999999999E-3</v>
      </c>
      <c r="H28" s="37">
        <f>D28</f>
        <v>48493.200000000004</v>
      </c>
      <c r="I28" s="36">
        <f t="shared" ref="I28:I33" si="12">G28*H28</f>
        <v>174.57552000000001</v>
      </c>
      <c r="J28" s="45"/>
      <c r="K28" s="36">
        <f t="shared" si="2"/>
        <v>-38.794560000000018</v>
      </c>
      <c r="L28" s="47">
        <f t="shared" si="3"/>
        <v>-0.18181818181818188</v>
      </c>
    </row>
    <row r="29" spans="2:12" x14ac:dyDescent="0.2">
      <c r="B29" s="44" t="str">
        <f>Rates!B245</f>
        <v>Rural Rate Protection Charge</v>
      </c>
      <c r="C29" s="25">
        <f>Rates!E245</f>
        <v>1.2999999999999999E-3</v>
      </c>
      <c r="D29" s="37">
        <f>C5*C7</f>
        <v>48493.200000000004</v>
      </c>
      <c r="E29" s="36">
        <f t="shared" si="11"/>
        <v>63.041160000000005</v>
      </c>
      <c r="F29" s="45"/>
      <c r="G29" s="25">
        <f>Rates!I245</f>
        <v>1.2999999999999999E-3</v>
      </c>
      <c r="H29" s="37">
        <f t="shared" ref="H29:H30" si="13">D29</f>
        <v>48493.200000000004</v>
      </c>
      <c r="I29" s="36">
        <f t="shared" si="12"/>
        <v>63.041160000000005</v>
      </c>
      <c r="J29" s="45"/>
      <c r="K29" s="36">
        <f t="shared" si="2"/>
        <v>0</v>
      </c>
      <c r="L29" s="47">
        <f t="shared" si="3"/>
        <v>0</v>
      </c>
    </row>
    <row r="30" spans="2:12" x14ac:dyDescent="0.2">
      <c r="B30" s="44" t="str">
        <f>Rates!B247</f>
        <v>Standard Supply Service - Administrative Charge (if applicable)</v>
      </c>
      <c r="C30" s="36">
        <f>Rates!E247</f>
        <v>0.25</v>
      </c>
      <c r="D30" s="37">
        <v>1</v>
      </c>
      <c r="E30" s="36">
        <f t="shared" si="11"/>
        <v>0.25</v>
      </c>
      <c r="F30" s="45"/>
      <c r="G30" s="36">
        <f>Rates!I247</f>
        <v>0.25</v>
      </c>
      <c r="H30" s="37">
        <f t="shared" si="13"/>
        <v>1</v>
      </c>
      <c r="I30" s="36">
        <f t="shared" si="12"/>
        <v>0.25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Rates!B250</f>
        <v>Debt Retirement Charge</v>
      </c>
      <c r="C31" s="25">
        <f>Rates!E252</f>
        <v>5.1000000000000004E-3</v>
      </c>
      <c r="D31" s="37">
        <f>C7</f>
        <v>46000</v>
      </c>
      <c r="E31" s="36">
        <f t="shared" si="11"/>
        <v>234.60000000000002</v>
      </c>
      <c r="F31" s="45"/>
      <c r="G31" s="25">
        <f>Rates!I252</f>
        <v>0</v>
      </c>
      <c r="H31" s="37">
        <f>D31</f>
        <v>46000</v>
      </c>
      <c r="I31" s="36">
        <f t="shared" si="12"/>
        <v>0</v>
      </c>
      <c r="J31" s="45"/>
      <c r="K31" s="36">
        <f t="shared" si="2"/>
        <v>-234.60000000000002</v>
      </c>
      <c r="L31" s="47">
        <f t="shared" si="3"/>
        <v>-1</v>
      </c>
    </row>
    <row r="32" spans="2:12" x14ac:dyDescent="0.2">
      <c r="B32" s="44" t="str">
        <f>Rates!B246</f>
        <v>Ontario Electricity Support Program</v>
      </c>
      <c r="C32" s="25"/>
      <c r="D32" s="37"/>
      <c r="E32" s="36"/>
      <c r="F32" s="45"/>
      <c r="G32" s="25">
        <f>Rates!I246</f>
        <v>1.1000000000000001E-3</v>
      </c>
      <c r="H32" s="37">
        <f>C7</f>
        <v>46000</v>
      </c>
      <c r="I32" s="36">
        <f t="shared" si="12"/>
        <v>50.6</v>
      </c>
      <c r="J32" s="45"/>
      <c r="K32" s="36"/>
      <c r="L32" s="47"/>
    </row>
    <row r="33" spans="2:12" x14ac:dyDescent="0.2">
      <c r="B33" s="44" t="str">
        <f>Rates!B267</f>
        <v>Energy Price</v>
      </c>
      <c r="C33" s="25">
        <f>Rates!E267</f>
        <v>0.10766000000000001</v>
      </c>
      <c r="D33" s="37">
        <f>C7</f>
        <v>46000</v>
      </c>
      <c r="E33" s="36">
        <f t="shared" si="11"/>
        <v>4952.3600000000006</v>
      </c>
      <c r="F33" s="45"/>
      <c r="G33" s="25">
        <f>Rates!I267</f>
        <v>0.10766000000000001</v>
      </c>
      <c r="H33" s="37">
        <f>D33</f>
        <v>46000</v>
      </c>
      <c r="I33" s="36">
        <f t="shared" si="12"/>
        <v>4952.3600000000006</v>
      </c>
      <c r="J33" s="45"/>
      <c r="K33" s="36">
        <f t="shared" si="2"/>
        <v>0</v>
      </c>
      <c r="L33" s="47">
        <f t="shared" si="3"/>
        <v>0</v>
      </c>
    </row>
    <row r="34" spans="2:12" x14ac:dyDescent="0.2">
      <c r="B34" s="56"/>
      <c r="C34" s="51"/>
      <c r="D34" s="51"/>
      <c r="E34" s="51"/>
      <c r="F34" s="53"/>
      <c r="G34" s="51"/>
      <c r="H34" s="51"/>
      <c r="I34" s="51"/>
      <c r="J34" s="53"/>
      <c r="K34" s="54"/>
      <c r="L34" s="55"/>
    </row>
    <row r="35" spans="2:12" x14ac:dyDescent="0.2">
      <c r="B35" s="23" t="s">
        <v>58</v>
      </c>
      <c r="C35" s="35"/>
      <c r="D35" s="35"/>
      <c r="E35" s="39">
        <f>SUM(E27:E33)</f>
        <v>12419.471152</v>
      </c>
      <c r="F35" s="45"/>
      <c r="G35" s="35"/>
      <c r="H35" s="39"/>
      <c r="I35" s="39">
        <f>SUM(I27:I33)</f>
        <v>12486.628992000002</v>
      </c>
      <c r="J35" s="45"/>
      <c r="K35" s="36">
        <f t="shared" si="2"/>
        <v>67.15784000000167</v>
      </c>
      <c r="L35" s="47">
        <f t="shared" si="3"/>
        <v>5.4074637460860596E-3</v>
      </c>
    </row>
    <row r="36" spans="2:12" x14ac:dyDescent="0.2">
      <c r="B36" s="44" t="str">
        <f>Rates!B269</f>
        <v>HST</v>
      </c>
      <c r="C36" s="41">
        <f>Rates!E269</f>
        <v>0.13</v>
      </c>
      <c r="D36" s="35"/>
      <c r="E36" s="42">
        <f>E35*C36</f>
        <v>1614.53124976</v>
      </c>
      <c r="F36" s="45"/>
      <c r="G36" s="41">
        <f>Rates!I269</f>
        <v>0.13</v>
      </c>
      <c r="H36" s="35"/>
      <c r="I36" s="42">
        <f>I35*G36</f>
        <v>1623.2617689600004</v>
      </c>
      <c r="J36" s="45"/>
      <c r="K36" s="36">
        <f t="shared" si="2"/>
        <v>8.7305192000003444</v>
      </c>
      <c r="L36" s="47">
        <f t="shared" si="3"/>
        <v>5.4074637460861386E-3</v>
      </c>
    </row>
    <row r="37" spans="2:12" x14ac:dyDescent="0.2">
      <c r="B37" s="23" t="s">
        <v>59</v>
      </c>
      <c r="C37" s="35"/>
      <c r="D37" s="35"/>
      <c r="E37" s="42">
        <f>E35+E36</f>
        <v>14034.002401760001</v>
      </c>
      <c r="F37" s="45"/>
      <c r="G37" s="35"/>
      <c r="H37" s="35"/>
      <c r="I37" s="42">
        <f>I35+I36</f>
        <v>14109.890760960003</v>
      </c>
      <c r="J37" s="45"/>
      <c r="K37" s="36">
        <f t="shared" si="2"/>
        <v>75.888359200002014</v>
      </c>
      <c r="L37" s="47">
        <f t="shared" si="3"/>
        <v>5.4074637460860683E-3</v>
      </c>
    </row>
    <row r="38" spans="2:12" x14ac:dyDescent="0.2">
      <c r="B38" s="44" t="str">
        <f>Rates!B271</f>
        <v>OCEB</v>
      </c>
      <c r="C38" s="41"/>
      <c r="D38" s="35"/>
      <c r="E38" s="42">
        <f>E37*C38</f>
        <v>0</v>
      </c>
      <c r="F38" s="45"/>
      <c r="G38" s="41">
        <f>Rates!I271</f>
        <v>0</v>
      </c>
      <c r="H38" s="35"/>
      <c r="I38" s="42">
        <f>I37*G38</f>
        <v>0</v>
      </c>
      <c r="J38" s="45"/>
      <c r="K38" s="36">
        <f t="shared" si="2"/>
        <v>0</v>
      </c>
      <c r="L38" s="47" t="str">
        <f t="shared" si="3"/>
        <v xml:space="preserve"> </v>
      </c>
    </row>
    <row r="39" spans="2:12" ht="13.5" thickBot="1" x14ac:dyDescent="0.25">
      <c r="B39" s="30" t="s">
        <v>60</v>
      </c>
      <c r="C39" s="57"/>
      <c r="D39" s="57"/>
      <c r="E39" s="58">
        <f>E37+E38</f>
        <v>14034.002401760001</v>
      </c>
      <c r="F39" s="59"/>
      <c r="G39" s="57"/>
      <c r="H39" s="57"/>
      <c r="I39" s="58">
        <f>I37+I38</f>
        <v>14109.890760960003</v>
      </c>
      <c r="J39" s="59"/>
      <c r="K39" s="60">
        <f t="shared" si="2"/>
        <v>75.888359200002014</v>
      </c>
      <c r="L39" s="61">
        <f t="shared" si="3"/>
        <v>5.4074637460860683E-3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2" fitToHeight="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L43"/>
  <sheetViews>
    <sheetView showGridLines="0" topLeftCell="A7" workbookViewId="0">
      <selection activeCell="H35" sqref="H35"/>
    </sheetView>
  </sheetViews>
  <sheetFormatPr defaultRowHeight="12.75" x14ac:dyDescent="0.2"/>
  <cols>
    <col min="1" max="1" width="2" customWidth="1"/>
    <col min="2" max="2" width="89.140625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Rates!B158</f>
        <v>CNPI - Port Colborne</v>
      </c>
    </row>
    <row r="3" spans="2:12" ht="15.75" x14ac:dyDescent="0.25">
      <c r="B3" s="24" t="str">
        <f>Rates!B159</f>
        <v>Residential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800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Rates!E160</f>
        <v>18.760000000000002</v>
      </c>
      <c r="D14" s="37">
        <f>C6</f>
        <v>1</v>
      </c>
      <c r="E14" s="36">
        <f>C14*D14</f>
        <v>18.760000000000002</v>
      </c>
      <c r="F14" s="45"/>
      <c r="G14" s="36">
        <f>Rates!I160</f>
        <v>23.44</v>
      </c>
      <c r="H14" s="37">
        <f>D14</f>
        <v>1</v>
      </c>
      <c r="I14" s="36">
        <f>G14*H14</f>
        <v>23.44</v>
      </c>
      <c r="J14" s="45"/>
      <c r="K14" s="36">
        <f>I14-E14</f>
        <v>4.68</v>
      </c>
      <c r="L14" s="47">
        <f>IF((E14)=0," ",K14/E14)</f>
        <v>0.24946695095948823</v>
      </c>
    </row>
    <row r="15" spans="2:12" x14ac:dyDescent="0.2">
      <c r="B15" s="44" t="str">
        <f>Rates!B8</f>
        <v>Distribution Volumetric Rate</v>
      </c>
      <c r="C15" s="25">
        <f>Rates!E162</f>
        <v>2.1299999999999999E-2</v>
      </c>
      <c r="D15" s="38">
        <f>C7</f>
        <v>800</v>
      </c>
      <c r="E15" s="36">
        <f t="shared" ref="E15" si="0">C15*D15</f>
        <v>17.04</v>
      </c>
      <c r="F15" s="45"/>
      <c r="G15" s="25">
        <f>Rates!I162</f>
        <v>1.52E-2</v>
      </c>
      <c r="H15" s="38">
        <f>D15</f>
        <v>800</v>
      </c>
      <c r="I15" s="36">
        <f t="shared" ref="I15" si="1">G15*H15</f>
        <v>12.16</v>
      </c>
      <c r="J15" s="45"/>
      <c r="K15" s="36">
        <f t="shared" ref="K15:K43" si="2">I15-E15</f>
        <v>-4.879999999999999</v>
      </c>
      <c r="L15" s="47">
        <f t="shared" ref="L15:L43" si="3">IF((E15)=0," ",K15/E15)</f>
        <v>-0.28638497652582157</v>
      </c>
    </row>
    <row r="16" spans="2:12" x14ac:dyDescent="0.2">
      <c r="B16" s="49" t="s">
        <v>36</v>
      </c>
      <c r="C16" s="50"/>
      <c r="D16" s="51"/>
      <c r="E16" s="52">
        <f>SUM(E14:E15)</f>
        <v>35.799999999999997</v>
      </c>
      <c r="F16" s="53"/>
      <c r="G16" s="50"/>
      <c r="H16" s="51"/>
      <c r="I16" s="52">
        <f>SUM(I14:I15)</f>
        <v>35.6</v>
      </c>
      <c r="J16" s="53"/>
      <c r="K16" s="54">
        <f t="shared" si="2"/>
        <v>-0.19999999999999574</v>
      </c>
      <c r="L16" s="55">
        <f t="shared" si="3"/>
        <v>-5.5865921787708311E-3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43.360000000000021</v>
      </c>
      <c r="E17" s="36">
        <f t="shared" ref="E17:E25" si="4">C17*D17</f>
        <v>4.6681376000000023</v>
      </c>
      <c r="F17" s="45"/>
      <c r="G17" s="25">
        <f>Rates!I267</f>
        <v>0.10766000000000001</v>
      </c>
      <c r="H17" s="40">
        <f>(C5-1)*C7</f>
        <v>43.360000000000021</v>
      </c>
      <c r="I17" s="36">
        <f t="shared" ref="I17:I25" si="5">G17*H17</f>
        <v>4.6681376000000023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Rates!B164</f>
        <v>Rate Rider for Deferral/Variance Account Disposition (2015) - effective until December 31, 2016</v>
      </c>
      <c r="C18" s="25">
        <f>Rates!E164</f>
        <v>-6.9999999999999999E-4</v>
      </c>
      <c r="D18" s="37">
        <f>C7</f>
        <v>800</v>
      </c>
      <c r="E18" s="36">
        <f t="shared" si="4"/>
        <v>-0.55999999999999994</v>
      </c>
      <c r="F18" s="45"/>
      <c r="G18" s="25">
        <f>Rates!I164</f>
        <v>-6.9999999999999999E-4</v>
      </c>
      <c r="H18" s="37">
        <f t="shared" ref="H18:H25" si="6">D18</f>
        <v>800</v>
      </c>
      <c r="I18" s="36">
        <f t="shared" si="5"/>
        <v>-0.55999999999999994</v>
      </c>
      <c r="J18" s="45"/>
      <c r="K18" s="36">
        <f t="shared" si="2"/>
        <v>0</v>
      </c>
      <c r="L18" s="47">
        <f t="shared" si="3"/>
        <v>0</v>
      </c>
    </row>
    <row r="19" spans="2:12" ht="25.5" x14ac:dyDescent="0.2">
      <c r="B19" s="48" t="str">
        <f>Rates!B165</f>
        <v>Rate Rider for Global Adjustment Sub-Account Disposition (2015) - effective until December 31, 2016 Applicable only for Non-RPP Customers</v>
      </c>
      <c r="C19" s="25">
        <f>Rates!E165</f>
        <v>-2.3E-3</v>
      </c>
      <c r="D19" s="37"/>
      <c r="E19" s="36">
        <f t="shared" si="4"/>
        <v>0</v>
      </c>
      <c r="F19" s="45"/>
      <c r="G19" s="25">
        <f>Rates!I165</f>
        <v>-2.3E-3</v>
      </c>
      <c r="H19" s="37">
        <f t="shared" si="6"/>
        <v>0</v>
      </c>
      <c r="I19" s="36">
        <f t="shared" si="5"/>
        <v>0</v>
      </c>
      <c r="J19" s="45"/>
      <c r="K19" s="36">
        <f t="shared" si="2"/>
        <v>0</v>
      </c>
      <c r="L19" s="47" t="str">
        <f t="shared" si="3"/>
        <v xml:space="preserve"> </v>
      </c>
    </row>
    <row r="20" spans="2:12" x14ac:dyDescent="0.2">
      <c r="B20" s="48" t="str">
        <f>Rates!B166</f>
        <v>Rate Rider for Deferral/Variance Account Disposition (2016) - effective until December 31, 2017</v>
      </c>
      <c r="C20" s="25">
        <f>Rates!E166</f>
        <v>0</v>
      </c>
      <c r="D20" s="37">
        <f>C7</f>
        <v>800</v>
      </c>
      <c r="E20" s="36">
        <f t="shared" si="4"/>
        <v>0</v>
      </c>
      <c r="F20" s="45"/>
      <c r="G20" s="25">
        <f>Rates!I166</f>
        <v>-1.2999999999999999E-3</v>
      </c>
      <c r="H20" s="37">
        <f t="shared" si="6"/>
        <v>800</v>
      </c>
      <c r="I20" s="36">
        <f t="shared" si="5"/>
        <v>-1.04</v>
      </c>
      <c r="J20" s="45"/>
      <c r="K20" s="36">
        <f t="shared" ref="K20:K21" si="7">I20-E20</f>
        <v>-1.04</v>
      </c>
      <c r="L20" s="47" t="str">
        <f t="shared" ref="L20:L21" si="8">IF((E20)=0," ",K20/E20)</f>
        <v xml:space="preserve"> </v>
      </c>
    </row>
    <row r="21" spans="2:12" ht="25.5" x14ac:dyDescent="0.2">
      <c r="B21" s="48" t="str">
        <f>Rates!B167</f>
        <v>Rate Rider for Global Adjustment Sub-Account Disposition (2016) - effective until December 31, 2017 Applicable only for Non-RPP Customers</v>
      </c>
      <c r="C21" s="25">
        <f>Rates!E167</f>
        <v>0</v>
      </c>
      <c r="D21" s="37"/>
      <c r="E21" s="36">
        <f t="shared" si="4"/>
        <v>0</v>
      </c>
      <c r="F21" s="45"/>
      <c r="G21" s="25">
        <f>Rates!I167</f>
        <v>1.9E-3</v>
      </c>
      <c r="H21" s="37">
        <f t="shared" si="6"/>
        <v>0</v>
      </c>
      <c r="I21" s="36">
        <f t="shared" si="5"/>
        <v>0</v>
      </c>
      <c r="J21" s="45"/>
      <c r="K21" s="36">
        <f t="shared" si="7"/>
        <v>0</v>
      </c>
      <c r="L21" s="47" t="str">
        <f t="shared" si="8"/>
        <v xml:space="preserve"> </v>
      </c>
    </row>
    <row r="22" spans="2:12" x14ac:dyDescent="0.2">
      <c r="B22" s="44" t="str">
        <f>Rates!B168</f>
        <v>Rate Rider for the Disposition of Deferred PILs Variance Account 1562 - effective until December 31, 2016</v>
      </c>
      <c r="C22" s="25">
        <f>Rates!E168</f>
        <v>6.9999999999999999E-4</v>
      </c>
      <c r="D22" s="37">
        <f>C7</f>
        <v>800</v>
      </c>
      <c r="E22" s="36">
        <f t="shared" si="4"/>
        <v>0.55999999999999994</v>
      </c>
      <c r="F22" s="45"/>
      <c r="G22" s="25">
        <f>Rates!I168</f>
        <v>6.9999999999999999E-4</v>
      </c>
      <c r="H22" s="37">
        <f t="shared" si="6"/>
        <v>800</v>
      </c>
      <c r="I22" s="36">
        <f t="shared" si="5"/>
        <v>0.55999999999999994</v>
      </c>
      <c r="J22" s="45"/>
      <c r="K22" s="36">
        <f t="shared" si="2"/>
        <v>0</v>
      </c>
      <c r="L22" s="47">
        <f t="shared" si="3"/>
        <v>0</v>
      </c>
    </row>
    <row r="23" spans="2:12" x14ac:dyDescent="0.2">
      <c r="B23" s="48" t="str">
        <f>Rates!B169</f>
        <v>Rate Rider for Loss Revenue Adjustment Mechanism (LRAM) - effective until December 31, 2015</v>
      </c>
      <c r="C23" s="25">
        <f>Rates!E169</f>
        <v>1E-4</v>
      </c>
      <c r="D23" s="37">
        <f>C7</f>
        <v>800</v>
      </c>
      <c r="E23" s="36">
        <f t="shared" si="4"/>
        <v>0.08</v>
      </c>
      <c r="F23" s="45"/>
      <c r="G23" s="25">
        <f>Rates!I169</f>
        <v>0</v>
      </c>
      <c r="H23" s="37">
        <f t="shared" si="6"/>
        <v>800</v>
      </c>
      <c r="I23" s="36">
        <f t="shared" si="5"/>
        <v>0</v>
      </c>
      <c r="J23" s="45"/>
      <c r="K23" s="36">
        <f t="shared" si="2"/>
        <v>-0.08</v>
      </c>
      <c r="L23" s="47">
        <f t="shared" si="3"/>
        <v>-1</v>
      </c>
    </row>
    <row r="24" spans="2:12" x14ac:dyDescent="0.2">
      <c r="B24" s="44" t="str">
        <f>Rates!B9</f>
        <v>Low Voltage Service Rate</v>
      </c>
      <c r="C24" s="25">
        <f>Rates!E163</f>
        <v>2.0000000000000001E-4</v>
      </c>
      <c r="D24" s="37">
        <f>C7</f>
        <v>800</v>
      </c>
      <c r="E24" s="36">
        <f t="shared" si="4"/>
        <v>0.16</v>
      </c>
      <c r="F24" s="45"/>
      <c r="G24" s="25">
        <f>Rates!I163</f>
        <v>2.0000000000000001E-4</v>
      </c>
      <c r="H24" s="37">
        <f t="shared" si="6"/>
        <v>800</v>
      </c>
      <c r="I24" s="36">
        <f t="shared" si="5"/>
        <v>0.16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4" t="str">
        <f>Rates!B248</f>
        <v>Smart Meter Entity Charge</v>
      </c>
      <c r="C25" s="36">
        <f>Rates!E248</f>
        <v>0.79</v>
      </c>
      <c r="D25" s="37">
        <f>C6</f>
        <v>1</v>
      </c>
      <c r="E25" s="36">
        <f t="shared" si="4"/>
        <v>0.79</v>
      </c>
      <c r="F25" s="45"/>
      <c r="G25" s="36">
        <f>Rates!I248</f>
        <v>0.79</v>
      </c>
      <c r="H25" s="37">
        <f t="shared" si="6"/>
        <v>1</v>
      </c>
      <c r="I25" s="36">
        <f t="shared" si="5"/>
        <v>0.79</v>
      </c>
      <c r="J25" s="45"/>
      <c r="K25" s="36">
        <f t="shared" si="2"/>
        <v>0</v>
      </c>
      <c r="L25" s="47">
        <f t="shared" si="3"/>
        <v>0</v>
      </c>
    </row>
    <row r="26" spans="2:12" x14ac:dyDescent="0.2">
      <c r="B26" s="49" t="s">
        <v>56</v>
      </c>
      <c r="C26" s="50"/>
      <c r="D26" s="51"/>
      <c r="E26" s="52">
        <f>SUM(E16:E25)</f>
        <v>41.498137599999993</v>
      </c>
      <c r="F26" s="53"/>
      <c r="G26" s="50"/>
      <c r="H26" s="51"/>
      <c r="I26" s="52">
        <f>SUM(I16:I25)</f>
        <v>40.178137599999999</v>
      </c>
      <c r="J26" s="53"/>
      <c r="K26" s="54">
        <f t="shared" si="2"/>
        <v>-1.3199999999999932</v>
      </c>
      <c r="L26" s="55">
        <f t="shared" si="3"/>
        <v>-3.1808656396184715E-2</v>
      </c>
    </row>
    <row r="27" spans="2:12" x14ac:dyDescent="0.2">
      <c r="B27" s="44" t="str">
        <f>Rates!B15</f>
        <v>Retail Transmission Rate - Network Service Rate</v>
      </c>
      <c r="C27" s="25">
        <f>Rates!E170</f>
        <v>7.3000000000000001E-3</v>
      </c>
      <c r="D27" s="37">
        <f>C7*C5</f>
        <v>843.36</v>
      </c>
      <c r="E27" s="36">
        <f>C27*D27</f>
        <v>6.1565279999999998</v>
      </c>
      <c r="F27" s="45"/>
      <c r="G27" s="25">
        <f>Rates!I170</f>
        <v>7.1999999999999998E-3</v>
      </c>
      <c r="H27" s="37">
        <f>D27</f>
        <v>843.36</v>
      </c>
      <c r="I27" s="36">
        <f>G27*H27</f>
        <v>6.0721920000000003</v>
      </c>
      <c r="J27" s="45"/>
      <c r="K27" s="36">
        <f t="shared" si="2"/>
        <v>-8.4335999999999522E-2</v>
      </c>
      <c r="L27" s="47">
        <f t="shared" si="3"/>
        <v>-1.3698630136986224E-2</v>
      </c>
    </row>
    <row r="28" spans="2:12" x14ac:dyDescent="0.2">
      <c r="B28" s="44" t="str">
        <f>Rates!B16</f>
        <v>Retail Transmission Rate - Line and Transformation Connection Service Rate</v>
      </c>
      <c r="C28" s="25">
        <f>Rates!E171</f>
        <v>5.7000000000000002E-3</v>
      </c>
      <c r="D28" s="37">
        <f>C7*C5</f>
        <v>843.36</v>
      </c>
      <c r="E28" s="36">
        <f>C28*D28</f>
        <v>4.8071520000000003</v>
      </c>
      <c r="F28" s="45"/>
      <c r="G28" s="25">
        <f>Rates!I171</f>
        <v>5.7999999999999996E-3</v>
      </c>
      <c r="H28" s="37">
        <f>D28</f>
        <v>843.36</v>
      </c>
      <c r="I28" s="36">
        <f>G28*H28</f>
        <v>4.8914879999999998</v>
      </c>
      <c r="J28" s="45"/>
      <c r="K28" s="36">
        <f t="shared" si="2"/>
        <v>8.4335999999999522E-2</v>
      </c>
      <c r="L28" s="47">
        <f t="shared" si="3"/>
        <v>1.7543859649122705E-2</v>
      </c>
    </row>
    <row r="29" spans="2:12" x14ac:dyDescent="0.2">
      <c r="B29" s="49" t="s">
        <v>57</v>
      </c>
      <c r="C29" s="50"/>
      <c r="D29" s="51"/>
      <c r="E29" s="52">
        <f>SUM(E26:E28)</f>
        <v>52.461817599999996</v>
      </c>
      <c r="F29" s="53"/>
      <c r="G29" s="50"/>
      <c r="H29" s="52"/>
      <c r="I29" s="52">
        <f>SUM(I26:I28)</f>
        <v>51.141817600000003</v>
      </c>
      <c r="J29" s="53"/>
      <c r="K29" s="54">
        <f t="shared" si="2"/>
        <v>-1.3199999999999932</v>
      </c>
      <c r="L29" s="55">
        <f t="shared" si="3"/>
        <v>-2.5161156444568046E-2</v>
      </c>
    </row>
    <row r="30" spans="2:12" x14ac:dyDescent="0.2">
      <c r="B30" s="44" t="str">
        <f>Rates!B244</f>
        <v>Wholesale Market Service Rate</v>
      </c>
      <c r="C30" s="25">
        <f>Rates!E244</f>
        <v>4.4000000000000003E-3</v>
      </c>
      <c r="D30" s="37">
        <f>C5*C7</f>
        <v>843.36</v>
      </c>
      <c r="E30" s="36">
        <f t="shared" ref="E30:E37" si="9">C30*D30</f>
        <v>3.7107840000000003</v>
      </c>
      <c r="F30" s="45"/>
      <c r="G30" s="25">
        <f>Rates!I244</f>
        <v>3.5999999999999999E-3</v>
      </c>
      <c r="H30" s="37">
        <f>D30</f>
        <v>843.36</v>
      </c>
      <c r="I30" s="36">
        <f t="shared" ref="I30:I37" si="10">G30*H30</f>
        <v>3.0360960000000001</v>
      </c>
      <c r="J30" s="45"/>
      <c r="K30" s="36">
        <f t="shared" si="2"/>
        <v>-0.67468800000000018</v>
      </c>
      <c r="L30" s="47">
        <f t="shared" si="3"/>
        <v>-0.18181818181818185</v>
      </c>
    </row>
    <row r="31" spans="2:12" x14ac:dyDescent="0.2">
      <c r="B31" s="44" t="str">
        <f>Rates!B245</f>
        <v>Rural Rate Protection Charge</v>
      </c>
      <c r="C31" s="25">
        <f>Rates!E245</f>
        <v>1.2999999999999999E-3</v>
      </c>
      <c r="D31" s="37">
        <f>C5*C7</f>
        <v>843.36</v>
      </c>
      <c r="E31" s="36">
        <f t="shared" si="9"/>
        <v>1.096368</v>
      </c>
      <c r="F31" s="45"/>
      <c r="G31" s="25">
        <f>Rates!I245</f>
        <v>1.2999999999999999E-3</v>
      </c>
      <c r="H31" s="37">
        <f t="shared" ref="H31:H32" si="11">D31</f>
        <v>843.36</v>
      </c>
      <c r="I31" s="36">
        <f t="shared" si="10"/>
        <v>1.096368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Rates!B247</f>
        <v>Standard Supply Service - Administrative Charge (if applicable)</v>
      </c>
      <c r="C32" s="36">
        <f>Rates!E247</f>
        <v>0.25</v>
      </c>
      <c r="D32" s="37">
        <v>1</v>
      </c>
      <c r="E32" s="36">
        <f t="shared" si="9"/>
        <v>0.25</v>
      </c>
      <c r="F32" s="45"/>
      <c r="G32" s="36">
        <f>Rates!I247</f>
        <v>0.25</v>
      </c>
      <c r="H32" s="37">
        <f t="shared" si="11"/>
        <v>1</v>
      </c>
      <c r="I32" s="36">
        <f t="shared" si="10"/>
        <v>0.25</v>
      </c>
      <c r="J32" s="45"/>
      <c r="K32" s="36">
        <f t="shared" si="2"/>
        <v>0</v>
      </c>
      <c r="L32" s="47">
        <f t="shared" si="3"/>
        <v>0</v>
      </c>
    </row>
    <row r="33" spans="2:12" x14ac:dyDescent="0.2">
      <c r="B33" s="44" t="str">
        <f>Rates!B250</f>
        <v>Debt Retirement Charge</v>
      </c>
      <c r="C33" s="25">
        <f>Rates!E253</f>
        <v>7.0000000000000001E-3</v>
      </c>
      <c r="D33" s="37">
        <f>C7</f>
        <v>800</v>
      </c>
      <c r="E33" s="36">
        <f t="shared" si="9"/>
        <v>5.6000000000000005</v>
      </c>
      <c r="F33" s="45"/>
      <c r="G33" s="25">
        <f>Rates!I253</f>
        <v>0</v>
      </c>
      <c r="H33" s="37">
        <f>D33</f>
        <v>800</v>
      </c>
      <c r="I33" s="36">
        <f t="shared" si="10"/>
        <v>0</v>
      </c>
      <c r="J33" s="45"/>
      <c r="K33" s="36">
        <f t="shared" si="2"/>
        <v>-5.6000000000000005</v>
      </c>
      <c r="L33" s="47">
        <f t="shared" si="3"/>
        <v>-1</v>
      </c>
    </row>
    <row r="34" spans="2:12" x14ac:dyDescent="0.2">
      <c r="B34" s="44" t="str">
        <f>Rates!B246</f>
        <v>Ontario Electricity Support Program</v>
      </c>
      <c r="C34" s="25"/>
      <c r="D34" s="37"/>
      <c r="E34" s="36"/>
      <c r="F34" s="45"/>
      <c r="G34" s="25">
        <f>Rates!I246</f>
        <v>1.1000000000000001E-3</v>
      </c>
      <c r="H34" s="37">
        <f>C7</f>
        <v>800</v>
      </c>
      <c r="I34" s="36">
        <f t="shared" si="10"/>
        <v>0.88</v>
      </c>
      <c r="J34" s="45"/>
      <c r="K34" s="36"/>
      <c r="L34" s="47"/>
    </row>
    <row r="35" spans="2:12" x14ac:dyDescent="0.2">
      <c r="B35" s="44" t="str">
        <f>Rates!B263</f>
        <v>TOU - Off Peak</v>
      </c>
      <c r="C35" s="25">
        <f>Rates!E263</f>
        <v>8.3000000000000004E-2</v>
      </c>
      <c r="D35" s="37">
        <f>C7*0.64</f>
        <v>512</v>
      </c>
      <c r="E35" s="36">
        <f t="shared" si="9"/>
        <v>42.496000000000002</v>
      </c>
      <c r="F35" s="45"/>
      <c r="G35" s="25">
        <f>Rates!I263</f>
        <v>8.3000000000000004E-2</v>
      </c>
      <c r="H35" s="37">
        <f>D35</f>
        <v>512</v>
      </c>
      <c r="I35" s="36">
        <f t="shared" si="10"/>
        <v>42.496000000000002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Rates!B264</f>
        <v>TOU - Mid Peak</v>
      </c>
      <c r="C36" s="25">
        <f>Rates!E264</f>
        <v>0.128</v>
      </c>
      <c r="D36" s="37">
        <f>C7*0.18</f>
        <v>144</v>
      </c>
      <c r="E36" s="36">
        <f t="shared" si="9"/>
        <v>18.432000000000002</v>
      </c>
      <c r="F36" s="45"/>
      <c r="G36" s="25">
        <f>Rates!I264</f>
        <v>0.128</v>
      </c>
      <c r="H36" s="37">
        <f t="shared" ref="H36:H37" si="12">D36</f>
        <v>144</v>
      </c>
      <c r="I36" s="36">
        <f t="shared" si="10"/>
        <v>18.432000000000002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44" t="str">
        <f>Rates!B265</f>
        <v>TOU - On Peak</v>
      </c>
      <c r="C37" s="25">
        <f>Rates!E265</f>
        <v>0.17499999999999999</v>
      </c>
      <c r="D37" s="37">
        <f>C7*0.18</f>
        <v>144</v>
      </c>
      <c r="E37" s="36">
        <f t="shared" si="9"/>
        <v>25.2</v>
      </c>
      <c r="F37" s="45"/>
      <c r="G37" s="25">
        <f>Rates!I265</f>
        <v>0.17499999999999999</v>
      </c>
      <c r="H37" s="37">
        <f t="shared" si="12"/>
        <v>144</v>
      </c>
      <c r="I37" s="36">
        <f t="shared" si="10"/>
        <v>25.2</v>
      </c>
      <c r="J37" s="45"/>
      <c r="K37" s="36">
        <f t="shared" si="2"/>
        <v>0</v>
      </c>
      <c r="L37" s="47">
        <f t="shared" si="3"/>
        <v>0</v>
      </c>
    </row>
    <row r="38" spans="2:12" x14ac:dyDescent="0.2">
      <c r="B38" s="56"/>
      <c r="C38" s="51"/>
      <c r="D38" s="51"/>
      <c r="E38" s="51"/>
      <c r="F38" s="53"/>
      <c r="G38" s="51"/>
      <c r="H38" s="51"/>
      <c r="I38" s="51"/>
      <c r="J38" s="53"/>
      <c r="K38" s="54"/>
      <c r="L38" s="55"/>
    </row>
    <row r="39" spans="2:12" x14ac:dyDescent="0.2">
      <c r="B39" s="23" t="s">
        <v>58</v>
      </c>
      <c r="C39" s="35"/>
      <c r="D39" s="35"/>
      <c r="E39" s="39">
        <f>SUM(E29:E37)</f>
        <v>149.2469696</v>
      </c>
      <c r="F39" s="45"/>
      <c r="G39" s="35"/>
      <c r="H39" s="39"/>
      <c r="I39" s="39">
        <f>SUM(I29:I37)</f>
        <v>142.5322816</v>
      </c>
      <c r="J39" s="45"/>
      <c r="K39" s="36">
        <f t="shared" si="2"/>
        <v>-6.7146879999999953</v>
      </c>
      <c r="L39" s="47">
        <f t="shared" si="3"/>
        <v>-4.4990447832851645E-2</v>
      </c>
    </row>
    <row r="40" spans="2:12" x14ac:dyDescent="0.2">
      <c r="B40" s="44" t="str">
        <f>Rates!B269</f>
        <v>HST</v>
      </c>
      <c r="C40" s="41">
        <f>Rates!E269</f>
        <v>0.13</v>
      </c>
      <c r="D40" s="35"/>
      <c r="E40" s="42">
        <f>E39*C40</f>
        <v>19.402106048</v>
      </c>
      <c r="F40" s="45"/>
      <c r="G40" s="41">
        <f>Rates!I269</f>
        <v>0.13</v>
      </c>
      <c r="H40" s="35"/>
      <c r="I40" s="42">
        <f>I39*G40</f>
        <v>18.529196607999999</v>
      </c>
      <c r="J40" s="45"/>
      <c r="K40" s="36">
        <f t="shared" si="2"/>
        <v>-0.87290944000000081</v>
      </c>
      <c r="L40" s="47">
        <f t="shared" si="3"/>
        <v>-4.4990447832851714E-2</v>
      </c>
    </row>
    <row r="41" spans="2:12" x14ac:dyDescent="0.2">
      <c r="B41" s="23" t="s">
        <v>59</v>
      </c>
      <c r="C41" s="35"/>
      <c r="D41" s="35"/>
      <c r="E41" s="42">
        <f>E39+E40</f>
        <v>168.64907564800001</v>
      </c>
      <c r="F41" s="45"/>
      <c r="G41" s="35"/>
      <c r="H41" s="35"/>
      <c r="I41" s="42">
        <f>I39+I40</f>
        <v>161.06147820800001</v>
      </c>
      <c r="J41" s="45"/>
      <c r="K41" s="36">
        <f t="shared" si="2"/>
        <v>-7.5875974399999961</v>
      </c>
      <c r="L41" s="47">
        <f t="shared" si="3"/>
        <v>-4.4990447832851652E-2</v>
      </c>
    </row>
    <row r="42" spans="2:12" x14ac:dyDescent="0.2">
      <c r="B42" s="44" t="str">
        <f>Rates!B271</f>
        <v>OCEB</v>
      </c>
      <c r="C42" s="41">
        <f>Rates!E271</f>
        <v>-0.1</v>
      </c>
      <c r="D42" s="35"/>
      <c r="E42" s="42">
        <f>E41*C42</f>
        <v>-16.864907564800003</v>
      </c>
      <c r="F42" s="45"/>
      <c r="G42" s="41">
        <f>Rates!I271</f>
        <v>0</v>
      </c>
      <c r="H42" s="35"/>
      <c r="I42" s="42">
        <f>I41*G42</f>
        <v>0</v>
      </c>
      <c r="J42" s="45"/>
      <c r="K42" s="36">
        <f t="shared" si="2"/>
        <v>16.864907564800003</v>
      </c>
      <c r="L42" s="47">
        <f t="shared" si="3"/>
        <v>-1</v>
      </c>
    </row>
    <row r="43" spans="2:12" ht="13.5" thickBot="1" x14ac:dyDescent="0.25">
      <c r="B43" s="30" t="s">
        <v>60</v>
      </c>
      <c r="C43" s="57"/>
      <c r="D43" s="57"/>
      <c r="E43" s="58">
        <f>E41+E42</f>
        <v>151.7841680832</v>
      </c>
      <c r="F43" s="59"/>
      <c r="G43" s="57"/>
      <c r="H43" s="57"/>
      <c r="I43" s="58">
        <f>I41+I42</f>
        <v>161.06147820800001</v>
      </c>
      <c r="J43" s="59"/>
      <c r="K43" s="60">
        <f t="shared" si="2"/>
        <v>9.2773101248000103</v>
      </c>
      <c r="L43" s="61">
        <f t="shared" si="3"/>
        <v>6.1121724630164874E-2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L43"/>
  <sheetViews>
    <sheetView showGridLines="0" topLeftCell="A13" workbookViewId="0">
      <selection activeCell="B29" sqref="B29"/>
    </sheetView>
  </sheetViews>
  <sheetFormatPr defaultRowHeight="12.75" x14ac:dyDescent="0.2"/>
  <cols>
    <col min="1" max="1" width="2" customWidth="1"/>
    <col min="2" max="2" width="89.140625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Rates!B158</f>
        <v>CNPI - Port Colborne</v>
      </c>
    </row>
    <row r="3" spans="2:12" ht="15.75" x14ac:dyDescent="0.25">
      <c r="B3" s="24" t="str">
        <f>Rates!B159</f>
        <v>Residential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210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Rates!E160</f>
        <v>18.760000000000002</v>
      </c>
      <c r="D14" s="37">
        <f>C6</f>
        <v>1</v>
      </c>
      <c r="E14" s="36">
        <f>C14*D14</f>
        <v>18.760000000000002</v>
      </c>
      <c r="F14" s="45"/>
      <c r="G14" s="36">
        <f>Rates!I160</f>
        <v>23.44</v>
      </c>
      <c r="H14" s="37">
        <f>D14</f>
        <v>1</v>
      </c>
      <c r="I14" s="36">
        <f>G14*H14</f>
        <v>23.44</v>
      </c>
      <c r="J14" s="45"/>
      <c r="K14" s="36">
        <f>I14-E14</f>
        <v>4.68</v>
      </c>
      <c r="L14" s="47">
        <f>IF((E14)=0," ",K14/E14)</f>
        <v>0.24946695095948823</v>
      </c>
    </row>
    <row r="15" spans="2:12" x14ac:dyDescent="0.2">
      <c r="B15" s="44" t="str">
        <f>Rates!B8</f>
        <v>Distribution Volumetric Rate</v>
      </c>
      <c r="C15" s="25">
        <f>Rates!E162</f>
        <v>2.1299999999999999E-2</v>
      </c>
      <c r="D15" s="38">
        <f>C7</f>
        <v>210</v>
      </c>
      <c r="E15" s="36">
        <f t="shared" ref="E15" si="0">C15*D15</f>
        <v>4.4729999999999999</v>
      </c>
      <c r="F15" s="45"/>
      <c r="G15" s="25">
        <f>Rates!I162</f>
        <v>1.52E-2</v>
      </c>
      <c r="H15" s="38">
        <f>D15</f>
        <v>210</v>
      </c>
      <c r="I15" s="36">
        <f t="shared" ref="I15" si="1">G15*H15</f>
        <v>3.1920000000000002</v>
      </c>
      <c r="J15" s="45"/>
      <c r="K15" s="36">
        <f t="shared" ref="K15:K43" si="2">I15-E15</f>
        <v>-1.2809999999999997</v>
      </c>
      <c r="L15" s="47">
        <f t="shared" ref="L15:L43" si="3">IF((E15)=0," ",K15/E15)</f>
        <v>-0.28638497652582151</v>
      </c>
    </row>
    <row r="16" spans="2:12" x14ac:dyDescent="0.2">
      <c r="B16" s="49" t="s">
        <v>36</v>
      </c>
      <c r="C16" s="50"/>
      <c r="D16" s="51"/>
      <c r="E16" s="52">
        <f>SUM(E14:E15)</f>
        <v>23.233000000000001</v>
      </c>
      <c r="F16" s="53"/>
      <c r="G16" s="50"/>
      <c r="H16" s="51"/>
      <c r="I16" s="52">
        <f>SUM(I14:I15)</f>
        <v>26.632000000000001</v>
      </c>
      <c r="J16" s="53"/>
      <c r="K16" s="54">
        <f t="shared" si="2"/>
        <v>3.3990000000000009</v>
      </c>
      <c r="L16" s="55">
        <f t="shared" si="3"/>
        <v>0.14630052081091555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11.382000000000005</v>
      </c>
      <c r="E17" s="36">
        <f t="shared" ref="E17:E25" si="4">C17*D17</f>
        <v>1.2253861200000007</v>
      </c>
      <c r="F17" s="45"/>
      <c r="G17" s="25">
        <f>Rates!I267</f>
        <v>0.10766000000000001</v>
      </c>
      <c r="H17" s="40">
        <f>(C5-1)*C7</f>
        <v>11.382000000000005</v>
      </c>
      <c r="I17" s="36">
        <f t="shared" ref="I17:I25" si="5">G17*H17</f>
        <v>1.2253861200000007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Rates!B164</f>
        <v>Rate Rider for Deferral/Variance Account Disposition (2015) - effective until December 31, 2016</v>
      </c>
      <c r="C18" s="25">
        <f>Rates!E164</f>
        <v>-6.9999999999999999E-4</v>
      </c>
      <c r="D18" s="37">
        <f>C7</f>
        <v>210</v>
      </c>
      <c r="E18" s="36">
        <f t="shared" si="4"/>
        <v>-0.14699999999999999</v>
      </c>
      <c r="F18" s="45"/>
      <c r="G18" s="25">
        <f>Rates!I164</f>
        <v>-6.9999999999999999E-4</v>
      </c>
      <c r="H18" s="37">
        <f t="shared" ref="H18:H25" si="6">D18</f>
        <v>210</v>
      </c>
      <c r="I18" s="36">
        <f t="shared" si="5"/>
        <v>-0.14699999999999999</v>
      </c>
      <c r="J18" s="45"/>
      <c r="K18" s="36">
        <f t="shared" si="2"/>
        <v>0</v>
      </c>
      <c r="L18" s="47">
        <f t="shared" si="3"/>
        <v>0</v>
      </c>
    </row>
    <row r="19" spans="2:12" ht="25.5" x14ac:dyDescent="0.2">
      <c r="B19" s="48" t="str">
        <f>Rates!B165</f>
        <v>Rate Rider for Global Adjustment Sub-Account Disposition (2015) - effective until December 31, 2016 Applicable only for Non-RPP Customers</v>
      </c>
      <c r="C19" s="25">
        <f>Rates!E165</f>
        <v>-2.3E-3</v>
      </c>
      <c r="D19" s="37"/>
      <c r="E19" s="36">
        <f t="shared" si="4"/>
        <v>0</v>
      </c>
      <c r="F19" s="45"/>
      <c r="G19" s="25">
        <f>Rates!I165</f>
        <v>-2.3E-3</v>
      </c>
      <c r="H19" s="37">
        <f t="shared" si="6"/>
        <v>0</v>
      </c>
      <c r="I19" s="36">
        <f t="shared" si="5"/>
        <v>0</v>
      </c>
      <c r="J19" s="45"/>
      <c r="K19" s="36">
        <f t="shared" si="2"/>
        <v>0</v>
      </c>
      <c r="L19" s="47" t="str">
        <f t="shared" si="3"/>
        <v xml:space="preserve"> </v>
      </c>
    </row>
    <row r="20" spans="2:12" x14ac:dyDescent="0.2">
      <c r="B20" s="48" t="str">
        <f>Rates!B166</f>
        <v>Rate Rider for Deferral/Variance Account Disposition (2016) - effective until December 31, 2017</v>
      </c>
      <c r="C20" s="25">
        <f>Rates!E166</f>
        <v>0</v>
      </c>
      <c r="D20" s="37">
        <f>C7</f>
        <v>210</v>
      </c>
      <c r="E20" s="36">
        <f t="shared" si="4"/>
        <v>0</v>
      </c>
      <c r="F20" s="45"/>
      <c r="G20" s="25">
        <f>Rates!I166</f>
        <v>-1.2999999999999999E-3</v>
      </c>
      <c r="H20" s="37">
        <f t="shared" si="6"/>
        <v>210</v>
      </c>
      <c r="I20" s="36">
        <f t="shared" si="5"/>
        <v>-0.27299999999999996</v>
      </c>
      <c r="J20" s="45"/>
      <c r="K20" s="36">
        <f t="shared" si="2"/>
        <v>-0.27299999999999996</v>
      </c>
      <c r="L20" s="47" t="str">
        <f t="shared" si="3"/>
        <v xml:space="preserve"> </v>
      </c>
    </row>
    <row r="21" spans="2:12" ht="25.5" x14ac:dyDescent="0.2">
      <c r="B21" s="48" t="str">
        <f>Rates!B167</f>
        <v>Rate Rider for Global Adjustment Sub-Account Disposition (2016) - effective until December 31, 2017 Applicable only for Non-RPP Customers</v>
      </c>
      <c r="C21" s="25">
        <f>Rates!E167</f>
        <v>0</v>
      </c>
      <c r="D21" s="37"/>
      <c r="E21" s="36">
        <f t="shared" si="4"/>
        <v>0</v>
      </c>
      <c r="F21" s="45"/>
      <c r="G21" s="25">
        <f>Rates!I167</f>
        <v>1.9E-3</v>
      </c>
      <c r="H21" s="37">
        <f t="shared" si="6"/>
        <v>0</v>
      </c>
      <c r="I21" s="36">
        <f t="shared" si="5"/>
        <v>0</v>
      </c>
      <c r="J21" s="45"/>
      <c r="K21" s="36">
        <f t="shared" si="2"/>
        <v>0</v>
      </c>
      <c r="L21" s="47" t="str">
        <f t="shared" si="3"/>
        <v xml:space="preserve"> </v>
      </c>
    </row>
    <row r="22" spans="2:12" x14ac:dyDescent="0.2">
      <c r="B22" s="44" t="str">
        <f>Rates!B168</f>
        <v>Rate Rider for the Disposition of Deferred PILs Variance Account 1562 - effective until December 31, 2016</v>
      </c>
      <c r="C22" s="25">
        <f>Rates!E168</f>
        <v>6.9999999999999999E-4</v>
      </c>
      <c r="D22" s="37">
        <f>C7</f>
        <v>210</v>
      </c>
      <c r="E22" s="36">
        <f t="shared" si="4"/>
        <v>0.14699999999999999</v>
      </c>
      <c r="F22" s="45"/>
      <c r="G22" s="25">
        <f>Rates!I168</f>
        <v>6.9999999999999999E-4</v>
      </c>
      <c r="H22" s="37">
        <f t="shared" si="6"/>
        <v>210</v>
      </c>
      <c r="I22" s="36">
        <f t="shared" si="5"/>
        <v>0.14699999999999999</v>
      </c>
      <c r="J22" s="45"/>
      <c r="K22" s="36">
        <f t="shared" si="2"/>
        <v>0</v>
      </c>
      <c r="L22" s="47">
        <f t="shared" si="3"/>
        <v>0</v>
      </c>
    </row>
    <row r="23" spans="2:12" x14ac:dyDescent="0.2">
      <c r="B23" s="48" t="str">
        <f>Rates!B169</f>
        <v>Rate Rider for Loss Revenue Adjustment Mechanism (LRAM) - effective until December 31, 2015</v>
      </c>
      <c r="C23" s="25">
        <f>Rates!E169</f>
        <v>1E-4</v>
      </c>
      <c r="D23" s="37">
        <f>C7</f>
        <v>210</v>
      </c>
      <c r="E23" s="36">
        <f t="shared" si="4"/>
        <v>2.1000000000000001E-2</v>
      </c>
      <c r="F23" s="45"/>
      <c r="G23" s="25">
        <f>Rates!I169</f>
        <v>0</v>
      </c>
      <c r="H23" s="37">
        <f t="shared" si="6"/>
        <v>210</v>
      </c>
      <c r="I23" s="36">
        <f t="shared" si="5"/>
        <v>0</v>
      </c>
      <c r="J23" s="45"/>
      <c r="K23" s="36">
        <f t="shared" si="2"/>
        <v>-2.1000000000000001E-2</v>
      </c>
      <c r="L23" s="47">
        <f t="shared" si="3"/>
        <v>-1</v>
      </c>
    </row>
    <row r="24" spans="2:12" x14ac:dyDescent="0.2">
      <c r="B24" s="44" t="str">
        <f>Rates!B9</f>
        <v>Low Voltage Service Rate</v>
      </c>
      <c r="C24" s="25">
        <f>Rates!E163</f>
        <v>2.0000000000000001E-4</v>
      </c>
      <c r="D24" s="37">
        <f>C7</f>
        <v>210</v>
      </c>
      <c r="E24" s="36">
        <f t="shared" si="4"/>
        <v>4.2000000000000003E-2</v>
      </c>
      <c r="F24" s="45"/>
      <c r="G24" s="25">
        <f>Rates!I163</f>
        <v>2.0000000000000001E-4</v>
      </c>
      <c r="H24" s="37">
        <f t="shared" si="6"/>
        <v>210</v>
      </c>
      <c r="I24" s="36">
        <f t="shared" si="5"/>
        <v>4.2000000000000003E-2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4" t="str">
        <f>Rates!B248</f>
        <v>Smart Meter Entity Charge</v>
      </c>
      <c r="C25" s="36">
        <f>Rates!E248</f>
        <v>0.79</v>
      </c>
      <c r="D25" s="37">
        <f>C6</f>
        <v>1</v>
      </c>
      <c r="E25" s="36">
        <f t="shared" si="4"/>
        <v>0.79</v>
      </c>
      <c r="F25" s="45"/>
      <c r="G25" s="36">
        <f>Rates!I248</f>
        <v>0.79</v>
      </c>
      <c r="H25" s="37">
        <f t="shared" si="6"/>
        <v>1</v>
      </c>
      <c r="I25" s="36">
        <f t="shared" si="5"/>
        <v>0.79</v>
      </c>
      <c r="J25" s="45"/>
      <c r="K25" s="36">
        <f t="shared" si="2"/>
        <v>0</v>
      </c>
      <c r="L25" s="47">
        <f t="shared" si="3"/>
        <v>0</v>
      </c>
    </row>
    <row r="26" spans="2:12" x14ac:dyDescent="0.2">
      <c r="B26" s="49" t="s">
        <v>56</v>
      </c>
      <c r="C26" s="50"/>
      <c r="D26" s="51"/>
      <c r="E26" s="52">
        <f>SUM(E16:E25)</f>
        <v>25.311386120000002</v>
      </c>
      <c r="F26" s="53"/>
      <c r="G26" s="50"/>
      <c r="H26" s="51"/>
      <c r="I26" s="52">
        <f>SUM(I16:I25)</f>
        <v>28.416386120000002</v>
      </c>
      <c r="J26" s="53"/>
      <c r="K26" s="54">
        <f t="shared" si="2"/>
        <v>3.1050000000000004</v>
      </c>
      <c r="L26" s="55">
        <f t="shared" si="3"/>
        <v>0.12267206486754034</v>
      </c>
    </row>
    <row r="27" spans="2:12" x14ac:dyDescent="0.2">
      <c r="B27" s="44" t="str">
        <f>Rates!B15</f>
        <v>Retail Transmission Rate - Network Service Rate</v>
      </c>
      <c r="C27" s="25">
        <f>Rates!E170</f>
        <v>7.3000000000000001E-3</v>
      </c>
      <c r="D27" s="37">
        <f>C7*C5</f>
        <v>221.38200000000001</v>
      </c>
      <c r="E27" s="36">
        <f>C27*D27</f>
        <v>1.6160886000000001</v>
      </c>
      <c r="F27" s="45"/>
      <c r="G27" s="25">
        <f>Rates!I170</f>
        <v>7.1999999999999998E-3</v>
      </c>
      <c r="H27" s="37">
        <f>D27</f>
        <v>221.38200000000001</v>
      </c>
      <c r="I27" s="36">
        <f>G27*H27</f>
        <v>1.5939504</v>
      </c>
      <c r="J27" s="45"/>
      <c r="K27" s="36">
        <f t="shared" si="2"/>
        <v>-2.2138200000000108E-2</v>
      </c>
      <c r="L27" s="47">
        <f t="shared" si="3"/>
        <v>-1.3698630136986367E-2</v>
      </c>
    </row>
    <row r="28" spans="2:12" x14ac:dyDescent="0.2">
      <c r="B28" s="44" t="str">
        <f>Rates!B16</f>
        <v>Retail Transmission Rate - Line and Transformation Connection Service Rate</v>
      </c>
      <c r="C28" s="25">
        <f>Rates!E171</f>
        <v>5.7000000000000002E-3</v>
      </c>
      <c r="D28" s="37">
        <f>C7*C5</f>
        <v>221.38200000000001</v>
      </c>
      <c r="E28" s="36">
        <f>C28*D28</f>
        <v>1.2618774000000001</v>
      </c>
      <c r="F28" s="45"/>
      <c r="G28" s="25">
        <f>Rates!I171</f>
        <v>5.7999999999999996E-3</v>
      </c>
      <c r="H28" s="37">
        <f>D28</f>
        <v>221.38200000000001</v>
      </c>
      <c r="I28" s="36">
        <f>G28*H28</f>
        <v>1.2840156</v>
      </c>
      <c r="J28" s="45"/>
      <c r="K28" s="36">
        <f t="shared" si="2"/>
        <v>2.2138199999999886E-2</v>
      </c>
      <c r="L28" s="47">
        <f t="shared" si="3"/>
        <v>1.7543859649122716E-2</v>
      </c>
    </row>
    <row r="29" spans="2:12" x14ac:dyDescent="0.2">
      <c r="B29" s="49" t="s">
        <v>57</v>
      </c>
      <c r="C29" s="50"/>
      <c r="D29" s="51"/>
      <c r="E29" s="52">
        <f>SUM(E26:E28)</f>
        <v>28.189352120000002</v>
      </c>
      <c r="F29" s="53"/>
      <c r="G29" s="50"/>
      <c r="H29" s="52"/>
      <c r="I29" s="52">
        <f>SUM(I26:I28)</f>
        <v>31.294352120000003</v>
      </c>
      <c r="J29" s="53"/>
      <c r="K29" s="54">
        <f t="shared" si="2"/>
        <v>3.1050000000000004</v>
      </c>
      <c r="L29" s="55">
        <f t="shared" si="3"/>
        <v>0.11014797313475824</v>
      </c>
    </row>
    <row r="30" spans="2:12" x14ac:dyDescent="0.2">
      <c r="B30" s="44" t="str">
        <f>Rates!B244</f>
        <v>Wholesale Market Service Rate</v>
      </c>
      <c r="C30" s="25">
        <f>Rates!E244</f>
        <v>4.4000000000000003E-3</v>
      </c>
      <c r="D30" s="37">
        <f>C5*C7</f>
        <v>221.38200000000001</v>
      </c>
      <c r="E30" s="36">
        <f t="shared" ref="E30:E37" si="7">C30*D30</f>
        <v>0.97408080000000008</v>
      </c>
      <c r="F30" s="45"/>
      <c r="G30" s="25">
        <f>Rates!I244</f>
        <v>3.5999999999999999E-3</v>
      </c>
      <c r="H30" s="37">
        <f>D30</f>
        <v>221.38200000000001</v>
      </c>
      <c r="I30" s="36">
        <f t="shared" ref="I30:I37" si="8">G30*H30</f>
        <v>0.79697519999999999</v>
      </c>
      <c r="J30" s="45"/>
      <c r="K30" s="36">
        <f t="shared" si="2"/>
        <v>-0.17710560000000009</v>
      </c>
      <c r="L30" s="47">
        <f t="shared" si="3"/>
        <v>-0.18181818181818188</v>
      </c>
    </row>
    <row r="31" spans="2:12" x14ac:dyDescent="0.2">
      <c r="B31" s="44" t="str">
        <f>Rates!B245</f>
        <v>Rural Rate Protection Charge</v>
      </c>
      <c r="C31" s="25">
        <f>Rates!E245</f>
        <v>1.2999999999999999E-3</v>
      </c>
      <c r="D31" s="37">
        <f>C5*C7</f>
        <v>221.38200000000001</v>
      </c>
      <c r="E31" s="36">
        <f t="shared" si="7"/>
        <v>0.28779660000000001</v>
      </c>
      <c r="F31" s="45"/>
      <c r="G31" s="25">
        <f>Rates!I245</f>
        <v>1.2999999999999999E-3</v>
      </c>
      <c r="H31" s="37">
        <f t="shared" ref="H31:H32" si="9">D31</f>
        <v>221.38200000000001</v>
      </c>
      <c r="I31" s="36">
        <f t="shared" si="8"/>
        <v>0.28779660000000001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Rates!B247</f>
        <v>Standard Supply Service - Administrative Charge (if applicable)</v>
      </c>
      <c r="C32" s="36">
        <f>Rates!E247</f>
        <v>0.25</v>
      </c>
      <c r="D32" s="37">
        <v>1</v>
      </c>
      <c r="E32" s="36">
        <f t="shared" si="7"/>
        <v>0.25</v>
      </c>
      <c r="F32" s="45"/>
      <c r="G32" s="36">
        <f>Rates!I247</f>
        <v>0.25</v>
      </c>
      <c r="H32" s="37">
        <f t="shared" si="9"/>
        <v>1</v>
      </c>
      <c r="I32" s="36">
        <f t="shared" si="8"/>
        <v>0.25</v>
      </c>
      <c r="J32" s="45"/>
      <c r="K32" s="36">
        <f t="shared" si="2"/>
        <v>0</v>
      </c>
      <c r="L32" s="47">
        <f t="shared" si="3"/>
        <v>0</v>
      </c>
    </row>
    <row r="33" spans="2:12" x14ac:dyDescent="0.2">
      <c r="B33" s="44" t="str">
        <f>Rates!B250</f>
        <v>Debt Retirement Charge</v>
      </c>
      <c r="C33" s="25">
        <f>Rates!E253</f>
        <v>7.0000000000000001E-3</v>
      </c>
      <c r="D33" s="37">
        <f>C7</f>
        <v>210</v>
      </c>
      <c r="E33" s="36">
        <f t="shared" si="7"/>
        <v>1.47</v>
      </c>
      <c r="F33" s="45"/>
      <c r="G33" s="25">
        <f>Rates!I253</f>
        <v>0</v>
      </c>
      <c r="H33" s="37">
        <f>D33</f>
        <v>210</v>
      </c>
      <c r="I33" s="36">
        <f t="shared" si="8"/>
        <v>0</v>
      </c>
      <c r="J33" s="45"/>
      <c r="K33" s="36">
        <f t="shared" si="2"/>
        <v>-1.47</v>
      </c>
      <c r="L33" s="47">
        <f t="shared" si="3"/>
        <v>-1</v>
      </c>
    </row>
    <row r="34" spans="2:12" x14ac:dyDescent="0.2">
      <c r="B34" s="44" t="str">
        <f>Rates!B246</f>
        <v>Ontario Electricity Support Program</v>
      </c>
      <c r="C34" s="25"/>
      <c r="D34" s="37"/>
      <c r="E34" s="36"/>
      <c r="F34" s="45"/>
      <c r="G34" s="25">
        <f>Rates!I246</f>
        <v>1.1000000000000001E-3</v>
      </c>
      <c r="H34" s="37">
        <f>C7</f>
        <v>210</v>
      </c>
      <c r="I34" s="36">
        <f t="shared" si="8"/>
        <v>0.23100000000000001</v>
      </c>
      <c r="J34" s="45"/>
      <c r="K34" s="36"/>
      <c r="L34" s="47"/>
    </row>
    <row r="35" spans="2:12" x14ac:dyDescent="0.2">
      <c r="B35" s="44" t="str">
        <f>Rates!B263</f>
        <v>TOU - Off Peak</v>
      </c>
      <c r="C35" s="25">
        <f>Rates!E263</f>
        <v>8.3000000000000004E-2</v>
      </c>
      <c r="D35" s="37">
        <f>C7*0.64</f>
        <v>134.4</v>
      </c>
      <c r="E35" s="36">
        <f t="shared" si="7"/>
        <v>11.155200000000001</v>
      </c>
      <c r="F35" s="45"/>
      <c r="G35" s="25">
        <f>Rates!I263</f>
        <v>8.3000000000000004E-2</v>
      </c>
      <c r="H35" s="37">
        <f>D35</f>
        <v>134.4</v>
      </c>
      <c r="I35" s="36">
        <f t="shared" si="8"/>
        <v>11.155200000000001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Rates!B264</f>
        <v>TOU - Mid Peak</v>
      </c>
      <c r="C36" s="25">
        <f>Rates!E264</f>
        <v>0.128</v>
      </c>
      <c r="D36" s="37">
        <f>C7*0.18</f>
        <v>37.799999999999997</v>
      </c>
      <c r="E36" s="36">
        <f t="shared" si="7"/>
        <v>4.8384</v>
      </c>
      <c r="F36" s="45"/>
      <c r="G36" s="25">
        <f>Rates!I264</f>
        <v>0.128</v>
      </c>
      <c r="H36" s="37">
        <f t="shared" ref="H36:H37" si="10">D36</f>
        <v>37.799999999999997</v>
      </c>
      <c r="I36" s="36">
        <f t="shared" si="8"/>
        <v>4.8384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44" t="str">
        <f>Rates!B265</f>
        <v>TOU - On Peak</v>
      </c>
      <c r="C37" s="25">
        <f>Rates!E265</f>
        <v>0.17499999999999999</v>
      </c>
      <c r="D37" s="37">
        <f>C7*0.18</f>
        <v>37.799999999999997</v>
      </c>
      <c r="E37" s="36">
        <f t="shared" si="7"/>
        <v>6.6149999999999993</v>
      </c>
      <c r="F37" s="45"/>
      <c r="G37" s="25">
        <f>Rates!I265</f>
        <v>0.17499999999999999</v>
      </c>
      <c r="H37" s="37">
        <f t="shared" si="10"/>
        <v>37.799999999999997</v>
      </c>
      <c r="I37" s="36">
        <f t="shared" si="8"/>
        <v>6.6149999999999993</v>
      </c>
      <c r="J37" s="45"/>
      <c r="K37" s="36">
        <f t="shared" si="2"/>
        <v>0</v>
      </c>
      <c r="L37" s="47">
        <f t="shared" si="3"/>
        <v>0</v>
      </c>
    </row>
    <row r="38" spans="2:12" x14ac:dyDescent="0.2">
      <c r="B38" s="56"/>
      <c r="C38" s="51"/>
      <c r="D38" s="51"/>
      <c r="E38" s="51"/>
      <c r="F38" s="53"/>
      <c r="G38" s="51"/>
      <c r="H38" s="51"/>
      <c r="I38" s="51"/>
      <c r="J38" s="53"/>
      <c r="K38" s="54"/>
      <c r="L38" s="55"/>
    </row>
    <row r="39" spans="2:12" x14ac:dyDescent="0.2">
      <c r="B39" s="23" t="s">
        <v>58</v>
      </c>
      <c r="C39" s="35"/>
      <c r="D39" s="35"/>
      <c r="E39" s="39">
        <f>SUM(E29:E37)</f>
        <v>53.779829520000007</v>
      </c>
      <c r="F39" s="45"/>
      <c r="G39" s="35"/>
      <c r="H39" s="39"/>
      <c r="I39" s="39">
        <f>SUM(I29:I37)</f>
        <v>55.468723920000009</v>
      </c>
      <c r="J39" s="45"/>
      <c r="K39" s="36">
        <f t="shared" si="2"/>
        <v>1.6888944000000023</v>
      </c>
      <c r="L39" s="47">
        <f t="shared" si="3"/>
        <v>3.140386302957552E-2</v>
      </c>
    </row>
    <row r="40" spans="2:12" x14ac:dyDescent="0.2">
      <c r="B40" s="44" t="str">
        <f>Rates!B269</f>
        <v>HST</v>
      </c>
      <c r="C40" s="41">
        <f>Rates!E269</f>
        <v>0.13</v>
      </c>
      <c r="D40" s="35"/>
      <c r="E40" s="42">
        <f>E39*C40</f>
        <v>6.9913778376000009</v>
      </c>
      <c r="F40" s="45"/>
      <c r="G40" s="41">
        <f>Rates!I269</f>
        <v>0.13</v>
      </c>
      <c r="H40" s="35"/>
      <c r="I40" s="42">
        <f>I39*G40</f>
        <v>7.210934109600001</v>
      </c>
      <c r="J40" s="45"/>
      <c r="K40" s="36">
        <f t="shared" si="2"/>
        <v>0.21955627200000016</v>
      </c>
      <c r="L40" s="47">
        <f t="shared" si="3"/>
        <v>3.1403863029575499E-2</v>
      </c>
    </row>
    <row r="41" spans="2:12" x14ac:dyDescent="0.2">
      <c r="B41" s="23" t="s">
        <v>59</v>
      </c>
      <c r="C41" s="35"/>
      <c r="D41" s="35"/>
      <c r="E41" s="42">
        <f>E39+E40</f>
        <v>60.771207357600005</v>
      </c>
      <c r="F41" s="45"/>
      <c r="G41" s="35"/>
      <c r="H41" s="35"/>
      <c r="I41" s="42">
        <f>I39+I40</f>
        <v>62.679658029600013</v>
      </c>
      <c r="J41" s="45"/>
      <c r="K41" s="36">
        <f t="shared" si="2"/>
        <v>1.9084506720000078</v>
      </c>
      <c r="L41" s="47">
        <f t="shared" si="3"/>
        <v>3.1403863029575603E-2</v>
      </c>
    </row>
    <row r="42" spans="2:12" x14ac:dyDescent="0.2">
      <c r="B42" s="44" t="str">
        <f>Rates!B271</f>
        <v>OCEB</v>
      </c>
      <c r="C42" s="41">
        <f>Rates!E271</f>
        <v>-0.1</v>
      </c>
      <c r="D42" s="35"/>
      <c r="E42" s="42">
        <f>E41*C42</f>
        <v>-6.0771207357600012</v>
      </c>
      <c r="F42" s="45"/>
      <c r="G42" s="41">
        <f>Rates!I271</f>
        <v>0</v>
      </c>
      <c r="H42" s="35"/>
      <c r="I42" s="42">
        <f>I41*G42</f>
        <v>0</v>
      </c>
      <c r="J42" s="45"/>
      <c r="K42" s="36">
        <f t="shared" si="2"/>
        <v>6.0771207357600012</v>
      </c>
      <c r="L42" s="47">
        <f t="shared" si="3"/>
        <v>-1</v>
      </c>
    </row>
    <row r="43" spans="2:12" ht="13.5" thickBot="1" x14ac:dyDescent="0.25">
      <c r="B43" s="30" t="s">
        <v>60</v>
      </c>
      <c r="C43" s="57"/>
      <c r="D43" s="57"/>
      <c r="E43" s="58">
        <f>E41+E42</f>
        <v>54.69408662184</v>
      </c>
      <c r="F43" s="59"/>
      <c r="G43" s="57"/>
      <c r="H43" s="57"/>
      <c r="I43" s="58">
        <f>I41+I42</f>
        <v>62.679658029600013</v>
      </c>
      <c r="J43" s="59"/>
      <c r="K43" s="60">
        <f t="shared" si="2"/>
        <v>7.9855714077600126</v>
      </c>
      <c r="L43" s="61">
        <f t="shared" si="3"/>
        <v>0.1460042922550841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L43"/>
  <sheetViews>
    <sheetView showGridLines="0" workbookViewId="0">
      <selection activeCell="C3" sqref="C3"/>
    </sheetView>
  </sheetViews>
  <sheetFormatPr defaultRowHeight="12.75" x14ac:dyDescent="0.2"/>
  <cols>
    <col min="1" max="1" width="2" customWidth="1"/>
    <col min="2" max="2" width="89.140625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Rates!B158</f>
        <v>CNPI - Port Colborne</v>
      </c>
    </row>
    <row r="3" spans="2:12" ht="15.75" x14ac:dyDescent="0.25">
      <c r="B3" s="24" t="str">
        <f>Rates!B159</f>
        <v>Residential</v>
      </c>
      <c r="C3" s="1" t="s">
        <v>103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800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Rates!E160</f>
        <v>18.760000000000002</v>
      </c>
      <c r="D14" s="37">
        <f>C6</f>
        <v>1</v>
      </c>
      <c r="E14" s="36">
        <f>C14*D14</f>
        <v>18.760000000000002</v>
      </c>
      <c r="F14" s="45"/>
      <c r="G14" s="36">
        <f>Rates!I160</f>
        <v>23.44</v>
      </c>
      <c r="H14" s="37">
        <f>D14</f>
        <v>1</v>
      </c>
      <c r="I14" s="36">
        <f>G14*H14</f>
        <v>23.44</v>
      </c>
      <c r="J14" s="45"/>
      <c r="K14" s="36">
        <f>I14-E14</f>
        <v>4.68</v>
      </c>
      <c r="L14" s="47">
        <f>IF((E14)=0," ",K14/E14)</f>
        <v>0.24946695095948823</v>
      </c>
    </row>
    <row r="15" spans="2:12" x14ac:dyDescent="0.2">
      <c r="B15" s="44" t="str">
        <f>Rates!B8</f>
        <v>Distribution Volumetric Rate</v>
      </c>
      <c r="C15" s="25">
        <f>Rates!E162</f>
        <v>2.1299999999999999E-2</v>
      </c>
      <c r="D15" s="38">
        <f>C7</f>
        <v>800</v>
      </c>
      <c r="E15" s="36">
        <f t="shared" ref="E15" si="0">C15*D15</f>
        <v>17.04</v>
      </c>
      <c r="F15" s="45"/>
      <c r="G15" s="25">
        <f>Rates!I162</f>
        <v>1.52E-2</v>
      </c>
      <c r="H15" s="38">
        <f>D15</f>
        <v>800</v>
      </c>
      <c r="I15" s="36">
        <f t="shared" ref="I15" si="1">G15*H15</f>
        <v>12.16</v>
      </c>
      <c r="J15" s="45"/>
      <c r="K15" s="36">
        <f t="shared" ref="K15:K43" si="2">I15-E15</f>
        <v>-4.879999999999999</v>
      </c>
      <c r="L15" s="47">
        <f t="shared" ref="L15:L43" si="3">IF((E15)=0," ",K15/E15)</f>
        <v>-0.28638497652582157</v>
      </c>
    </row>
    <row r="16" spans="2:12" x14ac:dyDescent="0.2">
      <c r="B16" s="49" t="s">
        <v>36</v>
      </c>
      <c r="C16" s="50"/>
      <c r="D16" s="51"/>
      <c r="E16" s="52">
        <f>SUM(E14:E15)</f>
        <v>35.799999999999997</v>
      </c>
      <c r="F16" s="53"/>
      <c r="G16" s="50"/>
      <c r="H16" s="51"/>
      <c r="I16" s="52">
        <f>SUM(I14:I15)</f>
        <v>35.6</v>
      </c>
      <c r="J16" s="53"/>
      <c r="K16" s="54">
        <f t="shared" si="2"/>
        <v>-0.19999999999999574</v>
      </c>
      <c r="L16" s="55">
        <f t="shared" si="3"/>
        <v>-5.5865921787708311E-3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43.360000000000021</v>
      </c>
      <c r="E17" s="36">
        <f t="shared" ref="E17:E25" si="4">C17*D17</f>
        <v>4.6681376000000023</v>
      </c>
      <c r="F17" s="45"/>
      <c r="G17" s="25">
        <f>Rates!I267</f>
        <v>0.10766000000000001</v>
      </c>
      <c r="H17" s="40">
        <f>(C5-1)*C7</f>
        <v>43.360000000000021</v>
      </c>
      <c r="I17" s="36">
        <f t="shared" ref="I17:I25" si="5">G17*H17</f>
        <v>4.6681376000000023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Rates!B164</f>
        <v>Rate Rider for Deferral/Variance Account Disposition (2015) - effective until December 31, 2016</v>
      </c>
      <c r="C18" s="25">
        <f>Rates!E164</f>
        <v>-6.9999999999999999E-4</v>
      </c>
      <c r="D18" s="37">
        <f>C7</f>
        <v>800</v>
      </c>
      <c r="E18" s="36">
        <f t="shared" si="4"/>
        <v>-0.55999999999999994</v>
      </c>
      <c r="F18" s="45"/>
      <c r="G18" s="25">
        <f>Rates!I164</f>
        <v>-6.9999999999999999E-4</v>
      </c>
      <c r="H18" s="37">
        <f t="shared" ref="H18:H25" si="6">D18</f>
        <v>800</v>
      </c>
      <c r="I18" s="36">
        <f t="shared" si="5"/>
        <v>-0.55999999999999994</v>
      </c>
      <c r="J18" s="45"/>
      <c r="K18" s="36">
        <f t="shared" ref="K18:K23" si="7">I18-E18</f>
        <v>0</v>
      </c>
      <c r="L18" s="47">
        <f t="shared" ref="L18:L23" si="8">IF((E18)=0," ",K18/E18)</f>
        <v>0</v>
      </c>
    </row>
    <row r="19" spans="2:12" ht="25.5" x14ac:dyDescent="0.2">
      <c r="B19" s="48" t="str">
        <f>Rates!B165</f>
        <v>Rate Rider for Global Adjustment Sub-Account Disposition (2015) - effective until December 31, 2016 Applicable only for Non-RPP Customers</v>
      </c>
      <c r="C19" s="25">
        <f>Rates!E165</f>
        <v>-2.3E-3</v>
      </c>
      <c r="D19" s="37">
        <f>C7</f>
        <v>800</v>
      </c>
      <c r="E19" s="36">
        <f t="shared" si="4"/>
        <v>-1.8399999999999999</v>
      </c>
      <c r="F19" s="45"/>
      <c r="G19" s="25">
        <f>Rates!I165</f>
        <v>-2.3E-3</v>
      </c>
      <c r="H19" s="37">
        <f t="shared" si="6"/>
        <v>800</v>
      </c>
      <c r="I19" s="36">
        <f t="shared" si="5"/>
        <v>-1.8399999999999999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Rates!B166</f>
        <v>Rate Rider for Deferral/Variance Account Disposition (2016) - effective until December 31, 2017</v>
      </c>
      <c r="C20" s="25">
        <f>Rates!E166</f>
        <v>0</v>
      </c>
      <c r="D20" s="37">
        <f>C7</f>
        <v>800</v>
      </c>
      <c r="E20" s="36">
        <f t="shared" si="4"/>
        <v>0</v>
      </c>
      <c r="F20" s="45"/>
      <c r="G20" s="25">
        <f>Rates!I166</f>
        <v>-1.2999999999999999E-3</v>
      </c>
      <c r="H20" s="37">
        <f t="shared" si="6"/>
        <v>800</v>
      </c>
      <c r="I20" s="36">
        <f t="shared" si="5"/>
        <v>-1.04</v>
      </c>
      <c r="J20" s="45"/>
      <c r="K20" s="36">
        <f t="shared" ref="K20:K21" si="9">I20-E20</f>
        <v>-1.04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Rates!B167</f>
        <v>Rate Rider for Global Adjustment Sub-Account Disposition (2016) - effective until December 31, 2017 Applicable only for Non-RPP Customers</v>
      </c>
      <c r="C21" s="25">
        <f>Rates!E167</f>
        <v>0</v>
      </c>
      <c r="D21" s="37">
        <f>C7</f>
        <v>800</v>
      </c>
      <c r="E21" s="36">
        <f t="shared" si="4"/>
        <v>0</v>
      </c>
      <c r="F21" s="45"/>
      <c r="G21" s="25">
        <f>Rates!I167</f>
        <v>1.9E-3</v>
      </c>
      <c r="H21" s="37">
        <f t="shared" si="6"/>
        <v>800</v>
      </c>
      <c r="I21" s="36">
        <f t="shared" si="5"/>
        <v>1.52</v>
      </c>
      <c r="J21" s="45"/>
      <c r="K21" s="36">
        <f t="shared" si="9"/>
        <v>1.52</v>
      </c>
      <c r="L21" s="47" t="str">
        <f t="shared" si="10"/>
        <v xml:space="preserve"> </v>
      </c>
    </row>
    <row r="22" spans="2:12" x14ac:dyDescent="0.2">
      <c r="B22" s="44" t="str">
        <f>Rates!B168</f>
        <v>Rate Rider for the Disposition of Deferred PILs Variance Account 1562 - effective until December 31, 2016</v>
      </c>
      <c r="C22" s="25">
        <f>Rates!E168</f>
        <v>6.9999999999999999E-4</v>
      </c>
      <c r="D22" s="37">
        <f>C7</f>
        <v>800</v>
      </c>
      <c r="E22" s="36">
        <f t="shared" si="4"/>
        <v>0.55999999999999994</v>
      </c>
      <c r="F22" s="45"/>
      <c r="G22" s="25">
        <f>Rates!I168</f>
        <v>6.9999999999999999E-4</v>
      </c>
      <c r="H22" s="37">
        <f t="shared" si="6"/>
        <v>800</v>
      </c>
      <c r="I22" s="36">
        <f t="shared" si="5"/>
        <v>0.55999999999999994</v>
      </c>
      <c r="J22" s="45"/>
      <c r="K22" s="36">
        <f t="shared" si="7"/>
        <v>0</v>
      </c>
      <c r="L22" s="47">
        <f t="shared" si="8"/>
        <v>0</v>
      </c>
    </row>
    <row r="23" spans="2:12" x14ac:dyDescent="0.2">
      <c r="B23" s="48" t="str">
        <f>Rates!B169</f>
        <v>Rate Rider for Loss Revenue Adjustment Mechanism (LRAM) - effective until December 31, 2015</v>
      </c>
      <c r="C23" s="25">
        <f>Rates!E169</f>
        <v>1E-4</v>
      </c>
      <c r="D23" s="37">
        <f>C7</f>
        <v>800</v>
      </c>
      <c r="E23" s="36">
        <f t="shared" si="4"/>
        <v>0.08</v>
      </c>
      <c r="F23" s="45"/>
      <c r="G23" s="25">
        <f>Rates!I169</f>
        <v>0</v>
      </c>
      <c r="H23" s="37">
        <f t="shared" si="6"/>
        <v>800</v>
      </c>
      <c r="I23" s="36">
        <f t="shared" si="5"/>
        <v>0</v>
      </c>
      <c r="J23" s="45"/>
      <c r="K23" s="36">
        <f t="shared" si="7"/>
        <v>-0.08</v>
      </c>
      <c r="L23" s="47">
        <f t="shared" si="8"/>
        <v>-1</v>
      </c>
    </row>
    <row r="24" spans="2:12" x14ac:dyDescent="0.2">
      <c r="B24" s="44" t="str">
        <f>Rates!B9</f>
        <v>Low Voltage Service Rate</v>
      </c>
      <c r="C24" s="25">
        <f>Rates!E163</f>
        <v>2.0000000000000001E-4</v>
      </c>
      <c r="D24" s="37">
        <f>C7</f>
        <v>800</v>
      </c>
      <c r="E24" s="36">
        <f t="shared" si="4"/>
        <v>0.16</v>
      </c>
      <c r="F24" s="45"/>
      <c r="G24" s="25">
        <f>Rates!I163</f>
        <v>2.0000000000000001E-4</v>
      </c>
      <c r="H24" s="37">
        <f t="shared" si="6"/>
        <v>800</v>
      </c>
      <c r="I24" s="36">
        <f t="shared" si="5"/>
        <v>0.16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4" t="str">
        <f>Rates!B248</f>
        <v>Smart Meter Entity Charge</v>
      </c>
      <c r="C25" s="36">
        <f>Rates!E248</f>
        <v>0.79</v>
      </c>
      <c r="D25" s="37">
        <f>C6</f>
        <v>1</v>
      </c>
      <c r="E25" s="36">
        <f t="shared" si="4"/>
        <v>0.79</v>
      </c>
      <c r="F25" s="45"/>
      <c r="G25" s="36">
        <f>Rates!I248</f>
        <v>0.79</v>
      </c>
      <c r="H25" s="37">
        <f t="shared" si="6"/>
        <v>1</v>
      </c>
      <c r="I25" s="36">
        <f t="shared" si="5"/>
        <v>0.79</v>
      </c>
      <c r="J25" s="45"/>
      <c r="K25" s="36">
        <f t="shared" si="2"/>
        <v>0</v>
      </c>
      <c r="L25" s="47">
        <f t="shared" si="3"/>
        <v>0</v>
      </c>
    </row>
    <row r="26" spans="2:12" x14ac:dyDescent="0.2">
      <c r="B26" s="49" t="s">
        <v>56</v>
      </c>
      <c r="C26" s="50"/>
      <c r="D26" s="51"/>
      <c r="E26" s="52">
        <f>SUM(E16:E25)</f>
        <v>39.658137599999996</v>
      </c>
      <c r="F26" s="53"/>
      <c r="G26" s="50"/>
      <c r="H26" s="51"/>
      <c r="I26" s="52">
        <f>SUM(I16:I25)</f>
        <v>39.858137599999999</v>
      </c>
      <c r="J26" s="53"/>
      <c r="K26" s="54">
        <f t="shared" si="2"/>
        <v>0.20000000000000284</v>
      </c>
      <c r="L26" s="55">
        <f t="shared" si="3"/>
        <v>5.043101166707406E-3</v>
      </c>
    </row>
    <row r="27" spans="2:12" x14ac:dyDescent="0.2">
      <c r="B27" s="44" t="str">
        <f>Rates!B15</f>
        <v>Retail Transmission Rate - Network Service Rate</v>
      </c>
      <c r="C27" s="25">
        <f>Rates!E170</f>
        <v>7.3000000000000001E-3</v>
      </c>
      <c r="D27" s="37">
        <f>C7*C5</f>
        <v>843.36</v>
      </c>
      <c r="E27" s="36">
        <f>C27*D27</f>
        <v>6.1565279999999998</v>
      </c>
      <c r="F27" s="45"/>
      <c r="G27" s="25">
        <f>Rates!I170</f>
        <v>7.1999999999999998E-3</v>
      </c>
      <c r="H27" s="37">
        <f>D27</f>
        <v>843.36</v>
      </c>
      <c r="I27" s="36">
        <f>G27*H27</f>
        <v>6.0721920000000003</v>
      </c>
      <c r="J27" s="45"/>
      <c r="K27" s="36">
        <f t="shared" si="2"/>
        <v>-8.4335999999999522E-2</v>
      </c>
      <c r="L27" s="47">
        <f t="shared" si="3"/>
        <v>-1.3698630136986224E-2</v>
      </c>
    </row>
    <row r="28" spans="2:12" x14ac:dyDescent="0.2">
      <c r="B28" s="44" t="str">
        <f>Rates!B16</f>
        <v>Retail Transmission Rate - Line and Transformation Connection Service Rate</v>
      </c>
      <c r="C28" s="25">
        <f>Rates!E171</f>
        <v>5.7000000000000002E-3</v>
      </c>
      <c r="D28" s="37">
        <f>C7*C5</f>
        <v>843.36</v>
      </c>
      <c r="E28" s="36">
        <f>C28*D28</f>
        <v>4.8071520000000003</v>
      </c>
      <c r="F28" s="45"/>
      <c r="G28" s="25">
        <f>Rates!I171</f>
        <v>5.7999999999999996E-3</v>
      </c>
      <c r="H28" s="37">
        <f>D28</f>
        <v>843.36</v>
      </c>
      <c r="I28" s="36">
        <f>G28*H28</f>
        <v>4.8914879999999998</v>
      </c>
      <c r="J28" s="45"/>
      <c r="K28" s="36">
        <f t="shared" si="2"/>
        <v>8.4335999999999522E-2</v>
      </c>
      <c r="L28" s="47">
        <f t="shared" si="3"/>
        <v>1.7543859649122705E-2</v>
      </c>
    </row>
    <row r="29" spans="2:12" x14ac:dyDescent="0.2">
      <c r="B29" s="49" t="s">
        <v>57</v>
      </c>
      <c r="C29" s="50"/>
      <c r="D29" s="51"/>
      <c r="E29" s="52">
        <f>SUM(E26:E28)</f>
        <v>50.6218176</v>
      </c>
      <c r="F29" s="53"/>
      <c r="G29" s="50"/>
      <c r="H29" s="52"/>
      <c r="I29" s="52">
        <f>SUM(I26:I28)</f>
        <v>50.821817600000003</v>
      </c>
      <c r="J29" s="53"/>
      <c r="K29" s="54">
        <f t="shared" si="2"/>
        <v>0.20000000000000284</v>
      </c>
      <c r="L29" s="55">
        <f t="shared" si="3"/>
        <v>3.9508656441447658E-3</v>
      </c>
    </row>
    <row r="30" spans="2:12" x14ac:dyDescent="0.2">
      <c r="B30" s="44" t="str">
        <f>Rates!B244</f>
        <v>Wholesale Market Service Rate</v>
      </c>
      <c r="C30" s="25">
        <f>Rates!E244</f>
        <v>4.4000000000000003E-3</v>
      </c>
      <c r="D30" s="37">
        <f>C5*C7</f>
        <v>843.36</v>
      </c>
      <c r="E30" s="36">
        <f t="shared" ref="E30:E37" si="11">C30*D30</f>
        <v>3.7107840000000003</v>
      </c>
      <c r="F30" s="45"/>
      <c r="G30" s="25">
        <f>Rates!I244</f>
        <v>3.5999999999999999E-3</v>
      </c>
      <c r="H30" s="37">
        <f>D30</f>
        <v>843.36</v>
      </c>
      <c r="I30" s="36">
        <f t="shared" ref="I30:I37" si="12">G30*H30</f>
        <v>3.0360960000000001</v>
      </c>
      <c r="J30" s="45"/>
      <c r="K30" s="36">
        <f t="shared" si="2"/>
        <v>-0.67468800000000018</v>
      </c>
      <c r="L30" s="47">
        <f t="shared" si="3"/>
        <v>-0.18181818181818185</v>
      </c>
    </row>
    <row r="31" spans="2:12" x14ac:dyDescent="0.2">
      <c r="B31" s="44" t="str">
        <f>Rates!B245</f>
        <v>Rural Rate Protection Charge</v>
      </c>
      <c r="C31" s="25">
        <f>Rates!E245</f>
        <v>1.2999999999999999E-3</v>
      </c>
      <c r="D31" s="37">
        <f>C5*C7</f>
        <v>843.36</v>
      </c>
      <c r="E31" s="36">
        <f t="shared" si="11"/>
        <v>1.096368</v>
      </c>
      <c r="F31" s="45"/>
      <c r="G31" s="25">
        <f>Rates!I245</f>
        <v>1.2999999999999999E-3</v>
      </c>
      <c r="H31" s="37">
        <f t="shared" ref="H31:H32" si="13">D31</f>
        <v>843.36</v>
      </c>
      <c r="I31" s="36">
        <f t="shared" si="12"/>
        <v>1.096368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Rates!B247</f>
        <v>Standard Supply Service - Administrative Charge (if applicable)</v>
      </c>
      <c r="C32" s="36">
        <f>Rates!E247</f>
        <v>0.25</v>
      </c>
      <c r="D32" s="37">
        <v>1</v>
      </c>
      <c r="E32" s="36">
        <f t="shared" si="11"/>
        <v>0.25</v>
      </c>
      <c r="F32" s="45"/>
      <c r="G32" s="36">
        <f>Rates!I247</f>
        <v>0.25</v>
      </c>
      <c r="H32" s="37">
        <f t="shared" si="13"/>
        <v>1</v>
      </c>
      <c r="I32" s="36">
        <f t="shared" si="12"/>
        <v>0.25</v>
      </c>
      <c r="J32" s="45"/>
      <c r="K32" s="36">
        <f t="shared" si="2"/>
        <v>0</v>
      </c>
      <c r="L32" s="47">
        <f t="shared" si="3"/>
        <v>0</v>
      </c>
    </row>
    <row r="33" spans="2:12" x14ac:dyDescent="0.2">
      <c r="B33" s="44" t="str">
        <f>Rates!B250</f>
        <v>Debt Retirement Charge</v>
      </c>
      <c r="C33" s="25">
        <f>Rates!E253</f>
        <v>7.0000000000000001E-3</v>
      </c>
      <c r="D33" s="37">
        <f>C7</f>
        <v>800</v>
      </c>
      <c r="E33" s="36">
        <f t="shared" si="11"/>
        <v>5.6000000000000005</v>
      </c>
      <c r="F33" s="45"/>
      <c r="G33" s="25">
        <f>Rates!I253</f>
        <v>0</v>
      </c>
      <c r="H33" s="37">
        <f>D33</f>
        <v>800</v>
      </c>
      <c r="I33" s="36">
        <f t="shared" si="12"/>
        <v>0</v>
      </c>
      <c r="J33" s="45"/>
      <c r="K33" s="36">
        <f t="shared" si="2"/>
        <v>-5.6000000000000005</v>
      </c>
      <c r="L33" s="47">
        <f t="shared" si="3"/>
        <v>-1</v>
      </c>
    </row>
    <row r="34" spans="2:12" x14ac:dyDescent="0.2">
      <c r="B34" s="44" t="str">
        <f>Rates!B246</f>
        <v>Ontario Electricity Support Program</v>
      </c>
      <c r="C34" s="25"/>
      <c r="D34" s="37"/>
      <c r="E34" s="36"/>
      <c r="F34" s="45"/>
      <c r="G34" s="25">
        <f>Rates!I246</f>
        <v>1.1000000000000001E-3</v>
      </c>
      <c r="H34" s="37">
        <f>C7</f>
        <v>800</v>
      </c>
      <c r="I34" s="36">
        <f t="shared" si="12"/>
        <v>0.88</v>
      </c>
      <c r="J34" s="45"/>
      <c r="K34" s="36"/>
      <c r="L34" s="47"/>
    </row>
    <row r="35" spans="2:12" x14ac:dyDescent="0.2">
      <c r="B35" s="44" t="str">
        <f>Rates!B263</f>
        <v>TOU - Off Peak</v>
      </c>
      <c r="C35" s="25">
        <f>Rates!E263</f>
        <v>8.3000000000000004E-2</v>
      </c>
      <c r="D35" s="37">
        <f>C7*0.64</f>
        <v>512</v>
      </c>
      <c r="E35" s="36">
        <f t="shared" si="11"/>
        <v>42.496000000000002</v>
      </c>
      <c r="F35" s="45"/>
      <c r="G35" s="25">
        <f>Rates!I263</f>
        <v>8.3000000000000004E-2</v>
      </c>
      <c r="H35" s="37">
        <f>D35</f>
        <v>512</v>
      </c>
      <c r="I35" s="36">
        <f t="shared" si="12"/>
        <v>42.496000000000002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Rates!B264</f>
        <v>TOU - Mid Peak</v>
      </c>
      <c r="C36" s="25">
        <f>Rates!E264</f>
        <v>0.128</v>
      </c>
      <c r="D36" s="37">
        <f>C7*0.18</f>
        <v>144</v>
      </c>
      <c r="E36" s="36">
        <f t="shared" si="11"/>
        <v>18.432000000000002</v>
      </c>
      <c r="F36" s="45"/>
      <c r="G36" s="25">
        <f>Rates!I264</f>
        <v>0.128</v>
      </c>
      <c r="H36" s="37">
        <f t="shared" ref="H36:H37" si="14">D36</f>
        <v>144</v>
      </c>
      <c r="I36" s="36">
        <f t="shared" si="12"/>
        <v>18.432000000000002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44" t="str">
        <f>Rates!B265</f>
        <v>TOU - On Peak</v>
      </c>
      <c r="C37" s="25">
        <f>Rates!E265</f>
        <v>0.17499999999999999</v>
      </c>
      <c r="D37" s="37">
        <f>C7*0.18</f>
        <v>144</v>
      </c>
      <c r="E37" s="36">
        <f t="shared" si="11"/>
        <v>25.2</v>
      </c>
      <c r="F37" s="45"/>
      <c r="G37" s="25">
        <f>Rates!I265</f>
        <v>0.17499999999999999</v>
      </c>
      <c r="H37" s="37">
        <f t="shared" si="14"/>
        <v>144</v>
      </c>
      <c r="I37" s="36">
        <f t="shared" si="12"/>
        <v>25.2</v>
      </c>
      <c r="J37" s="45"/>
      <c r="K37" s="36">
        <f t="shared" si="2"/>
        <v>0</v>
      </c>
      <c r="L37" s="47">
        <f t="shared" si="3"/>
        <v>0</v>
      </c>
    </row>
    <row r="38" spans="2:12" x14ac:dyDescent="0.2">
      <c r="B38" s="56"/>
      <c r="C38" s="51"/>
      <c r="D38" s="51"/>
      <c r="E38" s="51"/>
      <c r="F38" s="53"/>
      <c r="G38" s="51"/>
      <c r="H38" s="51"/>
      <c r="I38" s="51"/>
      <c r="J38" s="53"/>
      <c r="K38" s="54"/>
      <c r="L38" s="55"/>
    </row>
    <row r="39" spans="2:12" x14ac:dyDescent="0.2">
      <c r="B39" s="23" t="s">
        <v>58</v>
      </c>
      <c r="C39" s="35"/>
      <c r="D39" s="35"/>
      <c r="E39" s="39">
        <f>SUM(E29:E37)</f>
        <v>147.4069696</v>
      </c>
      <c r="F39" s="45"/>
      <c r="G39" s="35"/>
      <c r="H39" s="39"/>
      <c r="I39" s="39">
        <f>SUM(I29:I37)</f>
        <v>142.21228160000001</v>
      </c>
      <c r="J39" s="45"/>
      <c r="K39" s="36">
        <f t="shared" si="2"/>
        <v>-5.1946879999999851</v>
      </c>
      <c r="L39" s="47">
        <f t="shared" si="3"/>
        <v>-3.5240450394551662E-2</v>
      </c>
    </row>
    <row r="40" spans="2:12" x14ac:dyDescent="0.2">
      <c r="B40" s="44" t="str">
        <f>Rates!B269</f>
        <v>HST</v>
      </c>
      <c r="C40" s="41">
        <f>Rates!E269</f>
        <v>0.13</v>
      </c>
      <c r="D40" s="35"/>
      <c r="E40" s="42">
        <f>E39*C40</f>
        <v>19.162906048</v>
      </c>
      <c r="F40" s="45"/>
      <c r="G40" s="41">
        <f>Rates!I269</f>
        <v>0.13</v>
      </c>
      <c r="H40" s="35"/>
      <c r="I40" s="42">
        <f>I39*G40</f>
        <v>18.487596608</v>
      </c>
      <c r="J40" s="45"/>
      <c r="K40" s="36">
        <f t="shared" si="2"/>
        <v>-0.67530943999999948</v>
      </c>
      <c r="L40" s="47">
        <f t="shared" si="3"/>
        <v>-3.5240450394551738E-2</v>
      </c>
    </row>
    <row r="41" spans="2:12" x14ac:dyDescent="0.2">
      <c r="B41" s="23" t="s">
        <v>59</v>
      </c>
      <c r="C41" s="35"/>
      <c r="D41" s="35"/>
      <c r="E41" s="42">
        <f>E39+E40</f>
        <v>166.56987564799999</v>
      </c>
      <c r="F41" s="45"/>
      <c r="G41" s="35"/>
      <c r="H41" s="35"/>
      <c r="I41" s="42">
        <f>I39+I40</f>
        <v>160.699878208</v>
      </c>
      <c r="J41" s="45"/>
      <c r="K41" s="36">
        <f t="shared" si="2"/>
        <v>-5.8699974399999917</v>
      </c>
      <c r="L41" s="47">
        <f t="shared" si="3"/>
        <v>-3.5240450394551717E-2</v>
      </c>
    </row>
    <row r="42" spans="2:12" x14ac:dyDescent="0.2">
      <c r="B42" s="44" t="str">
        <f>Rates!B271</f>
        <v>OCEB</v>
      </c>
      <c r="C42" s="41">
        <f>Rates!E271</f>
        <v>-0.1</v>
      </c>
      <c r="D42" s="35"/>
      <c r="E42" s="42">
        <f>E41*C42</f>
        <v>-16.656987564800001</v>
      </c>
      <c r="F42" s="45"/>
      <c r="G42" s="41">
        <f>Rates!I271</f>
        <v>0</v>
      </c>
      <c r="H42" s="35"/>
      <c r="I42" s="42">
        <f>I41*G42</f>
        <v>0</v>
      </c>
      <c r="J42" s="45"/>
      <c r="K42" s="36">
        <f t="shared" si="2"/>
        <v>16.656987564800001</v>
      </c>
      <c r="L42" s="47">
        <f t="shared" si="3"/>
        <v>-1</v>
      </c>
    </row>
    <row r="43" spans="2:12" ht="13.5" thickBot="1" x14ac:dyDescent="0.25">
      <c r="B43" s="30" t="s">
        <v>60</v>
      </c>
      <c r="C43" s="57"/>
      <c r="D43" s="57"/>
      <c r="E43" s="58">
        <f>E41+E42</f>
        <v>149.91288808319999</v>
      </c>
      <c r="F43" s="59"/>
      <c r="G43" s="57"/>
      <c r="H43" s="57"/>
      <c r="I43" s="58">
        <f>I41+I42</f>
        <v>160.699878208</v>
      </c>
      <c r="J43" s="59"/>
      <c r="K43" s="60">
        <f t="shared" si="2"/>
        <v>10.786990124800013</v>
      </c>
      <c r="L43" s="61">
        <f t="shared" si="3"/>
        <v>7.1955055117164796E-2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L43"/>
  <sheetViews>
    <sheetView showGridLines="0" topLeftCell="A7" workbookViewId="0">
      <selection activeCell="H35" sqref="H35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Rates!B158</f>
        <v>CNPI - Port Colborne</v>
      </c>
    </row>
    <row r="3" spans="2:12" ht="15.75" x14ac:dyDescent="0.25">
      <c r="B3" s="24" t="str">
        <f>Rates!B173</f>
        <v>General Service Less Than 50kW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2000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Rates!E174</f>
        <v>28.76</v>
      </c>
      <c r="D14" s="37">
        <f>C6</f>
        <v>1</v>
      </c>
      <c r="E14" s="36">
        <f>C14*D14</f>
        <v>28.76</v>
      </c>
      <c r="F14" s="45"/>
      <c r="G14" s="36">
        <f>Rates!I174</f>
        <v>28.26</v>
      </c>
      <c r="H14" s="37">
        <f>D14</f>
        <v>1</v>
      </c>
      <c r="I14" s="36">
        <f>G14*H14</f>
        <v>28.26</v>
      </c>
      <c r="J14" s="45"/>
      <c r="K14" s="36">
        <f>I14-E14</f>
        <v>-0.5</v>
      </c>
      <c r="L14" s="47">
        <f>IF((E14)=0," ",K14/E14)</f>
        <v>-1.7385257301808066E-2</v>
      </c>
    </row>
    <row r="15" spans="2:12" x14ac:dyDescent="0.2">
      <c r="B15" s="44" t="str">
        <f>Rates!B8</f>
        <v>Distribution Volumetric Rate</v>
      </c>
      <c r="C15" s="25">
        <f>Rates!E176</f>
        <v>2.1999999999999999E-2</v>
      </c>
      <c r="D15" s="38">
        <f>C7</f>
        <v>2000</v>
      </c>
      <c r="E15" s="36">
        <f t="shared" ref="E15" si="0">C15*D15</f>
        <v>44</v>
      </c>
      <c r="F15" s="45"/>
      <c r="G15" s="25">
        <f>Rates!I176</f>
        <v>2.3E-2</v>
      </c>
      <c r="H15" s="38">
        <f>D15</f>
        <v>2000</v>
      </c>
      <c r="I15" s="36">
        <f t="shared" ref="I15" si="1">G15*H15</f>
        <v>46</v>
      </c>
      <c r="J15" s="45"/>
      <c r="K15" s="36">
        <f t="shared" ref="K15:K43" si="2">I15-E15</f>
        <v>2</v>
      </c>
      <c r="L15" s="47">
        <f t="shared" ref="L15:L43" si="3">IF((E15)=0," ",K15/E15)</f>
        <v>4.5454545454545456E-2</v>
      </c>
    </row>
    <row r="16" spans="2:12" x14ac:dyDescent="0.2">
      <c r="B16" s="49" t="s">
        <v>36</v>
      </c>
      <c r="C16" s="50"/>
      <c r="D16" s="51"/>
      <c r="E16" s="52">
        <f>SUM(E14:E15)</f>
        <v>72.760000000000005</v>
      </c>
      <c r="F16" s="53"/>
      <c r="G16" s="50"/>
      <c r="H16" s="51"/>
      <c r="I16" s="52">
        <f>SUM(I14:I15)</f>
        <v>74.260000000000005</v>
      </c>
      <c r="J16" s="53"/>
      <c r="K16" s="54">
        <f t="shared" si="2"/>
        <v>1.5</v>
      </c>
      <c r="L16" s="55">
        <f t="shared" si="3"/>
        <v>2.0615722924683891E-2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108.40000000000005</v>
      </c>
      <c r="E17" s="36">
        <f t="shared" ref="E17:E25" si="4">C17*D17</f>
        <v>11.670344000000005</v>
      </c>
      <c r="F17" s="45"/>
      <c r="G17" s="25">
        <f>Rates!I267</f>
        <v>0.10766000000000001</v>
      </c>
      <c r="H17" s="40">
        <f>(C5-1)*C7</f>
        <v>108.40000000000005</v>
      </c>
      <c r="I17" s="36">
        <f t="shared" ref="I17:I25" si="5">G17*H17</f>
        <v>11.670344000000005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Rates!B178</f>
        <v>Rate Rider for Deferral/Variance Account Disposition (2015) - effective until December 31, 2016</v>
      </c>
      <c r="C18" s="25">
        <f>Rates!E178</f>
        <v>-5.9999999999999995E-4</v>
      </c>
      <c r="D18" s="37">
        <f>C7</f>
        <v>2000</v>
      </c>
      <c r="E18" s="36">
        <f t="shared" si="4"/>
        <v>-1.2</v>
      </c>
      <c r="F18" s="45"/>
      <c r="G18" s="25">
        <f>Rates!I178</f>
        <v>-5.9999999999999995E-4</v>
      </c>
      <c r="H18" s="37">
        <f t="shared" ref="H18:H25" si="6">D18</f>
        <v>2000</v>
      </c>
      <c r="I18" s="36">
        <f t="shared" si="5"/>
        <v>-1.2</v>
      </c>
      <c r="J18" s="45"/>
      <c r="K18" s="36">
        <f t="shared" si="2"/>
        <v>0</v>
      </c>
      <c r="L18" s="47">
        <f t="shared" si="3"/>
        <v>0</v>
      </c>
    </row>
    <row r="19" spans="2:12" ht="25.5" x14ac:dyDescent="0.2">
      <c r="B19" s="48" t="str">
        <f>Rates!B179</f>
        <v>Rate Rider for Global Adjustment Sub-Account Disposition (2015) - effective until December 31, 2016 Applicable only for Non-RPP Customers</v>
      </c>
      <c r="C19" s="25">
        <f>Rates!E179</f>
        <v>-2.3E-3</v>
      </c>
      <c r="D19" s="37"/>
      <c r="E19" s="36">
        <f t="shared" si="4"/>
        <v>0</v>
      </c>
      <c r="F19" s="45"/>
      <c r="G19" s="25">
        <f>Rates!I179</f>
        <v>-2.3E-3</v>
      </c>
      <c r="H19" s="37">
        <f t="shared" si="6"/>
        <v>0</v>
      </c>
      <c r="I19" s="36">
        <f t="shared" si="5"/>
        <v>0</v>
      </c>
      <c r="J19" s="45"/>
      <c r="K19" s="36">
        <f t="shared" si="2"/>
        <v>0</v>
      </c>
      <c r="L19" s="47" t="str">
        <f t="shared" si="3"/>
        <v xml:space="preserve"> </v>
      </c>
    </row>
    <row r="20" spans="2:12" x14ac:dyDescent="0.2">
      <c r="B20" s="48" t="str">
        <f>Rates!B180</f>
        <v>Rate Rider for Deferral/Variance Account Disposition (2016) - effective until December 31, 2017</v>
      </c>
      <c r="C20" s="25">
        <f>Rates!E180</f>
        <v>0</v>
      </c>
      <c r="D20" s="37">
        <f>C7</f>
        <v>2000</v>
      </c>
      <c r="E20" s="36">
        <f t="shared" si="4"/>
        <v>0</v>
      </c>
      <c r="F20" s="45"/>
      <c r="G20" s="25">
        <f>Rates!I180</f>
        <v>-1.2999999999999999E-3</v>
      </c>
      <c r="H20" s="37">
        <f t="shared" si="6"/>
        <v>2000</v>
      </c>
      <c r="I20" s="36">
        <f t="shared" si="5"/>
        <v>-2.6</v>
      </c>
      <c r="J20" s="45"/>
      <c r="K20" s="36">
        <f t="shared" ref="K20:K21" si="7">I20-E20</f>
        <v>-2.6</v>
      </c>
      <c r="L20" s="47" t="str">
        <f t="shared" ref="L20:L21" si="8">IF((E20)=0," ",K20/E20)</f>
        <v xml:space="preserve"> </v>
      </c>
    </row>
    <row r="21" spans="2:12" ht="25.5" x14ac:dyDescent="0.2">
      <c r="B21" s="48" t="str">
        <f>Rates!B181</f>
        <v>Rate Rider for Global Adjustment Sub-Account Disposition (2016) - effective until December 31, 2017 Applicable only for Non-RPP Customers</v>
      </c>
      <c r="C21" s="25">
        <f>Rates!E181</f>
        <v>0</v>
      </c>
      <c r="D21" s="37"/>
      <c r="E21" s="36">
        <f t="shared" si="4"/>
        <v>0</v>
      </c>
      <c r="F21" s="45"/>
      <c r="G21" s="25">
        <f>Rates!I181</f>
        <v>1.9E-3</v>
      </c>
      <c r="H21" s="37">
        <f t="shared" si="6"/>
        <v>0</v>
      </c>
      <c r="I21" s="36">
        <f t="shared" si="5"/>
        <v>0</v>
      </c>
      <c r="J21" s="45"/>
      <c r="K21" s="36">
        <f t="shared" si="7"/>
        <v>0</v>
      </c>
      <c r="L21" s="47" t="str">
        <f t="shared" si="8"/>
        <v xml:space="preserve"> </v>
      </c>
    </row>
    <row r="22" spans="2:12" x14ac:dyDescent="0.2">
      <c r="B22" s="44" t="str">
        <f>Rates!B168</f>
        <v>Rate Rider for the Disposition of Deferred PILs Variance Account 1562 - effective until December 31, 2016</v>
      </c>
      <c r="C22" s="25">
        <f>Rates!E182</f>
        <v>5.0000000000000001E-4</v>
      </c>
      <c r="D22" s="37">
        <f>C7</f>
        <v>2000</v>
      </c>
      <c r="E22" s="36">
        <f t="shared" si="4"/>
        <v>1</v>
      </c>
      <c r="F22" s="45"/>
      <c r="G22" s="25">
        <f>Rates!I182</f>
        <v>5.0000000000000001E-4</v>
      </c>
      <c r="H22" s="37">
        <f t="shared" si="6"/>
        <v>2000</v>
      </c>
      <c r="I22" s="36">
        <f t="shared" si="5"/>
        <v>1</v>
      </c>
      <c r="J22" s="45"/>
      <c r="K22" s="36">
        <f t="shared" si="2"/>
        <v>0</v>
      </c>
      <c r="L22" s="47">
        <f t="shared" si="3"/>
        <v>0</v>
      </c>
    </row>
    <row r="23" spans="2:12" x14ac:dyDescent="0.2">
      <c r="B23" s="48" t="str">
        <f>Rates!B183</f>
        <v>Rate Rider for Loss Revenue Adjustment Mechanism (LRAM) - effective until December 31, 2015</v>
      </c>
      <c r="C23" s="25">
        <f>Rates!E183</f>
        <v>4.0000000000000002E-4</v>
      </c>
      <c r="D23" s="37">
        <f>C7</f>
        <v>2000</v>
      </c>
      <c r="E23" s="36">
        <f t="shared" si="4"/>
        <v>0.8</v>
      </c>
      <c r="F23" s="45"/>
      <c r="G23" s="25">
        <f>Rates!I183</f>
        <v>0</v>
      </c>
      <c r="H23" s="37">
        <f t="shared" si="6"/>
        <v>2000</v>
      </c>
      <c r="I23" s="36">
        <f t="shared" si="5"/>
        <v>0</v>
      </c>
      <c r="J23" s="45"/>
      <c r="K23" s="36">
        <f t="shared" si="2"/>
        <v>-0.8</v>
      </c>
      <c r="L23" s="47">
        <f t="shared" si="3"/>
        <v>-1</v>
      </c>
    </row>
    <row r="24" spans="2:12" x14ac:dyDescent="0.2">
      <c r="B24" s="44" t="str">
        <f>Rates!B9</f>
        <v>Low Voltage Service Rate</v>
      </c>
      <c r="C24" s="25">
        <f>Rates!E177</f>
        <v>2.0000000000000001E-4</v>
      </c>
      <c r="D24" s="37">
        <f>C7</f>
        <v>2000</v>
      </c>
      <c r="E24" s="36">
        <f t="shared" si="4"/>
        <v>0.4</v>
      </c>
      <c r="F24" s="45"/>
      <c r="G24" s="25">
        <f>Rates!I177</f>
        <v>2.0000000000000001E-4</v>
      </c>
      <c r="H24" s="37">
        <f t="shared" si="6"/>
        <v>2000</v>
      </c>
      <c r="I24" s="36">
        <f t="shared" si="5"/>
        <v>0.4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4" t="str">
        <f>Rates!B248</f>
        <v>Smart Meter Entity Charge</v>
      </c>
      <c r="C25" s="36">
        <f>Rates!E248</f>
        <v>0.79</v>
      </c>
      <c r="D25" s="37">
        <f>C6</f>
        <v>1</v>
      </c>
      <c r="E25" s="36">
        <f t="shared" si="4"/>
        <v>0.79</v>
      </c>
      <c r="F25" s="45"/>
      <c r="G25" s="36">
        <f>Rates!I248</f>
        <v>0.79</v>
      </c>
      <c r="H25" s="37">
        <f t="shared" si="6"/>
        <v>1</v>
      </c>
      <c r="I25" s="36">
        <f t="shared" si="5"/>
        <v>0.79</v>
      </c>
      <c r="J25" s="45"/>
      <c r="K25" s="36">
        <f t="shared" si="2"/>
        <v>0</v>
      </c>
      <c r="L25" s="47">
        <f t="shared" si="3"/>
        <v>0</v>
      </c>
    </row>
    <row r="26" spans="2:12" x14ac:dyDescent="0.2">
      <c r="B26" s="49" t="s">
        <v>56</v>
      </c>
      <c r="C26" s="50"/>
      <c r="D26" s="51"/>
      <c r="E26" s="52">
        <f>SUM(E16:E25)</f>
        <v>86.220344000000011</v>
      </c>
      <c r="F26" s="53"/>
      <c r="G26" s="50"/>
      <c r="H26" s="51"/>
      <c r="I26" s="52">
        <f>SUM(I16:I25)</f>
        <v>84.32034400000002</v>
      </c>
      <c r="J26" s="53"/>
      <c r="K26" s="54">
        <f t="shared" si="2"/>
        <v>-1.8999999999999915</v>
      </c>
      <c r="L26" s="55">
        <f t="shared" si="3"/>
        <v>-2.203656250779968E-2</v>
      </c>
    </row>
    <row r="27" spans="2:12" x14ac:dyDescent="0.2">
      <c r="B27" s="44" t="str">
        <f>Rates!B15</f>
        <v>Retail Transmission Rate - Network Service Rate</v>
      </c>
      <c r="C27" s="25">
        <f>Rates!E184</f>
        <v>6.1999999999999998E-3</v>
      </c>
      <c r="D27" s="37">
        <f>C7*C5</f>
        <v>2108.4</v>
      </c>
      <c r="E27" s="36">
        <f>C27*D27</f>
        <v>13.07208</v>
      </c>
      <c r="F27" s="45"/>
      <c r="G27" s="25">
        <f>Rates!I184</f>
        <v>6.1000000000000004E-3</v>
      </c>
      <c r="H27" s="37">
        <f>D27</f>
        <v>2108.4</v>
      </c>
      <c r="I27" s="36">
        <f>G27*H27</f>
        <v>12.861240000000002</v>
      </c>
      <c r="J27" s="45"/>
      <c r="K27" s="36">
        <f t="shared" si="2"/>
        <v>-0.21083999999999747</v>
      </c>
      <c r="L27" s="47">
        <f t="shared" si="3"/>
        <v>-1.6129032258064325E-2</v>
      </c>
    </row>
    <row r="28" spans="2:12" x14ac:dyDescent="0.2">
      <c r="B28" s="44" t="str">
        <f>Rates!B16</f>
        <v>Retail Transmission Rate - Line and Transformation Connection Service Rate</v>
      </c>
      <c r="C28" s="25">
        <f>Rates!E185</f>
        <v>4.8999999999999998E-3</v>
      </c>
      <c r="D28" s="37">
        <f>C7*C5</f>
        <v>2108.4</v>
      </c>
      <c r="E28" s="36">
        <f>C28*D28</f>
        <v>10.331160000000001</v>
      </c>
      <c r="F28" s="45"/>
      <c r="G28" s="25">
        <f>Rates!I185</f>
        <v>5.0000000000000001E-3</v>
      </c>
      <c r="H28" s="37">
        <f>D28</f>
        <v>2108.4</v>
      </c>
      <c r="I28" s="36">
        <f>G28*H28</f>
        <v>10.542</v>
      </c>
      <c r="J28" s="45"/>
      <c r="K28" s="36">
        <f t="shared" si="2"/>
        <v>0.21083999999999925</v>
      </c>
      <c r="L28" s="47">
        <f t="shared" si="3"/>
        <v>2.0408163265306048E-2</v>
      </c>
    </row>
    <row r="29" spans="2:12" x14ac:dyDescent="0.2">
      <c r="B29" s="49" t="s">
        <v>57</v>
      </c>
      <c r="C29" s="50"/>
      <c r="D29" s="51"/>
      <c r="E29" s="52">
        <f>SUM(E26:E28)</f>
        <v>109.62358400000001</v>
      </c>
      <c r="F29" s="53"/>
      <c r="G29" s="50"/>
      <c r="H29" s="52"/>
      <c r="I29" s="52">
        <f>SUM(I26:I28)</f>
        <v>107.72358400000002</v>
      </c>
      <c r="J29" s="53"/>
      <c r="K29" s="54">
        <f t="shared" si="2"/>
        <v>-1.8999999999999915</v>
      </c>
      <c r="L29" s="55">
        <f t="shared" si="3"/>
        <v>-1.7332036872649514E-2</v>
      </c>
    </row>
    <row r="30" spans="2:12" x14ac:dyDescent="0.2">
      <c r="B30" s="44" t="str">
        <f>Rates!B244</f>
        <v>Wholesale Market Service Rate</v>
      </c>
      <c r="C30" s="25">
        <f>Rates!E244</f>
        <v>4.4000000000000003E-3</v>
      </c>
      <c r="D30" s="37">
        <f>C5*C7</f>
        <v>2108.4</v>
      </c>
      <c r="E30" s="36">
        <f t="shared" ref="E30:E37" si="9">C30*D30</f>
        <v>9.2769600000000008</v>
      </c>
      <c r="F30" s="45"/>
      <c r="G30" s="25">
        <f>Rates!I244</f>
        <v>3.5999999999999999E-3</v>
      </c>
      <c r="H30" s="37">
        <f>D30</f>
        <v>2108.4</v>
      </c>
      <c r="I30" s="36">
        <f t="shared" ref="I30:I37" si="10">G30*H30</f>
        <v>7.5902400000000005</v>
      </c>
      <c r="J30" s="45"/>
      <c r="K30" s="36">
        <f t="shared" si="2"/>
        <v>-1.6867200000000002</v>
      </c>
      <c r="L30" s="47">
        <f t="shared" si="3"/>
        <v>-0.18181818181818182</v>
      </c>
    </row>
    <row r="31" spans="2:12" x14ac:dyDescent="0.2">
      <c r="B31" s="44" t="str">
        <f>Rates!B245</f>
        <v>Rural Rate Protection Charge</v>
      </c>
      <c r="C31" s="25">
        <f>Rates!E245</f>
        <v>1.2999999999999999E-3</v>
      </c>
      <c r="D31" s="37">
        <f>C5*C7</f>
        <v>2108.4</v>
      </c>
      <c r="E31" s="36">
        <f t="shared" si="9"/>
        <v>2.74092</v>
      </c>
      <c r="F31" s="45"/>
      <c r="G31" s="25">
        <f>Rates!I245</f>
        <v>1.2999999999999999E-3</v>
      </c>
      <c r="H31" s="37">
        <f t="shared" ref="H31:H32" si="11">D31</f>
        <v>2108.4</v>
      </c>
      <c r="I31" s="36">
        <f t="shared" si="10"/>
        <v>2.74092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Rates!B247</f>
        <v>Standard Supply Service - Administrative Charge (if applicable)</v>
      </c>
      <c r="C32" s="36">
        <f>Rates!E247</f>
        <v>0.25</v>
      </c>
      <c r="D32" s="37">
        <v>1</v>
      </c>
      <c r="E32" s="36">
        <f t="shared" si="9"/>
        <v>0.25</v>
      </c>
      <c r="F32" s="45"/>
      <c r="G32" s="36">
        <f>Rates!I247</f>
        <v>0.25</v>
      </c>
      <c r="H32" s="37">
        <f t="shared" si="11"/>
        <v>1</v>
      </c>
      <c r="I32" s="36">
        <f t="shared" si="10"/>
        <v>0.25</v>
      </c>
      <c r="J32" s="45"/>
      <c r="K32" s="36">
        <f t="shared" si="2"/>
        <v>0</v>
      </c>
      <c r="L32" s="47">
        <f t="shared" si="3"/>
        <v>0</v>
      </c>
    </row>
    <row r="33" spans="2:12" x14ac:dyDescent="0.2">
      <c r="B33" s="44" t="str">
        <f>Rates!B250</f>
        <v>Debt Retirement Charge</v>
      </c>
      <c r="C33" s="25">
        <f>Rates!E253</f>
        <v>7.0000000000000001E-3</v>
      </c>
      <c r="D33" s="37">
        <f>C7</f>
        <v>2000</v>
      </c>
      <c r="E33" s="36">
        <f t="shared" si="9"/>
        <v>14</v>
      </c>
      <c r="F33" s="45"/>
      <c r="G33" s="25">
        <f>Rates!I253</f>
        <v>0</v>
      </c>
      <c r="H33" s="37">
        <f>D33</f>
        <v>2000</v>
      </c>
      <c r="I33" s="36">
        <f t="shared" si="10"/>
        <v>0</v>
      </c>
      <c r="J33" s="45"/>
      <c r="K33" s="36">
        <f t="shared" si="2"/>
        <v>-14</v>
      </c>
      <c r="L33" s="47">
        <f t="shared" si="3"/>
        <v>-1</v>
      </c>
    </row>
    <row r="34" spans="2:12" x14ac:dyDescent="0.2">
      <c r="B34" s="44" t="str">
        <f>Rates!B246</f>
        <v>Ontario Electricity Support Program</v>
      </c>
      <c r="C34" s="25"/>
      <c r="D34" s="37"/>
      <c r="E34" s="36"/>
      <c r="F34" s="45"/>
      <c r="G34" s="25">
        <f>Rates!I246</f>
        <v>1.1000000000000001E-3</v>
      </c>
      <c r="H34" s="37">
        <f>C7</f>
        <v>2000</v>
      </c>
      <c r="I34" s="36">
        <f t="shared" si="10"/>
        <v>2.2000000000000002</v>
      </c>
      <c r="J34" s="45"/>
      <c r="K34" s="36"/>
      <c r="L34" s="47"/>
    </row>
    <row r="35" spans="2:12" x14ac:dyDescent="0.2">
      <c r="B35" s="44" t="str">
        <f>Rates!B263</f>
        <v>TOU - Off Peak</v>
      </c>
      <c r="C35" s="25">
        <f>Rates!E263</f>
        <v>8.3000000000000004E-2</v>
      </c>
      <c r="D35" s="37">
        <f>C7*0.64</f>
        <v>1280</v>
      </c>
      <c r="E35" s="36">
        <f t="shared" si="9"/>
        <v>106.24000000000001</v>
      </c>
      <c r="F35" s="45"/>
      <c r="G35" s="25">
        <f>Rates!I263</f>
        <v>8.3000000000000004E-2</v>
      </c>
      <c r="H35" s="37">
        <f>D35</f>
        <v>1280</v>
      </c>
      <c r="I35" s="36">
        <f t="shared" si="10"/>
        <v>106.24000000000001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Rates!B264</f>
        <v>TOU - Mid Peak</v>
      </c>
      <c r="C36" s="25">
        <f>Rates!E264</f>
        <v>0.128</v>
      </c>
      <c r="D36" s="37">
        <f>C7*0.18</f>
        <v>360</v>
      </c>
      <c r="E36" s="36">
        <f t="shared" si="9"/>
        <v>46.08</v>
      </c>
      <c r="F36" s="45"/>
      <c r="G36" s="25">
        <f>Rates!I264</f>
        <v>0.128</v>
      </c>
      <c r="H36" s="37">
        <f t="shared" ref="H36:H37" si="12">D36</f>
        <v>360</v>
      </c>
      <c r="I36" s="36">
        <f t="shared" si="10"/>
        <v>46.08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44" t="str">
        <f>Rates!B265</f>
        <v>TOU - On Peak</v>
      </c>
      <c r="C37" s="25">
        <f>Rates!E265</f>
        <v>0.17499999999999999</v>
      </c>
      <c r="D37" s="37">
        <f>C7*0.18</f>
        <v>360</v>
      </c>
      <c r="E37" s="36">
        <f t="shared" si="9"/>
        <v>62.999999999999993</v>
      </c>
      <c r="F37" s="45"/>
      <c r="G37" s="25">
        <f>Rates!I265</f>
        <v>0.17499999999999999</v>
      </c>
      <c r="H37" s="37">
        <f t="shared" si="12"/>
        <v>360</v>
      </c>
      <c r="I37" s="36">
        <f t="shared" si="10"/>
        <v>62.999999999999993</v>
      </c>
      <c r="J37" s="45"/>
      <c r="K37" s="36">
        <f t="shared" si="2"/>
        <v>0</v>
      </c>
      <c r="L37" s="47">
        <f t="shared" si="3"/>
        <v>0</v>
      </c>
    </row>
    <row r="38" spans="2:12" x14ac:dyDescent="0.2">
      <c r="B38" s="56"/>
      <c r="C38" s="51"/>
      <c r="D38" s="51"/>
      <c r="E38" s="51"/>
      <c r="F38" s="53"/>
      <c r="G38" s="51"/>
      <c r="H38" s="51"/>
      <c r="I38" s="51"/>
      <c r="J38" s="53"/>
      <c r="K38" s="54"/>
      <c r="L38" s="55"/>
    </row>
    <row r="39" spans="2:12" x14ac:dyDescent="0.2">
      <c r="B39" s="23" t="s">
        <v>58</v>
      </c>
      <c r="C39" s="35"/>
      <c r="D39" s="35"/>
      <c r="E39" s="39">
        <f>SUM(E29:E37)</f>
        <v>351.21146400000003</v>
      </c>
      <c r="F39" s="45"/>
      <c r="G39" s="35"/>
      <c r="H39" s="39"/>
      <c r="I39" s="39">
        <f>SUM(I29:I37)</f>
        <v>335.82474400000001</v>
      </c>
      <c r="J39" s="45"/>
      <c r="K39" s="36">
        <f t="shared" si="2"/>
        <v>-15.386720000000025</v>
      </c>
      <c r="L39" s="47">
        <f t="shared" si="3"/>
        <v>-4.3810415026771514E-2</v>
      </c>
    </row>
    <row r="40" spans="2:12" x14ac:dyDescent="0.2">
      <c r="B40" s="44" t="str">
        <f>Rates!B269</f>
        <v>HST</v>
      </c>
      <c r="C40" s="41">
        <f>Rates!E269</f>
        <v>0.13</v>
      </c>
      <c r="D40" s="35"/>
      <c r="E40" s="42">
        <f>E39*C40</f>
        <v>45.657490320000008</v>
      </c>
      <c r="F40" s="45"/>
      <c r="G40" s="41">
        <f>Rates!I269</f>
        <v>0.13</v>
      </c>
      <c r="H40" s="35"/>
      <c r="I40" s="42">
        <f>I39*G40</f>
        <v>43.657216720000001</v>
      </c>
      <c r="J40" s="45"/>
      <c r="K40" s="36">
        <f t="shared" si="2"/>
        <v>-2.000273600000007</v>
      </c>
      <c r="L40" s="47">
        <f t="shared" si="3"/>
        <v>-4.3810415026771597E-2</v>
      </c>
    </row>
    <row r="41" spans="2:12" x14ac:dyDescent="0.2">
      <c r="B41" s="23" t="s">
        <v>59</v>
      </c>
      <c r="C41" s="35"/>
      <c r="D41" s="35"/>
      <c r="E41" s="42">
        <f>E39+E40</f>
        <v>396.86895432000006</v>
      </c>
      <c r="F41" s="45"/>
      <c r="G41" s="35"/>
      <c r="H41" s="35"/>
      <c r="I41" s="42">
        <f>I39+I40</f>
        <v>379.48196072000002</v>
      </c>
      <c r="J41" s="45"/>
      <c r="K41" s="36">
        <f t="shared" si="2"/>
        <v>-17.386993600000039</v>
      </c>
      <c r="L41" s="47">
        <f t="shared" si="3"/>
        <v>-4.3810415026771542E-2</v>
      </c>
    </row>
    <row r="42" spans="2:12" x14ac:dyDescent="0.2">
      <c r="B42" s="44" t="str">
        <f>Rates!B271</f>
        <v>OCEB</v>
      </c>
      <c r="C42" s="41">
        <f>Rates!E271</f>
        <v>-0.1</v>
      </c>
      <c r="D42" s="35"/>
      <c r="E42" s="42">
        <f>E41*C42</f>
        <v>-39.686895432000007</v>
      </c>
      <c r="F42" s="45"/>
      <c r="G42" s="41">
        <f>Rates!I271</f>
        <v>0</v>
      </c>
      <c r="H42" s="35"/>
      <c r="I42" s="42">
        <f>I41*G42</f>
        <v>0</v>
      </c>
      <c r="J42" s="45"/>
      <c r="K42" s="36">
        <f t="shared" si="2"/>
        <v>39.686895432000007</v>
      </c>
      <c r="L42" s="47">
        <f t="shared" si="3"/>
        <v>-1</v>
      </c>
    </row>
    <row r="43" spans="2:12" ht="13.5" thickBot="1" x14ac:dyDescent="0.25">
      <c r="B43" s="30" t="s">
        <v>60</v>
      </c>
      <c r="C43" s="57"/>
      <c r="D43" s="57"/>
      <c r="E43" s="58">
        <f>E41+E42</f>
        <v>357.18205888800003</v>
      </c>
      <c r="F43" s="59"/>
      <c r="G43" s="57"/>
      <c r="H43" s="57"/>
      <c r="I43" s="58">
        <f>I41+I42</f>
        <v>379.48196072000002</v>
      </c>
      <c r="J43" s="59"/>
      <c r="K43" s="60">
        <f t="shared" si="2"/>
        <v>22.299901831999989</v>
      </c>
      <c r="L43" s="61">
        <f t="shared" si="3"/>
        <v>6.2432872192476133E-2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L43"/>
  <sheetViews>
    <sheetView showGridLines="0" workbookViewId="0">
      <selection activeCell="C3" sqref="C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Rates!B158</f>
        <v>CNPI - Port Colborne</v>
      </c>
    </row>
    <row r="3" spans="2:12" ht="15.75" x14ac:dyDescent="0.25">
      <c r="B3" s="24" t="str">
        <f>Rates!B173</f>
        <v>General Service Less Than 50kW</v>
      </c>
      <c r="C3" s="1" t="s">
        <v>103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2000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Rates!E174</f>
        <v>28.76</v>
      </c>
      <c r="D14" s="37">
        <f>C6</f>
        <v>1</v>
      </c>
      <c r="E14" s="36">
        <f>C14*D14</f>
        <v>28.76</v>
      </c>
      <c r="F14" s="45"/>
      <c r="G14" s="36">
        <f>Rates!I174</f>
        <v>28.26</v>
      </c>
      <c r="H14" s="37">
        <f>D14</f>
        <v>1</v>
      </c>
      <c r="I14" s="36">
        <f>G14*H14</f>
        <v>28.26</v>
      </c>
      <c r="J14" s="45"/>
      <c r="K14" s="36">
        <f>I14-E14</f>
        <v>-0.5</v>
      </c>
      <c r="L14" s="47">
        <f>IF((E14)=0," ",K14/E14)</f>
        <v>-1.7385257301808066E-2</v>
      </c>
    </row>
    <row r="15" spans="2:12" x14ac:dyDescent="0.2">
      <c r="B15" s="44" t="str">
        <f>Rates!B8</f>
        <v>Distribution Volumetric Rate</v>
      </c>
      <c r="C15" s="25">
        <f>Rates!E176</f>
        <v>2.1999999999999999E-2</v>
      </c>
      <c r="D15" s="38">
        <f>C7</f>
        <v>2000</v>
      </c>
      <c r="E15" s="36">
        <f t="shared" ref="E15" si="0">C15*D15</f>
        <v>44</v>
      </c>
      <c r="F15" s="45"/>
      <c r="G15" s="25">
        <f>Rates!I176</f>
        <v>2.3E-2</v>
      </c>
      <c r="H15" s="38">
        <f>D15</f>
        <v>2000</v>
      </c>
      <c r="I15" s="36">
        <f t="shared" ref="I15" si="1">G15*H15</f>
        <v>46</v>
      </c>
      <c r="J15" s="45"/>
      <c r="K15" s="36">
        <f t="shared" ref="K15:K43" si="2">I15-E15</f>
        <v>2</v>
      </c>
      <c r="L15" s="47">
        <f t="shared" ref="L15:L43" si="3">IF((E15)=0," ",K15/E15)</f>
        <v>4.5454545454545456E-2</v>
      </c>
    </row>
    <row r="16" spans="2:12" x14ac:dyDescent="0.2">
      <c r="B16" s="49" t="s">
        <v>36</v>
      </c>
      <c r="C16" s="50"/>
      <c r="D16" s="51"/>
      <c r="E16" s="52">
        <f>SUM(E14:E15)</f>
        <v>72.760000000000005</v>
      </c>
      <c r="F16" s="53"/>
      <c r="G16" s="50"/>
      <c r="H16" s="51"/>
      <c r="I16" s="52">
        <f>SUM(I14:I15)</f>
        <v>74.260000000000005</v>
      </c>
      <c r="J16" s="53"/>
      <c r="K16" s="54">
        <f t="shared" si="2"/>
        <v>1.5</v>
      </c>
      <c r="L16" s="55">
        <f t="shared" si="3"/>
        <v>2.0615722924683891E-2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108.40000000000005</v>
      </c>
      <c r="E17" s="36">
        <f t="shared" ref="E17:E25" si="4">C17*D17</f>
        <v>11.670344000000005</v>
      </c>
      <c r="F17" s="45"/>
      <c r="G17" s="25">
        <f>Rates!I267</f>
        <v>0.10766000000000001</v>
      </c>
      <c r="H17" s="40">
        <f>(C5-1)*C7</f>
        <v>108.40000000000005</v>
      </c>
      <c r="I17" s="36">
        <f t="shared" ref="I17:I25" si="5">G17*H17</f>
        <v>11.670344000000005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Rates!B178</f>
        <v>Rate Rider for Deferral/Variance Account Disposition (2015) - effective until December 31, 2016</v>
      </c>
      <c r="C18" s="25">
        <f>Rates!E178</f>
        <v>-5.9999999999999995E-4</v>
      </c>
      <c r="D18" s="37">
        <f>C7</f>
        <v>2000</v>
      </c>
      <c r="E18" s="36">
        <f t="shared" si="4"/>
        <v>-1.2</v>
      </c>
      <c r="F18" s="45"/>
      <c r="G18" s="25">
        <f>Rates!I178</f>
        <v>-5.9999999999999995E-4</v>
      </c>
      <c r="H18" s="37">
        <f t="shared" ref="H18:H25" si="6">D18</f>
        <v>2000</v>
      </c>
      <c r="I18" s="36">
        <f t="shared" si="5"/>
        <v>-1.2</v>
      </c>
      <c r="J18" s="45"/>
      <c r="K18" s="36">
        <f t="shared" ref="K18:K23" si="7">I18-E18</f>
        <v>0</v>
      </c>
      <c r="L18" s="47">
        <f t="shared" ref="L18:L23" si="8">IF((E18)=0," ",K18/E18)</f>
        <v>0</v>
      </c>
    </row>
    <row r="19" spans="2:12" ht="25.5" x14ac:dyDescent="0.2">
      <c r="B19" s="48" t="str">
        <f>Rates!B179</f>
        <v>Rate Rider for Global Adjustment Sub-Account Disposition (2015) - effective until December 31, 2016 Applicable only for Non-RPP Customers</v>
      </c>
      <c r="C19" s="25">
        <f>Rates!E179</f>
        <v>-2.3E-3</v>
      </c>
      <c r="D19" s="37">
        <f>C7</f>
        <v>2000</v>
      </c>
      <c r="E19" s="36">
        <f t="shared" si="4"/>
        <v>-4.5999999999999996</v>
      </c>
      <c r="F19" s="45"/>
      <c r="G19" s="25">
        <f>Rates!I179</f>
        <v>-2.3E-3</v>
      </c>
      <c r="H19" s="37">
        <f t="shared" si="6"/>
        <v>2000</v>
      </c>
      <c r="I19" s="36">
        <f t="shared" si="5"/>
        <v>-4.5999999999999996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Rates!B180</f>
        <v>Rate Rider for Deferral/Variance Account Disposition (2016) - effective until December 31, 2017</v>
      </c>
      <c r="C20" s="25">
        <f>Rates!E180</f>
        <v>0</v>
      </c>
      <c r="D20" s="37">
        <f>C7</f>
        <v>2000</v>
      </c>
      <c r="E20" s="36">
        <f t="shared" si="4"/>
        <v>0</v>
      </c>
      <c r="F20" s="45"/>
      <c r="G20" s="25">
        <f>Rates!I180</f>
        <v>-1.2999999999999999E-3</v>
      </c>
      <c r="H20" s="37">
        <f t="shared" si="6"/>
        <v>2000</v>
      </c>
      <c r="I20" s="36">
        <f t="shared" si="5"/>
        <v>-2.6</v>
      </c>
      <c r="J20" s="45"/>
      <c r="K20" s="36">
        <f t="shared" ref="K20:K21" si="9">I20-E20</f>
        <v>-2.6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Rates!B181</f>
        <v>Rate Rider for Global Adjustment Sub-Account Disposition (2016) - effective until December 31, 2017 Applicable only for Non-RPP Customers</v>
      </c>
      <c r="C21" s="25">
        <f>Rates!E181</f>
        <v>0</v>
      </c>
      <c r="D21" s="37">
        <f>C7</f>
        <v>2000</v>
      </c>
      <c r="E21" s="36">
        <f t="shared" si="4"/>
        <v>0</v>
      </c>
      <c r="F21" s="45"/>
      <c r="G21" s="25">
        <f>Rates!I181</f>
        <v>1.9E-3</v>
      </c>
      <c r="H21" s="37">
        <f t="shared" si="6"/>
        <v>2000</v>
      </c>
      <c r="I21" s="36">
        <f t="shared" si="5"/>
        <v>3.8</v>
      </c>
      <c r="J21" s="45"/>
      <c r="K21" s="36">
        <f t="shared" si="9"/>
        <v>3.8</v>
      </c>
      <c r="L21" s="47" t="str">
        <f t="shared" si="10"/>
        <v xml:space="preserve"> </v>
      </c>
    </row>
    <row r="22" spans="2:12" x14ac:dyDescent="0.2">
      <c r="B22" s="44" t="str">
        <f>Rates!B168</f>
        <v>Rate Rider for the Disposition of Deferred PILs Variance Account 1562 - effective until December 31, 2016</v>
      </c>
      <c r="C22" s="25">
        <f>Rates!E182</f>
        <v>5.0000000000000001E-4</v>
      </c>
      <c r="D22" s="37">
        <f>C7</f>
        <v>2000</v>
      </c>
      <c r="E22" s="36">
        <f t="shared" si="4"/>
        <v>1</v>
      </c>
      <c r="F22" s="45"/>
      <c r="G22" s="25">
        <f>Rates!I182</f>
        <v>5.0000000000000001E-4</v>
      </c>
      <c r="H22" s="37">
        <f t="shared" si="6"/>
        <v>2000</v>
      </c>
      <c r="I22" s="36">
        <f t="shared" si="5"/>
        <v>1</v>
      </c>
      <c r="J22" s="45"/>
      <c r="K22" s="36">
        <f t="shared" si="7"/>
        <v>0</v>
      </c>
      <c r="L22" s="47">
        <f t="shared" si="8"/>
        <v>0</v>
      </c>
    </row>
    <row r="23" spans="2:12" x14ac:dyDescent="0.2">
      <c r="B23" s="48" t="str">
        <f>Rates!B183</f>
        <v>Rate Rider for Loss Revenue Adjustment Mechanism (LRAM) - effective until December 31, 2015</v>
      </c>
      <c r="C23" s="25">
        <f>Rates!E183</f>
        <v>4.0000000000000002E-4</v>
      </c>
      <c r="D23" s="37">
        <f>C7</f>
        <v>2000</v>
      </c>
      <c r="E23" s="36">
        <f t="shared" si="4"/>
        <v>0.8</v>
      </c>
      <c r="F23" s="45"/>
      <c r="G23" s="25">
        <f>Rates!I183</f>
        <v>0</v>
      </c>
      <c r="H23" s="37">
        <f t="shared" si="6"/>
        <v>2000</v>
      </c>
      <c r="I23" s="36">
        <f t="shared" si="5"/>
        <v>0</v>
      </c>
      <c r="J23" s="45"/>
      <c r="K23" s="36">
        <f t="shared" si="7"/>
        <v>-0.8</v>
      </c>
      <c r="L23" s="47">
        <f t="shared" si="8"/>
        <v>-1</v>
      </c>
    </row>
    <row r="24" spans="2:12" x14ac:dyDescent="0.2">
      <c r="B24" s="44" t="str">
        <f>Rates!B9</f>
        <v>Low Voltage Service Rate</v>
      </c>
      <c r="C24" s="25">
        <f>Rates!E177</f>
        <v>2.0000000000000001E-4</v>
      </c>
      <c r="D24" s="37">
        <f>C7</f>
        <v>2000</v>
      </c>
      <c r="E24" s="36">
        <f t="shared" si="4"/>
        <v>0.4</v>
      </c>
      <c r="F24" s="45"/>
      <c r="G24" s="25">
        <f>Rates!I177</f>
        <v>2.0000000000000001E-4</v>
      </c>
      <c r="H24" s="37">
        <f t="shared" si="6"/>
        <v>2000</v>
      </c>
      <c r="I24" s="36">
        <f t="shared" si="5"/>
        <v>0.4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4" t="str">
        <f>Rates!B248</f>
        <v>Smart Meter Entity Charge</v>
      </c>
      <c r="C25" s="36">
        <f>Rates!E248</f>
        <v>0.79</v>
      </c>
      <c r="D25" s="37">
        <f>C6</f>
        <v>1</v>
      </c>
      <c r="E25" s="36">
        <f t="shared" si="4"/>
        <v>0.79</v>
      </c>
      <c r="F25" s="45"/>
      <c r="G25" s="36">
        <f>Rates!I248</f>
        <v>0.79</v>
      </c>
      <c r="H25" s="37">
        <f t="shared" si="6"/>
        <v>1</v>
      </c>
      <c r="I25" s="36">
        <f t="shared" si="5"/>
        <v>0.79</v>
      </c>
      <c r="J25" s="45"/>
      <c r="K25" s="36">
        <f t="shared" si="2"/>
        <v>0</v>
      </c>
      <c r="L25" s="47">
        <f t="shared" si="3"/>
        <v>0</v>
      </c>
    </row>
    <row r="26" spans="2:12" x14ac:dyDescent="0.2">
      <c r="B26" s="49" t="s">
        <v>56</v>
      </c>
      <c r="C26" s="50"/>
      <c r="D26" s="51"/>
      <c r="E26" s="52">
        <f>SUM(E16:E25)</f>
        <v>81.620344000000017</v>
      </c>
      <c r="F26" s="53"/>
      <c r="G26" s="50"/>
      <c r="H26" s="51"/>
      <c r="I26" s="52">
        <f>SUM(I16:I25)</f>
        <v>83.520344000000023</v>
      </c>
      <c r="J26" s="53"/>
      <c r="K26" s="54">
        <f t="shared" si="2"/>
        <v>1.9000000000000057</v>
      </c>
      <c r="L26" s="55">
        <f t="shared" si="3"/>
        <v>2.3278510073419995E-2</v>
      </c>
    </row>
    <row r="27" spans="2:12" x14ac:dyDescent="0.2">
      <c r="B27" s="44" t="str">
        <f>Rates!B15</f>
        <v>Retail Transmission Rate - Network Service Rate</v>
      </c>
      <c r="C27" s="25">
        <f>Rates!E184</f>
        <v>6.1999999999999998E-3</v>
      </c>
      <c r="D27" s="37">
        <f>C7*C5</f>
        <v>2108.4</v>
      </c>
      <c r="E27" s="36">
        <f>C27*D27</f>
        <v>13.07208</v>
      </c>
      <c r="F27" s="45"/>
      <c r="G27" s="25">
        <f>Rates!I184</f>
        <v>6.1000000000000004E-3</v>
      </c>
      <c r="H27" s="37">
        <f>D27</f>
        <v>2108.4</v>
      </c>
      <c r="I27" s="36">
        <f>G27*H27</f>
        <v>12.861240000000002</v>
      </c>
      <c r="J27" s="45"/>
      <c r="K27" s="36">
        <f t="shared" si="2"/>
        <v>-0.21083999999999747</v>
      </c>
      <c r="L27" s="47">
        <f t="shared" si="3"/>
        <v>-1.6129032258064325E-2</v>
      </c>
    </row>
    <row r="28" spans="2:12" x14ac:dyDescent="0.2">
      <c r="B28" s="44" t="str">
        <f>Rates!B16</f>
        <v>Retail Transmission Rate - Line and Transformation Connection Service Rate</v>
      </c>
      <c r="C28" s="25">
        <f>Rates!E185</f>
        <v>4.8999999999999998E-3</v>
      </c>
      <c r="D28" s="37">
        <f>C7*C5</f>
        <v>2108.4</v>
      </c>
      <c r="E28" s="36">
        <f>C28*D28</f>
        <v>10.331160000000001</v>
      </c>
      <c r="F28" s="45"/>
      <c r="G28" s="25">
        <f>Rates!I185</f>
        <v>5.0000000000000001E-3</v>
      </c>
      <c r="H28" s="37">
        <f>D28</f>
        <v>2108.4</v>
      </c>
      <c r="I28" s="36">
        <f>G28*H28</f>
        <v>10.542</v>
      </c>
      <c r="J28" s="45"/>
      <c r="K28" s="36">
        <f t="shared" si="2"/>
        <v>0.21083999999999925</v>
      </c>
      <c r="L28" s="47">
        <f t="shared" si="3"/>
        <v>2.0408163265306048E-2</v>
      </c>
    </row>
    <row r="29" spans="2:12" x14ac:dyDescent="0.2">
      <c r="B29" s="49" t="s">
        <v>57</v>
      </c>
      <c r="C29" s="50"/>
      <c r="D29" s="51"/>
      <c r="E29" s="52">
        <f>SUM(E26:E28)</f>
        <v>105.02358400000001</v>
      </c>
      <c r="F29" s="53"/>
      <c r="G29" s="50"/>
      <c r="H29" s="52"/>
      <c r="I29" s="52">
        <f>SUM(I26:I28)</f>
        <v>106.92358400000003</v>
      </c>
      <c r="J29" s="53"/>
      <c r="K29" s="54">
        <f t="shared" si="2"/>
        <v>1.9000000000000199</v>
      </c>
      <c r="L29" s="55">
        <f t="shared" si="3"/>
        <v>1.8091174645116087E-2</v>
      </c>
    </row>
    <row r="30" spans="2:12" x14ac:dyDescent="0.2">
      <c r="B30" s="44" t="str">
        <f>Rates!B244</f>
        <v>Wholesale Market Service Rate</v>
      </c>
      <c r="C30" s="25">
        <f>Rates!E244</f>
        <v>4.4000000000000003E-3</v>
      </c>
      <c r="D30" s="37">
        <f>C5*C7</f>
        <v>2108.4</v>
      </c>
      <c r="E30" s="36">
        <f t="shared" ref="E30:E37" si="11">C30*D30</f>
        <v>9.2769600000000008</v>
      </c>
      <c r="F30" s="45"/>
      <c r="G30" s="25">
        <f>Rates!I244</f>
        <v>3.5999999999999999E-3</v>
      </c>
      <c r="H30" s="37">
        <f>D30</f>
        <v>2108.4</v>
      </c>
      <c r="I30" s="36">
        <f t="shared" ref="I30:I37" si="12">G30*H30</f>
        <v>7.5902400000000005</v>
      </c>
      <c r="J30" s="45"/>
      <c r="K30" s="36">
        <f t="shared" si="2"/>
        <v>-1.6867200000000002</v>
      </c>
      <c r="L30" s="47">
        <f t="shared" si="3"/>
        <v>-0.18181818181818182</v>
      </c>
    </row>
    <row r="31" spans="2:12" x14ac:dyDescent="0.2">
      <c r="B31" s="44" t="str">
        <f>Rates!B245</f>
        <v>Rural Rate Protection Charge</v>
      </c>
      <c r="C31" s="25">
        <f>Rates!E245</f>
        <v>1.2999999999999999E-3</v>
      </c>
      <c r="D31" s="37">
        <f>C5*C7</f>
        <v>2108.4</v>
      </c>
      <c r="E31" s="36">
        <f t="shared" si="11"/>
        <v>2.74092</v>
      </c>
      <c r="F31" s="45"/>
      <c r="G31" s="25">
        <f>Rates!I245</f>
        <v>1.2999999999999999E-3</v>
      </c>
      <c r="H31" s="37">
        <f t="shared" ref="H31:H32" si="13">D31</f>
        <v>2108.4</v>
      </c>
      <c r="I31" s="36">
        <f t="shared" si="12"/>
        <v>2.74092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Rates!B247</f>
        <v>Standard Supply Service - Administrative Charge (if applicable)</v>
      </c>
      <c r="C32" s="36">
        <f>Rates!E247</f>
        <v>0.25</v>
      </c>
      <c r="D32" s="37">
        <v>1</v>
      </c>
      <c r="E32" s="36">
        <f t="shared" si="11"/>
        <v>0.25</v>
      </c>
      <c r="F32" s="45"/>
      <c r="G32" s="36">
        <f>Rates!I247</f>
        <v>0.25</v>
      </c>
      <c r="H32" s="37">
        <f t="shared" si="13"/>
        <v>1</v>
      </c>
      <c r="I32" s="36">
        <f t="shared" si="12"/>
        <v>0.25</v>
      </c>
      <c r="J32" s="45"/>
      <c r="K32" s="36">
        <f t="shared" si="2"/>
        <v>0</v>
      </c>
      <c r="L32" s="47">
        <f t="shared" si="3"/>
        <v>0</v>
      </c>
    </row>
    <row r="33" spans="2:12" x14ac:dyDescent="0.2">
      <c r="B33" s="44" t="str">
        <f>Rates!B250</f>
        <v>Debt Retirement Charge</v>
      </c>
      <c r="C33" s="25">
        <f>Rates!E253</f>
        <v>7.0000000000000001E-3</v>
      </c>
      <c r="D33" s="37">
        <f>C7</f>
        <v>2000</v>
      </c>
      <c r="E33" s="36">
        <f t="shared" si="11"/>
        <v>14</v>
      </c>
      <c r="F33" s="45"/>
      <c r="G33" s="25">
        <f>Rates!I253</f>
        <v>0</v>
      </c>
      <c r="H33" s="37">
        <f>D33</f>
        <v>2000</v>
      </c>
      <c r="I33" s="36">
        <f t="shared" si="12"/>
        <v>0</v>
      </c>
      <c r="J33" s="45"/>
      <c r="K33" s="36">
        <f t="shared" si="2"/>
        <v>-14</v>
      </c>
      <c r="L33" s="47">
        <f t="shared" si="3"/>
        <v>-1</v>
      </c>
    </row>
    <row r="34" spans="2:12" x14ac:dyDescent="0.2">
      <c r="B34" s="44" t="str">
        <f>Rates!B246</f>
        <v>Ontario Electricity Support Program</v>
      </c>
      <c r="C34" s="25"/>
      <c r="D34" s="37"/>
      <c r="E34" s="36"/>
      <c r="F34" s="45"/>
      <c r="G34" s="25">
        <f>Rates!I246</f>
        <v>1.1000000000000001E-3</v>
      </c>
      <c r="H34" s="37">
        <f>C7</f>
        <v>2000</v>
      </c>
      <c r="I34" s="36">
        <f t="shared" si="12"/>
        <v>2.2000000000000002</v>
      </c>
      <c r="J34" s="45"/>
      <c r="K34" s="36"/>
      <c r="L34" s="47"/>
    </row>
    <row r="35" spans="2:12" x14ac:dyDescent="0.2">
      <c r="B35" s="44" t="str">
        <f>Rates!B263</f>
        <v>TOU - Off Peak</v>
      </c>
      <c r="C35" s="25">
        <f>Rates!E263</f>
        <v>8.3000000000000004E-2</v>
      </c>
      <c r="D35" s="37">
        <f>C7*0.64</f>
        <v>1280</v>
      </c>
      <c r="E35" s="36">
        <f t="shared" si="11"/>
        <v>106.24000000000001</v>
      </c>
      <c r="F35" s="45"/>
      <c r="G35" s="25">
        <f>Rates!I263</f>
        <v>8.3000000000000004E-2</v>
      </c>
      <c r="H35" s="37">
        <f>D35</f>
        <v>1280</v>
      </c>
      <c r="I35" s="36">
        <f t="shared" si="12"/>
        <v>106.24000000000001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Rates!B264</f>
        <v>TOU - Mid Peak</v>
      </c>
      <c r="C36" s="25">
        <f>Rates!E264</f>
        <v>0.128</v>
      </c>
      <c r="D36" s="37">
        <f>C7*0.18</f>
        <v>360</v>
      </c>
      <c r="E36" s="36">
        <f t="shared" si="11"/>
        <v>46.08</v>
      </c>
      <c r="F36" s="45"/>
      <c r="G36" s="25">
        <f>Rates!I264</f>
        <v>0.128</v>
      </c>
      <c r="H36" s="37">
        <f t="shared" ref="H36:H37" si="14">D36</f>
        <v>360</v>
      </c>
      <c r="I36" s="36">
        <f t="shared" si="12"/>
        <v>46.08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44" t="str">
        <f>Rates!B265</f>
        <v>TOU - On Peak</v>
      </c>
      <c r="C37" s="25">
        <f>Rates!E265</f>
        <v>0.17499999999999999</v>
      </c>
      <c r="D37" s="37">
        <f>C7*0.18</f>
        <v>360</v>
      </c>
      <c r="E37" s="36">
        <f t="shared" si="11"/>
        <v>62.999999999999993</v>
      </c>
      <c r="F37" s="45"/>
      <c r="G37" s="25">
        <f>Rates!I265</f>
        <v>0.17499999999999999</v>
      </c>
      <c r="H37" s="37">
        <f t="shared" si="14"/>
        <v>360</v>
      </c>
      <c r="I37" s="36">
        <f t="shared" si="12"/>
        <v>62.999999999999993</v>
      </c>
      <c r="J37" s="45"/>
      <c r="K37" s="36">
        <f t="shared" si="2"/>
        <v>0</v>
      </c>
      <c r="L37" s="47">
        <f t="shared" si="3"/>
        <v>0</v>
      </c>
    </row>
    <row r="38" spans="2:12" x14ac:dyDescent="0.2">
      <c r="B38" s="56"/>
      <c r="C38" s="51"/>
      <c r="D38" s="51"/>
      <c r="E38" s="51"/>
      <c r="F38" s="53"/>
      <c r="G38" s="51"/>
      <c r="H38" s="51"/>
      <c r="I38" s="51"/>
      <c r="J38" s="53"/>
      <c r="K38" s="54"/>
      <c r="L38" s="55"/>
    </row>
    <row r="39" spans="2:12" x14ac:dyDescent="0.2">
      <c r="B39" s="23" t="s">
        <v>58</v>
      </c>
      <c r="C39" s="35"/>
      <c r="D39" s="35"/>
      <c r="E39" s="39">
        <f>SUM(E29:E37)</f>
        <v>346.61146400000001</v>
      </c>
      <c r="F39" s="45"/>
      <c r="G39" s="35"/>
      <c r="H39" s="39"/>
      <c r="I39" s="39">
        <f>SUM(I29:I37)</f>
        <v>335.02474400000006</v>
      </c>
      <c r="J39" s="45"/>
      <c r="K39" s="36">
        <f t="shared" si="2"/>
        <v>-11.586719999999957</v>
      </c>
      <c r="L39" s="47">
        <f t="shared" si="3"/>
        <v>-3.3428553880722064E-2</v>
      </c>
    </row>
    <row r="40" spans="2:12" x14ac:dyDescent="0.2">
      <c r="B40" s="44" t="str">
        <f>Rates!B269</f>
        <v>HST</v>
      </c>
      <c r="C40" s="41">
        <f>Rates!E269</f>
        <v>0.13</v>
      </c>
      <c r="D40" s="35"/>
      <c r="E40" s="42">
        <f>E39*C40</f>
        <v>45.059490320000002</v>
      </c>
      <c r="F40" s="45"/>
      <c r="G40" s="41">
        <f>Rates!I269</f>
        <v>0.13</v>
      </c>
      <c r="H40" s="35"/>
      <c r="I40" s="42">
        <f>I39*G40</f>
        <v>43.553216720000009</v>
      </c>
      <c r="J40" s="45"/>
      <c r="K40" s="36">
        <f t="shared" si="2"/>
        <v>-1.506273599999993</v>
      </c>
      <c r="L40" s="47">
        <f t="shared" si="3"/>
        <v>-3.3428553880722037E-2</v>
      </c>
    </row>
    <row r="41" spans="2:12" x14ac:dyDescent="0.2">
      <c r="B41" s="23" t="s">
        <v>59</v>
      </c>
      <c r="C41" s="35"/>
      <c r="D41" s="35"/>
      <c r="E41" s="42">
        <f>E39+E40</f>
        <v>391.67095432000002</v>
      </c>
      <c r="F41" s="45"/>
      <c r="G41" s="35"/>
      <c r="H41" s="35"/>
      <c r="I41" s="42">
        <f>I39+I40</f>
        <v>378.57796072000008</v>
      </c>
      <c r="J41" s="45"/>
      <c r="K41" s="36">
        <f t="shared" si="2"/>
        <v>-13.092993599999943</v>
      </c>
      <c r="L41" s="47">
        <f t="shared" si="3"/>
        <v>-3.3428553880722044E-2</v>
      </c>
    </row>
    <row r="42" spans="2:12" x14ac:dyDescent="0.2">
      <c r="B42" s="44" t="str">
        <f>Rates!B271</f>
        <v>OCEB</v>
      </c>
      <c r="C42" s="41">
        <f>Rates!E271</f>
        <v>-0.1</v>
      </c>
      <c r="D42" s="35"/>
      <c r="E42" s="42">
        <f>E41*C42</f>
        <v>-39.167095432000004</v>
      </c>
      <c r="F42" s="45"/>
      <c r="G42" s="41">
        <f>Rates!I271</f>
        <v>0</v>
      </c>
      <c r="H42" s="35"/>
      <c r="I42" s="42">
        <f>I41*G42</f>
        <v>0</v>
      </c>
      <c r="J42" s="45"/>
      <c r="K42" s="36">
        <f t="shared" si="2"/>
        <v>39.167095432000004</v>
      </c>
      <c r="L42" s="47">
        <f t="shared" si="3"/>
        <v>-1</v>
      </c>
    </row>
    <row r="43" spans="2:12" ht="13.5" thickBot="1" x14ac:dyDescent="0.25">
      <c r="B43" s="30" t="s">
        <v>60</v>
      </c>
      <c r="C43" s="57"/>
      <c r="D43" s="57"/>
      <c r="E43" s="58">
        <f>E41+E42</f>
        <v>352.50385888800002</v>
      </c>
      <c r="F43" s="59"/>
      <c r="G43" s="57"/>
      <c r="H43" s="57"/>
      <c r="I43" s="58">
        <f>I41+I42</f>
        <v>378.57796072000008</v>
      </c>
      <c r="J43" s="59"/>
      <c r="K43" s="60">
        <f t="shared" si="2"/>
        <v>26.074101832000053</v>
      </c>
      <c r="L43" s="61">
        <f t="shared" si="3"/>
        <v>7.3968273465864376E-2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L40"/>
  <sheetViews>
    <sheetView showGridLines="0" workbookViewId="0">
      <selection activeCell="C3" sqref="C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5" max="5" width="10.28515625" bestFit="1" customWidth="1"/>
    <col min="6" max="6" width="1.7109375" customWidth="1"/>
    <col min="9" max="9" width="10.28515625" bestFit="1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Rates!B158</f>
        <v>CNPI - Port Colborne</v>
      </c>
    </row>
    <row r="3" spans="2:12" ht="15.75" x14ac:dyDescent="0.25">
      <c r="B3" s="24" t="str">
        <f>Rates!B187</f>
        <v>General Service 50kW to 4,999kW</v>
      </c>
      <c r="C3" s="1" t="s">
        <v>103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68620</v>
      </c>
    </row>
    <row r="8" spans="2:12" x14ac:dyDescent="0.2">
      <c r="B8" s="28" t="s">
        <v>63</v>
      </c>
      <c r="C8" s="29">
        <v>200</v>
      </c>
    </row>
    <row r="9" spans="2:12" ht="13.5" thickBot="1" x14ac:dyDescent="0.25">
      <c r="B9" s="30" t="s">
        <v>64</v>
      </c>
      <c r="C9" s="31">
        <f>IF(C8=0,"n/a",C7/(C8*24*365/12))</f>
        <v>0.47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Rates!E188</f>
        <v>149.36000000000001</v>
      </c>
      <c r="D14" s="37">
        <f>C6</f>
        <v>1</v>
      </c>
      <c r="E14" s="36">
        <f>C14*D14</f>
        <v>149.36000000000001</v>
      </c>
      <c r="F14" s="45"/>
      <c r="G14" s="36">
        <f>Rates!I188</f>
        <v>151.83000000000001</v>
      </c>
      <c r="H14" s="37">
        <f>D14</f>
        <v>1</v>
      </c>
      <c r="I14" s="36">
        <f>G14*H14</f>
        <v>151.83000000000001</v>
      </c>
      <c r="J14" s="45"/>
      <c r="K14" s="36">
        <f>I14-E14</f>
        <v>2.4699999999999989</v>
      </c>
      <c r="L14" s="47">
        <f>IF((E14)=0," ",K14/E14)</f>
        <v>1.6537225495447231E-2</v>
      </c>
    </row>
    <row r="15" spans="2:12" x14ac:dyDescent="0.2">
      <c r="B15" s="44" t="str">
        <f>Rates!B8</f>
        <v>Distribution Volumetric Rate</v>
      </c>
      <c r="C15" s="25">
        <f>Rates!E189</f>
        <v>6.5800999999999998</v>
      </c>
      <c r="D15" s="38">
        <f>C8</f>
        <v>200</v>
      </c>
      <c r="E15" s="36">
        <f t="shared" ref="E15" si="0">C15*D15</f>
        <v>1316.02</v>
      </c>
      <c r="F15" s="45"/>
      <c r="G15" s="25">
        <f>Rates!I189</f>
        <v>6.6886999999999999</v>
      </c>
      <c r="H15" s="38">
        <f>D15</f>
        <v>200</v>
      </c>
      <c r="I15" s="36">
        <f t="shared" ref="I15" si="1">G15*H15</f>
        <v>1337.74</v>
      </c>
      <c r="J15" s="45"/>
      <c r="K15" s="36">
        <f t="shared" ref="K15:K40" si="2">I15-E15</f>
        <v>21.720000000000027</v>
      </c>
      <c r="L15" s="47">
        <f t="shared" ref="L15:L40" si="3">IF((E15)=0," ",K15/E15)</f>
        <v>1.6504308445160428E-2</v>
      </c>
    </row>
    <row r="16" spans="2:12" x14ac:dyDescent="0.2">
      <c r="B16" s="49" t="s">
        <v>36</v>
      </c>
      <c r="C16" s="50"/>
      <c r="D16" s="51"/>
      <c r="E16" s="52">
        <f>SUM(E14:E15)</f>
        <v>1465.38</v>
      </c>
      <c r="F16" s="53"/>
      <c r="G16" s="50"/>
      <c r="H16" s="51"/>
      <c r="I16" s="52">
        <f>SUM(I14:I15)</f>
        <v>1489.57</v>
      </c>
      <c r="J16" s="53"/>
      <c r="K16" s="54">
        <f t="shared" si="2"/>
        <v>24.189999999999827</v>
      </c>
      <c r="L16" s="55">
        <f t="shared" si="3"/>
        <v>1.6507663541197384E-2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3719.204000000002</v>
      </c>
      <c r="E17" s="36">
        <f t="shared" ref="E17:E24" si="4">C17*D17</f>
        <v>400.40950264000026</v>
      </c>
      <c r="F17" s="45"/>
      <c r="G17" s="25">
        <f>Rates!I267</f>
        <v>0.10766000000000001</v>
      </c>
      <c r="H17" s="40">
        <f>(C5-1)*C7</f>
        <v>3719.204000000002</v>
      </c>
      <c r="I17" s="36">
        <f t="shared" ref="I17:I24" si="5">G17*H17</f>
        <v>400.40950264000026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Rates!B191</f>
        <v>Rate Rider for Deferral/Variance Account Disposition (2015) - effective until December 31, 2016</v>
      </c>
      <c r="C18" s="25">
        <f>Rates!E191</f>
        <v>-3.8399999999999997E-2</v>
      </c>
      <c r="D18" s="37">
        <f>C8</f>
        <v>200</v>
      </c>
      <c r="E18" s="36">
        <f t="shared" si="4"/>
        <v>-7.68</v>
      </c>
      <c r="F18" s="45"/>
      <c r="G18" s="25">
        <f>Rates!I191</f>
        <v>-3.8399999999999997E-2</v>
      </c>
      <c r="H18" s="37">
        <f t="shared" ref="H18:H24" si="6">D18</f>
        <v>200</v>
      </c>
      <c r="I18" s="36">
        <f t="shared" si="5"/>
        <v>-7.68</v>
      </c>
      <c r="J18" s="45"/>
      <c r="K18" s="36">
        <f t="shared" ref="K18:K23" si="7">I18-E18</f>
        <v>0</v>
      </c>
      <c r="L18" s="47">
        <f t="shared" ref="L18:L23" si="8">IF((E18)=0," ",K18/E18)</f>
        <v>0</v>
      </c>
    </row>
    <row r="19" spans="2:12" ht="25.5" x14ac:dyDescent="0.2">
      <c r="B19" s="48" t="str">
        <f>Rates!B192</f>
        <v>Rate Rider for Global Adjustment Sub-Account Disposition (2015) - effective until December 31, 2016 Applicable only for Non-RPP Customers</v>
      </c>
      <c r="C19" s="25">
        <f>Rates!E192</f>
        <v>-0.67420000000000002</v>
      </c>
      <c r="D19" s="37">
        <f>C8</f>
        <v>200</v>
      </c>
      <c r="E19" s="36">
        <f t="shared" si="4"/>
        <v>-134.84</v>
      </c>
      <c r="F19" s="45"/>
      <c r="G19" s="25">
        <f>Rates!I192</f>
        <v>-0.67420000000000002</v>
      </c>
      <c r="H19" s="37">
        <f t="shared" si="6"/>
        <v>200</v>
      </c>
      <c r="I19" s="36">
        <f t="shared" si="5"/>
        <v>-134.84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Rates!B193</f>
        <v>Rate Rider for Deferral/Variance Account Disposition (2016) - effective until December 31, 2017</v>
      </c>
      <c r="C20" s="25">
        <f>Rates!E193</f>
        <v>0</v>
      </c>
      <c r="D20" s="37">
        <f>C8</f>
        <v>200</v>
      </c>
      <c r="E20" s="36">
        <f t="shared" si="4"/>
        <v>0</v>
      </c>
      <c r="F20" s="45"/>
      <c r="G20" s="25">
        <f>Rates!I193</f>
        <v>-0.40539999999999998</v>
      </c>
      <c r="H20" s="37">
        <f t="shared" si="6"/>
        <v>200</v>
      </c>
      <c r="I20" s="36">
        <f t="shared" si="5"/>
        <v>-81.08</v>
      </c>
      <c r="J20" s="45"/>
      <c r="K20" s="36">
        <f t="shared" ref="K20:K21" si="9">I20-E20</f>
        <v>-81.08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Rates!B194</f>
        <v>Rate Rider for Global Adjustment Sub-Account Disposition (2016) - effective until December 31, 2017 Applicable only for Non-RPP Customers</v>
      </c>
      <c r="C21" s="25">
        <f>Rates!E194</f>
        <v>0</v>
      </c>
      <c r="D21" s="37">
        <f>C8</f>
        <v>200</v>
      </c>
      <c r="E21" s="36">
        <f t="shared" si="4"/>
        <v>0</v>
      </c>
      <c r="F21" s="45"/>
      <c r="G21" s="25">
        <f>Rates!I194</f>
        <v>0.62239999999999995</v>
      </c>
      <c r="H21" s="37">
        <f t="shared" si="6"/>
        <v>200</v>
      </c>
      <c r="I21" s="36">
        <f t="shared" si="5"/>
        <v>124.47999999999999</v>
      </c>
      <c r="J21" s="45"/>
      <c r="K21" s="36">
        <f t="shared" si="9"/>
        <v>124.47999999999999</v>
      </c>
      <c r="L21" s="47" t="str">
        <f t="shared" si="10"/>
        <v xml:space="preserve"> </v>
      </c>
    </row>
    <row r="22" spans="2:12" x14ac:dyDescent="0.2">
      <c r="B22" s="44" t="str">
        <f>Rates!B195</f>
        <v>Rate Rider for the Disposition of Deferred PILs Variance Account 1562 - effective until December 31, 2016</v>
      </c>
      <c r="C22" s="25">
        <f>Rates!E195</f>
        <v>8.1100000000000005E-2</v>
      </c>
      <c r="D22" s="37">
        <f>C8</f>
        <v>200</v>
      </c>
      <c r="E22" s="36">
        <f t="shared" si="4"/>
        <v>16.220000000000002</v>
      </c>
      <c r="F22" s="45"/>
      <c r="G22" s="25">
        <f>Rates!I195</f>
        <v>8.1100000000000005E-2</v>
      </c>
      <c r="H22" s="37">
        <f t="shared" si="6"/>
        <v>200</v>
      </c>
      <c r="I22" s="36">
        <f t="shared" si="5"/>
        <v>16.220000000000002</v>
      </c>
      <c r="J22" s="45"/>
      <c r="K22" s="36">
        <f t="shared" si="7"/>
        <v>0</v>
      </c>
      <c r="L22" s="47">
        <f t="shared" si="8"/>
        <v>0</v>
      </c>
    </row>
    <row r="23" spans="2:12" x14ac:dyDescent="0.2">
      <c r="B23" s="44" t="str">
        <f>Rates!B196</f>
        <v>Rate Rider for Loss Revenue Adjustment Mechanism (LRAM) - effective until December 31, 2015</v>
      </c>
      <c r="C23" s="25">
        <f>Rates!E196</f>
        <v>4.41E-2</v>
      </c>
      <c r="D23" s="37">
        <f>C8</f>
        <v>200</v>
      </c>
      <c r="E23" s="36">
        <f t="shared" si="4"/>
        <v>8.82</v>
      </c>
      <c r="F23" s="45"/>
      <c r="G23" s="25">
        <f>Rates!I196</f>
        <v>0</v>
      </c>
      <c r="H23" s="37">
        <f t="shared" si="6"/>
        <v>200</v>
      </c>
      <c r="I23" s="36">
        <f t="shared" si="5"/>
        <v>0</v>
      </c>
      <c r="J23" s="45"/>
      <c r="K23" s="36">
        <f t="shared" si="7"/>
        <v>-8.82</v>
      </c>
      <c r="L23" s="47">
        <f t="shared" si="8"/>
        <v>-1</v>
      </c>
    </row>
    <row r="24" spans="2:12" x14ac:dyDescent="0.2">
      <c r="B24" s="44" t="str">
        <f>Rates!B9</f>
        <v>Low Voltage Service Rate</v>
      </c>
      <c r="C24" s="25">
        <f>Rates!E190</f>
        <v>7.3499999999999996E-2</v>
      </c>
      <c r="D24" s="37">
        <f>C8</f>
        <v>200</v>
      </c>
      <c r="E24" s="36">
        <f t="shared" si="4"/>
        <v>14.7</v>
      </c>
      <c r="F24" s="45"/>
      <c r="G24" s="25">
        <f>Rates!I190</f>
        <v>7.3499999999999996E-2</v>
      </c>
      <c r="H24" s="37">
        <f t="shared" si="6"/>
        <v>200</v>
      </c>
      <c r="I24" s="36">
        <f t="shared" si="5"/>
        <v>14.7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1763.0095026400004</v>
      </c>
      <c r="F25" s="53"/>
      <c r="G25" s="50"/>
      <c r="H25" s="51"/>
      <c r="I25" s="52">
        <f>SUM(I16:I24)</f>
        <v>1821.7795026400004</v>
      </c>
      <c r="J25" s="53"/>
      <c r="K25" s="54">
        <f t="shared" si="2"/>
        <v>58.769999999999982</v>
      </c>
      <c r="L25" s="55">
        <f t="shared" si="3"/>
        <v>3.3335044372702162E-2</v>
      </c>
    </row>
    <row r="26" spans="2:12" x14ac:dyDescent="0.2">
      <c r="B26" s="44" t="str">
        <f>Rates!B15</f>
        <v>Retail Transmission Rate - Network Service Rate</v>
      </c>
      <c r="C26" s="25">
        <f>Rates!E197</f>
        <v>2.6433</v>
      </c>
      <c r="D26" s="37">
        <f>C8</f>
        <v>200</v>
      </c>
      <c r="E26" s="36">
        <f>C26*D26</f>
        <v>528.66</v>
      </c>
      <c r="F26" s="45"/>
      <c r="G26" s="25">
        <f>Rates!I197</f>
        <v>2.5966</v>
      </c>
      <c r="H26" s="37">
        <f>D26</f>
        <v>200</v>
      </c>
      <c r="I26" s="36">
        <f>G26*H26</f>
        <v>519.32000000000005</v>
      </c>
      <c r="J26" s="45"/>
      <c r="K26" s="36">
        <f t="shared" si="2"/>
        <v>-9.3399999999999181</v>
      </c>
      <c r="L26" s="47">
        <f t="shared" si="3"/>
        <v>-1.766730980214111E-2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Rates!E198</f>
        <v>2.0314999999999999</v>
      </c>
      <c r="D27" s="37">
        <f>C8</f>
        <v>200</v>
      </c>
      <c r="E27" s="36">
        <f>C27*D27</f>
        <v>406.29999999999995</v>
      </c>
      <c r="F27" s="45"/>
      <c r="G27" s="25">
        <f>Rates!I198</f>
        <v>2.0802999999999998</v>
      </c>
      <c r="H27" s="37">
        <f>D27</f>
        <v>200</v>
      </c>
      <c r="I27" s="36">
        <f>G27*H27</f>
        <v>416.05999999999995</v>
      </c>
      <c r="J27" s="45"/>
      <c r="K27" s="36">
        <f t="shared" si="2"/>
        <v>9.7599999999999909</v>
      </c>
      <c r="L27" s="47">
        <f t="shared" si="3"/>
        <v>2.4021658872754103E-2</v>
      </c>
    </row>
    <row r="28" spans="2:12" x14ac:dyDescent="0.2">
      <c r="B28" s="49" t="s">
        <v>57</v>
      </c>
      <c r="C28" s="50"/>
      <c r="D28" s="51"/>
      <c r="E28" s="52">
        <f>SUM(E25:E27)</f>
        <v>2697.9695026400004</v>
      </c>
      <c r="F28" s="53"/>
      <c r="G28" s="50"/>
      <c r="H28" s="52"/>
      <c r="I28" s="52">
        <f>SUM(I25:I27)</f>
        <v>2757.1595026400005</v>
      </c>
      <c r="J28" s="53"/>
      <c r="K28" s="54">
        <f t="shared" si="2"/>
        <v>59.190000000000055</v>
      </c>
      <c r="L28" s="55">
        <f t="shared" si="3"/>
        <v>2.1938720931456719E-2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72339.203999999998</v>
      </c>
      <c r="E29" s="36">
        <f t="shared" ref="E29:E34" si="11">C29*D29</f>
        <v>318.29249759999999</v>
      </c>
      <c r="F29" s="45"/>
      <c r="G29" s="25">
        <f>Rates!I244</f>
        <v>3.5999999999999999E-3</v>
      </c>
      <c r="H29" s="37">
        <f>D29</f>
        <v>72339.203999999998</v>
      </c>
      <c r="I29" s="36">
        <f t="shared" ref="I29:I34" si="12">G29*H29</f>
        <v>260.42113439999997</v>
      </c>
      <c r="J29" s="45"/>
      <c r="K29" s="36">
        <f t="shared" si="2"/>
        <v>-57.871363200000019</v>
      </c>
      <c r="L29" s="47">
        <f t="shared" si="3"/>
        <v>-0.18181818181818188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72339.203999999998</v>
      </c>
      <c r="E30" s="36">
        <f t="shared" si="11"/>
        <v>94.040965199999988</v>
      </c>
      <c r="F30" s="45"/>
      <c r="G30" s="25">
        <f>Rates!I245</f>
        <v>1.2999999999999999E-3</v>
      </c>
      <c r="H30" s="37">
        <f t="shared" ref="H30:H31" si="13">D30</f>
        <v>72339.203999999998</v>
      </c>
      <c r="I30" s="36">
        <f t="shared" si="12"/>
        <v>94.040965199999988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11"/>
        <v>0.25</v>
      </c>
      <c r="F31" s="45"/>
      <c r="G31" s="36">
        <f>Rates!I247</f>
        <v>0.25</v>
      </c>
      <c r="H31" s="37">
        <f t="shared" si="13"/>
        <v>1</v>
      </c>
      <c r="I31" s="36">
        <f t="shared" si="12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Rates!E253</f>
        <v>7.0000000000000001E-3</v>
      </c>
      <c r="D32" s="37">
        <f>C7</f>
        <v>68620</v>
      </c>
      <c r="E32" s="36">
        <f t="shared" si="11"/>
        <v>480.34000000000003</v>
      </c>
      <c r="F32" s="45"/>
      <c r="G32" s="25">
        <f>Rates!I253</f>
        <v>0</v>
      </c>
      <c r="H32" s="37">
        <f>D32</f>
        <v>68620</v>
      </c>
      <c r="I32" s="36">
        <f t="shared" si="12"/>
        <v>0</v>
      </c>
      <c r="J32" s="45"/>
      <c r="K32" s="36">
        <f t="shared" si="2"/>
        <v>-480.34000000000003</v>
      </c>
      <c r="L32" s="47">
        <f t="shared" si="3"/>
        <v>-1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68620</v>
      </c>
      <c r="I33" s="36">
        <f t="shared" si="12"/>
        <v>75.481999999999999</v>
      </c>
      <c r="J33" s="45"/>
      <c r="K33" s="36"/>
      <c r="L33" s="47"/>
    </row>
    <row r="34" spans="2:12" x14ac:dyDescent="0.2">
      <c r="B34" s="44" t="str">
        <f>Rates!B267</f>
        <v>Energy Price</v>
      </c>
      <c r="C34" s="25">
        <f>Rates!E267</f>
        <v>0.10766000000000001</v>
      </c>
      <c r="D34" s="37">
        <f>C7</f>
        <v>68620</v>
      </c>
      <c r="E34" s="36">
        <f t="shared" si="11"/>
        <v>7387.6292000000003</v>
      </c>
      <c r="F34" s="45"/>
      <c r="G34" s="25">
        <f>Rates!I267</f>
        <v>0.10766000000000001</v>
      </c>
      <c r="H34" s="37">
        <f>D34</f>
        <v>68620</v>
      </c>
      <c r="I34" s="36">
        <f t="shared" si="12"/>
        <v>7387.6292000000003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56"/>
      <c r="C35" s="51"/>
      <c r="D35" s="51"/>
      <c r="E35" s="51"/>
      <c r="F35" s="53"/>
      <c r="G35" s="51"/>
      <c r="H35" s="51"/>
      <c r="I35" s="51"/>
      <c r="J35" s="53"/>
      <c r="K35" s="54"/>
      <c r="L35" s="55"/>
    </row>
    <row r="36" spans="2:12" x14ac:dyDescent="0.2">
      <c r="B36" s="23" t="s">
        <v>58</v>
      </c>
      <c r="C36" s="35"/>
      <c r="D36" s="35"/>
      <c r="E36" s="39">
        <f>SUM(E28:E34)</f>
        <v>10978.522165440001</v>
      </c>
      <c r="F36" s="45"/>
      <c r="G36" s="35"/>
      <c r="H36" s="39"/>
      <c r="I36" s="39">
        <f>SUM(I28:I34)</f>
        <v>10574.98280224</v>
      </c>
      <c r="J36" s="45"/>
      <c r="K36" s="36">
        <f t="shared" si="2"/>
        <v>-403.53936320000139</v>
      </c>
      <c r="L36" s="47">
        <f t="shared" si="3"/>
        <v>-3.6757166139385226E-2</v>
      </c>
    </row>
    <row r="37" spans="2:12" x14ac:dyDescent="0.2">
      <c r="B37" s="44" t="str">
        <f>Rates!B269</f>
        <v>HST</v>
      </c>
      <c r="C37" s="41">
        <f>Rates!E269</f>
        <v>0.13</v>
      </c>
      <c r="D37" s="35"/>
      <c r="E37" s="42">
        <f>E36*C37</f>
        <v>1427.2078815072002</v>
      </c>
      <c r="F37" s="45"/>
      <c r="G37" s="41">
        <f>Rates!I269</f>
        <v>0.13</v>
      </c>
      <c r="H37" s="35"/>
      <c r="I37" s="42">
        <f>I36*G37</f>
        <v>1374.7477642911999</v>
      </c>
      <c r="J37" s="45"/>
      <c r="K37" s="36">
        <f t="shared" si="2"/>
        <v>-52.460117216000299</v>
      </c>
      <c r="L37" s="47">
        <f t="shared" si="3"/>
        <v>-3.675716613938531E-2</v>
      </c>
    </row>
    <row r="38" spans="2:12" x14ac:dyDescent="0.2">
      <c r="B38" s="23" t="s">
        <v>59</v>
      </c>
      <c r="C38" s="35"/>
      <c r="D38" s="35"/>
      <c r="E38" s="42">
        <f>E36+E37</f>
        <v>12405.730046947201</v>
      </c>
      <c r="F38" s="45"/>
      <c r="G38" s="35"/>
      <c r="H38" s="35"/>
      <c r="I38" s="42">
        <f>I36+I37</f>
        <v>11949.7305665312</v>
      </c>
      <c r="J38" s="45"/>
      <c r="K38" s="36">
        <f t="shared" si="2"/>
        <v>-455.99948041600146</v>
      </c>
      <c r="L38" s="47">
        <f t="shared" si="3"/>
        <v>-3.6757166139385219E-2</v>
      </c>
    </row>
    <row r="39" spans="2:12" x14ac:dyDescent="0.2">
      <c r="B39" s="44" t="str">
        <f>Rates!B271</f>
        <v>OCEB</v>
      </c>
      <c r="C39" s="41"/>
      <c r="D39" s="35"/>
      <c r="E39" s="42">
        <f>E38*C39</f>
        <v>0</v>
      </c>
      <c r="F39" s="45"/>
      <c r="G39" s="41">
        <f>Rates!I271</f>
        <v>0</v>
      </c>
      <c r="H39" s="35"/>
      <c r="I39" s="42">
        <f>I38*G39</f>
        <v>0</v>
      </c>
      <c r="J39" s="45"/>
      <c r="K39" s="36">
        <f t="shared" si="2"/>
        <v>0</v>
      </c>
      <c r="L39" s="47" t="str">
        <f t="shared" si="3"/>
        <v xml:space="preserve"> </v>
      </c>
    </row>
    <row r="40" spans="2:12" ht="13.5" thickBot="1" x14ac:dyDescent="0.25">
      <c r="B40" s="30" t="s">
        <v>60</v>
      </c>
      <c r="C40" s="57"/>
      <c r="D40" s="57"/>
      <c r="E40" s="58">
        <f>E38+E39</f>
        <v>12405.730046947201</v>
      </c>
      <c r="F40" s="59"/>
      <c r="G40" s="57"/>
      <c r="H40" s="57"/>
      <c r="I40" s="58">
        <f>I38+I39</f>
        <v>11949.7305665312</v>
      </c>
      <c r="J40" s="59"/>
      <c r="K40" s="60">
        <f t="shared" si="2"/>
        <v>-455.99948041600146</v>
      </c>
      <c r="L40" s="61">
        <f t="shared" si="3"/>
        <v>-3.6757166139385219E-2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2" fitToHeight="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L42"/>
  <sheetViews>
    <sheetView showGridLines="0" workbookViewId="0">
      <selection activeCell="C32" sqref="C32"/>
    </sheetView>
  </sheetViews>
  <sheetFormatPr defaultRowHeight="12.75" x14ac:dyDescent="0.2"/>
  <cols>
    <col min="1" max="1" width="2" customWidth="1"/>
    <col min="2" max="2" width="88.5703125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Rates!B158</f>
        <v>CNPI - Port Colborne</v>
      </c>
    </row>
    <row r="3" spans="2:12" ht="15.75" x14ac:dyDescent="0.25">
      <c r="B3" s="24" t="str">
        <f>Rates!B200</f>
        <v xml:space="preserve">Unmetered Scattered Load 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800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64" t="s">
        <v>32</v>
      </c>
      <c r="L12" s="65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Rates!E201</f>
        <v>37.43</v>
      </c>
      <c r="D14" s="37">
        <f>C6</f>
        <v>1</v>
      </c>
      <c r="E14" s="36">
        <f>C14*D14</f>
        <v>37.43</v>
      </c>
      <c r="F14" s="45"/>
      <c r="G14" s="36">
        <f>Rates!I201</f>
        <v>32.96</v>
      </c>
      <c r="H14" s="37">
        <f>D14</f>
        <v>1</v>
      </c>
      <c r="I14" s="36">
        <f>G14*H14</f>
        <v>32.96</v>
      </c>
      <c r="J14" s="45"/>
      <c r="K14" s="36">
        <f>I14-E14</f>
        <v>-4.4699999999999989</v>
      </c>
      <c r="L14" s="47">
        <f>IF((E14)=0," ",K14/E14)</f>
        <v>-0.11942292278920649</v>
      </c>
    </row>
    <row r="15" spans="2:12" x14ac:dyDescent="0.2">
      <c r="B15" s="44" t="str">
        <f>Rates!B8</f>
        <v>Distribution Volumetric Rate</v>
      </c>
      <c r="C15" s="25">
        <f>Rates!E202</f>
        <v>2.1999999999999999E-2</v>
      </c>
      <c r="D15" s="38">
        <f>C7</f>
        <v>800</v>
      </c>
      <c r="E15" s="36">
        <f t="shared" ref="E15" si="0">C15*D15</f>
        <v>17.599999999999998</v>
      </c>
      <c r="F15" s="45"/>
      <c r="G15" s="25">
        <f>Rates!I202</f>
        <v>1.7899999999999999E-2</v>
      </c>
      <c r="H15" s="38">
        <f>D15</f>
        <v>800</v>
      </c>
      <c r="I15" s="36">
        <f t="shared" ref="I15" si="1">G15*H15</f>
        <v>14.32</v>
      </c>
      <c r="J15" s="45"/>
      <c r="K15" s="36">
        <f t="shared" ref="K15:K42" si="2">I15-E15</f>
        <v>-3.2799999999999976</v>
      </c>
      <c r="L15" s="47">
        <f t="shared" ref="L15:L42" si="3">IF((E15)=0," ",K15/E15)</f>
        <v>-0.18636363636363626</v>
      </c>
    </row>
    <row r="16" spans="2:12" x14ac:dyDescent="0.2">
      <c r="B16" s="49" t="s">
        <v>36</v>
      </c>
      <c r="C16" s="50"/>
      <c r="D16" s="51"/>
      <c r="E16" s="52">
        <f>SUM(E14:E15)</f>
        <v>55.03</v>
      </c>
      <c r="F16" s="53"/>
      <c r="G16" s="50"/>
      <c r="H16" s="51"/>
      <c r="I16" s="52">
        <f>SUM(I14:I15)</f>
        <v>47.28</v>
      </c>
      <c r="J16" s="53"/>
      <c r="K16" s="54">
        <f t="shared" si="2"/>
        <v>-7.75</v>
      </c>
      <c r="L16" s="55">
        <f t="shared" si="3"/>
        <v>-0.14083227330546974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43.360000000000021</v>
      </c>
      <c r="E17" s="36">
        <f t="shared" ref="E17:E24" si="4">C17*D17</f>
        <v>4.6681376000000023</v>
      </c>
      <c r="F17" s="45"/>
      <c r="G17" s="25">
        <f>Rates!I267</f>
        <v>0.10766000000000001</v>
      </c>
      <c r="H17" s="40">
        <f>(C5-1)*C7</f>
        <v>43.360000000000021</v>
      </c>
      <c r="I17" s="36">
        <f t="shared" ref="I17:I24" si="5">G17*H17</f>
        <v>4.6681376000000023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Rates!B204</f>
        <v>Rate Rider for Deferral/Variance Account Disposition (2014) - effective until December 31, 2016</v>
      </c>
      <c r="C18" s="25">
        <f>Rates!E204</f>
        <v>-8.0000000000000004E-4</v>
      </c>
      <c r="D18" s="37">
        <f>C7</f>
        <v>800</v>
      </c>
      <c r="E18" s="36">
        <f t="shared" si="4"/>
        <v>-0.64</v>
      </c>
      <c r="F18" s="45"/>
      <c r="G18" s="25">
        <f>Rates!I204</f>
        <v>-8.0000000000000004E-4</v>
      </c>
      <c r="H18" s="37">
        <f t="shared" ref="H18:H24" si="6">D18</f>
        <v>800</v>
      </c>
      <c r="I18" s="36">
        <f t="shared" si="5"/>
        <v>-0.64</v>
      </c>
      <c r="J18" s="45"/>
      <c r="K18" s="36">
        <f t="shared" ref="K18:K23" si="7">I18-E18</f>
        <v>0</v>
      </c>
      <c r="L18" s="47">
        <f t="shared" ref="L18:L23" si="8">IF((E18)=0," ",K18/E18)</f>
        <v>0</v>
      </c>
    </row>
    <row r="19" spans="2:12" ht="25.5" x14ac:dyDescent="0.2">
      <c r="B19" s="48" t="str">
        <f>Rates!B205</f>
        <v>Rate Rider for Global Adjustment Sub-Account Disposition (2014) - effective until December 31, 2016 Applicable only for Non-RPP Customers</v>
      </c>
      <c r="C19" s="25">
        <f>Rates!E205</f>
        <v>-2.3E-3</v>
      </c>
      <c r="D19" s="37"/>
      <c r="E19" s="36">
        <f t="shared" si="4"/>
        <v>0</v>
      </c>
      <c r="F19" s="45"/>
      <c r="G19" s="25">
        <f>Rates!I205</f>
        <v>-2.3E-3</v>
      </c>
      <c r="H19" s="37">
        <f t="shared" si="6"/>
        <v>0</v>
      </c>
      <c r="I19" s="36">
        <f t="shared" si="5"/>
        <v>0</v>
      </c>
      <c r="J19" s="45"/>
      <c r="K19" s="36">
        <f t="shared" si="7"/>
        <v>0</v>
      </c>
      <c r="L19" s="47" t="str">
        <f t="shared" si="8"/>
        <v xml:space="preserve"> </v>
      </c>
    </row>
    <row r="20" spans="2:12" x14ac:dyDescent="0.2">
      <c r="B20" s="48" t="str">
        <f>Rates!B206</f>
        <v>Rate Rider for Deferral/Variance Account Disposition (2016) - effective until December 31, 2017</v>
      </c>
      <c r="C20" s="25">
        <f>Rates!E206</f>
        <v>0</v>
      </c>
      <c r="D20" s="37">
        <f>C7</f>
        <v>800</v>
      </c>
      <c r="E20" s="36">
        <f t="shared" si="4"/>
        <v>0</v>
      </c>
      <c r="F20" s="45"/>
      <c r="G20" s="25">
        <f>Rates!I206</f>
        <v>-1.2999999999999999E-3</v>
      </c>
      <c r="H20" s="37">
        <f t="shared" si="6"/>
        <v>800</v>
      </c>
      <c r="I20" s="36">
        <f t="shared" si="5"/>
        <v>-1.04</v>
      </c>
      <c r="J20" s="45"/>
      <c r="K20" s="36">
        <f t="shared" ref="K20:K21" si="9">I20-E20</f>
        <v>-1.04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Rates!B207</f>
        <v>Rate Rider for Global Adjustment Sub-Account Disposition (2016) - effective until December 31, 2017 Applicable only for Non-RPP Customers</v>
      </c>
      <c r="C21" s="25">
        <f>Rates!E207</f>
        <v>0</v>
      </c>
      <c r="D21" s="37"/>
      <c r="E21" s="36">
        <f t="shared" si="4"/>
        <v>0</v>
      </c>
      <c r="F21" s="45"/>
      <c r="G21" s="25">
        <f>Rates!I207</f>
        <v>1.9E-3</v>
      </c>
      <c r="H21" s="37">
        <f t="shared" si="6"/>
        <v>0</v>
      </c>
      <c r="I21" s="36">
        <f t="shared" si="5"/>
        <v>0</v>
      </c>
      <c r="J21" s="45"/>
      <c r="K21" s="36">
        <f t="shared" si="9"/>
        <v>0</v>
      </c>
      <c r="L21" s="47" t="str">
        <f t="shared" si="10"/>
        <v xml:space="preserve"> </v>
      </c>
    </row>
    <row r="22" spans="2:12" x14ac:dyDescent="0.2">
      <c r="B22" s="44" t="str">
        <f>Rates!B168</f>
        <v>Rate Rider for the Disposition of Deferred PILs Variance Account 1562 - effective until December 31, 2016</v>
      </c>
      <c r="C22" s="25">
        <f>Rates!E208</f>
        <v>5.9999999999999995E-4</v>
      </c>
      <c r="D22" s="37">
        <f>C7</f>
        <v>800</v>
      </c>
      <c r="E22" s="36">
        <f t="shared" si="4"/>
        <v>0.48</v>
      </c>
      <c r="F22" s="45"/>
      <c r="G22" s="25">
        <f>Rates!I208</f>
        <v>5.9999999999999995E-4</v>
      </c>
      <c r="H22" s="37">
        <f t="shared" si="6"/>
        <v>800</v>
      </c>
      <c r="I22" s="36">
        <f t="shared" si="5"/>
        <v>0.48</v>
      </c>
      <c r="J22" s="45"/>
      <c r="K22" s="36">
        <f t="shared" si="7"/>
        <v>0</v>
      </c>
      <c r="L22" s="47">
        <f t="shared" si="8"/>
        <v>0</v>
      </c>
    </row>
    <row r="23" spans="2:12" x14ac:dyDescent="0.2">
      <c r="B23" s="48" t="str">
        <f>Rates!B209</f>
        <v>Rate Rider for Loss Revenue Adjustment Mechanism (LRAM) - effective until December 31, 2015</v>
      </c>
      <c r="C23" s="25">
        <f>Rates!E209</f>
        <v>0</v>
      </c>
      <c r="D23" s="37">
        <f>C7</f>
        <v>800</v>
      </c>
      <c r="E23" s="36">
        <f t="shared" si="4"/>
        <v>0</v>
      </c>
      <c r="F23" s="45"/>
      <c r="G23" s="25">
        <f>Rates!I209</f>
        <v>0</v>
      </c>
      <c r="H23" s="37">
        <f t="shared" si="6"/>
        <v>800</v>
      </c>
      <c r="I23" s="36">
        <f t="shared" si="5"/>
        <v>0</v>
      </c>
      <c r="J23" s="45"/>
      <c r="K23" s="36">
        <f t="shared" si="7"/>
        <v>0</v>
      </c>
      <c r="L23" s="47" t="str">
        <f t="shared" si="8"/>
        <v xml:space="preserve"> </v>
      </c>
    </row>
    <row r="24" spans="2:12" x14ac:dyDescent="0.2">
      <c r="B24" s="44" t="str">
        <f>Rates!B9</f>
        <v>Low Voltage Service Rate</v>
      </c>
      <c r="C24" s="25">
        <f>Rates!E203</f>
        <v>2.0000000000000001E-4</v>
      </c>
      <c r="D24" s="37">
        <f>C7</f>
        <v>800</v>
      </c>
      <c r="E24" s="36">
        <f t="shared" si="4"/>
        <v>0.16</v>
      </c>
      <c r="F24" s="45"/>
      <c r="G24" s="25">
        <f>Rates!I203</f>
        <v>2.0000000000000001E-4</v>
      </c>
      <c r="H24" s="37">
        <f t="shared" si="6"/>
        <v>800</v>
      </c>
      <c r="I24" s="36">
        <f t="shared" si="5"/>
        <v>0.16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59.698137599999995</v>
      </c>
      <c r="F25" s="53"/>
      <c r="G25" s="50"/>
      <c r="H25" s="51"/>
      <c r="I25" s="52">
        <f>SUM(I16:I24)</f>
        <v>50.908137599999996</v>
      </c>
      <c r="J25" s="53"/>
      <c r="K25" s="54">
        <f t="shared" si="2"/>
        <v>-8.7899999999999991</v>
      </c>
      <c r="L25" s="55">
        <f t="shared" si="3"/>
        <v>-0.1472407742247557</v>
      </c>
    </row>
    <row r="26" spans="2:12" x14ac:dyDescent="0.2">
      <c r="B26" s="44" t="str">
        <f>Rates!B15</f>
        <v>Retail Transmission Rate - Network Service Rate</v>
      </c>
      <c r="C26" s="25">
        <f>Rates!E210</f>
        <v>6.4999999999999997E-3</v>
      </c>
      <c r="D26" s="37">
        <f>C7*C5</f>
        <v>843.36</v>
      </c>
      <c r="E26" s="36">
        <f>C26*D26</f>
        <v>5.48184</v>
      </c>
      <c r="F26" s="45"/>
      <c r="G26" s="25">
        <f>Rates!I210</f>
        <v>6.4000000000000003E-3</v>
      </c>
      <c r="H26" s="37">
        <f>D26</f>
        <v>843.36</v>
      </c>
      <c r="I26" s="36">
        <f>G26*H26</f>
        <v>5.3975040000000005</v>
      </c>
      <c r="J26" s="45"/>
      <c r="K26" s="36">
        <f t="shared" si="2"/>
        <v>-8.4335999999999522E-2</v>
      </c>
      <c r="L26" s="47">
        <f t="shared" si="3"/>
        <v>-1.5384615384615297E-2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Rates!E211</f>
        <v>5.0000000000000001E-3</v>
      </c>
      <c r="D27" s="37">
        <f>C7*C5</f>
        <v>843.36</v>
      </c>
      <c r="E27" s="36">
        <f>C27*D27</f>
        <v>4.2168000000000001</v>
      </c>
      <c r="F27" s="45"/>
      <c r="G27" s="25">
        <f>Rates!I211</f>
        <v>5.1000000000000004E-3</v>
      </c>
      <c r="H27" s="37">
        <f>D27</f>
        <v>843.36</v>
      </c>
      <c r="I27" s="36">
        <f>G27*H27</f>
        <v>4.3011360000000005</v>
      </c>
      <c r="J27" s="45"/>
      <c r="K27" s="36">
        <f t="shared" si="2"/>
        <v>8.4336000000000411E-2</v>
      </c>
      <c r="L27" s="47">
        <f t="shared" si="3"/>
        <v>2.0000000000000098E-2</v>
      </c>
    </row>
    <row r="28" spans="2:12" x14ac:dyDescent="0.2">
      <c r="B28" s="49" t="s">
        <v>57</v>
      </c>
      <c r="C28" s="50"/>
      <c r="D28" s="51"/>
      <c r="E28" s="52">
        <f>SUM(E25:E27)</f>
        <v>69.396777600000007</v>
      </c>
      <c r="F28" s="53"/>
      <c r="G28" s="50"/>
      <c r="H28" s="52"/>
      <c r="I28" s="52">
        <f>SUM(I25:I27)</f>
        <v>60.606777599999994</v>
      </c>
      <c r="J28" s="53"/>
      <c r="K28" s="54">
        <f t="shared" si="2"/>
        <v>-8.7900000000000134</v>
      </c>
      <c r="L28" s="55">
        <f t="shared" si="3"/>
        <v>-0.12666294176748652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843.36</v>
      </c>
      <c r="E29" s="36">
        <f t="shared" ref="E29:E36" si="11">C29*D29</f>
        <v>3.7107840000000003</v>
      </c>
      <c r="F29" s="45"/>
      <c r="G29" s="25">
        <f>Rates!I244</f>
        <v>3.5999999999999999E-3</v>
      </c>
      <c r="H29" s="37">
        <f>D29</f>
        <v>843.36</v>
      </c>
      <c r="I29" s="36">
        <f t="shared" ref="I29:I36" si="12">G29*H29</f>
        <v>3.0360960000000001</v>
      </c>
      <c r="J29" s="45"/>
      <c r="K29" s="36">
        <f t="shared" si="2"/>
        <v>-0.67468800000000018</v>
      </c>
      <c r="L29" s="47">
        <f t="shared" si="3"/>
        <v>-0.18181818181818185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843.36</v>
      </c>
      <c r="E30" s="36">
        <f t="shared" si="11"/>
        <v>1.096368</v>
      </c>
      <c r="F30" s="45"/>
      <c r="G30" s="25">
        <f>Rates!I245</f>
        <v>1.2999999999999999E-3</v>
      </c>
      <c r="H30" s="37">
        <f t="shared" ref="H30:H31" si="13">D30</f>
        <v>843.36</v>
      </c>
      <c r="I30" s="36">
        <f t="shared" si="12"/>
        <v>1.096368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11"/>
        <v>0.25</v>
      </c>
      <c r="F31" s="45"/>
      <c r="G31" s="36">
        <f>Rates!I247</f>
        <v>0.25</v>
      </c>
      <c r="H31" s="37">
        <f t="shared" si="13"/>
        <v>1</v>
      </c>
      <c r="I31" s="36">
        <f t="shared" si="12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Rates!E253</f>
        <v>7.0000000000000001E-3</v>
      </c>
      <c r="D32" s="37">
        <f>C7</f>
        <v>800</v>
      </c>
      <c r="E32" s="36">
        <f t="shared" si="11"/>
        <v>5.6000000000000005</v>
      </c>
      <c r="F32" s="45"/>
      <c r="G32" s="25">
        <f>Rates!I253</f>
        <v>0</v>
      </c>
      <c r="H32" s="37">
        <f>D32</f>
        <v>800</v>
      </c>
      <c r="I32" s="36">
        <f t="shared" si="12"/>
        <v>0</v>
      </c>
      <c r="J32" s="45"/>
      <c r="K32" s="36">
        <f t="shared" si="2"/>
        <v>-5.6000000000000005</v>
      </c>
      <c r="L32" s="47">
        <f t="shared" si="3"/>
        <v>-1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800</v>
      </c>
      <c r="I33" s="36">
        <f t="shared" si="12"/>
        <v>0.88</v>
      </c>
      <c r="J33" s="45"/>
      <c r="K33" s="36"/>
      <c r="L33" s="47"/>
    </row>
    <row r="34" spans="2:12" x14ac:dyDescent="0.2">
      <c r="B34" s="44" t="str">
        <f>Rates!B263</f>
        <v>TOU - Off Peak</v>
      </c>
      <c r="C34" s="25">
        <f>Rates!E263</f>
        <v>8.3000000000000004E-2</v>
      </c>
      <c r="D34" s="37">
        <f>C7*0.64</f>
        <v>512</v>
      </c>
      <c r="E34" s="36">
        <f t="shared" si="11"/>
        <v>42.496000000000002</v>
      </c>
      <c r="F34" s="45"/>
      <c r="G34" s="25">
        <f>Rates!I263</f>
        <v>8.3000000000000004E-2</v>
      </c>
      <c r="H34" s="37">
        <f>D34</f>
        <v>512</v>
      </c>
      <c r="I34" s="36">
        <f t="shared" si="12"/>
        <v>42.496000000000002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44" t="str">
        <f>Rates!B264</f>
        <v>TOU - Mid Peak</v>
      </c>
      <c r="C35" s="25">
        <f>Rates!E264</f>
        <v>0.128</v>
      </c>
      <c r="D35" s="37">
        <f>C7*0.18</f>
        <v>144</v>
      </c>
      <c r="E35" s="36">
        <f t="shared" si="11"/>
        <v>18.432000000000002</v>
      </c>
      <c r="F35" s="45"/>
      <c r="G35" s="25">
        <f>Rates!I264</f>
        <v>0.128</v>
      </c>
      <c r="H35" s="37">
        <f t="shared" ref="H35:H36" si="14">D35</f>
        <v>144</v>
      </c>
      <c r="I35" s="36">
        <f t="shared" si="12"/>
        <v>18.432000000000002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Rates!B265</f>
        <v>TOU - On Peak</v>
      </c>
      <c r="C36" s="25">
        <f>Rates!E265</f>
        <v>0.17499999999999999</v>
      </c>
      <c r="D36" s="37">
        <f>C7*0.18</f>
        <v>144</v>
      </c>
      <c r="E36" s="36">
        <f t="shared" si="11"/>
        <v>25.2</v>
      </c>
      <c r="F36" s="45"/>
      <c r="G36" s="25">
        <f>Rates!I265</f>
        <v>0.17499999999999999</v>
      </c>
      <c r="H36" s="37">
        <f t="shared" si="14"/>
        <v>144</v>
      </c>
      <c r="I36" s="36">
        <f t="shared" si="12"/>
        <v>25.2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56"/>
      <c r="C37" s="51"/>
      <c r="D37" s="51"/>
      <c r="E37" s="51"/>
      <c r="F37" s="53"/>
      <c r="G37" s="51"/>
      <c r="H37" s="51"/>
      <c r="I37" s="51"/>
      <c r="J37" s="53"/>
      <c r="K37" s="54"/>
      <c r="L37" s="55"/>
    </row>
    <row r="38" spans="2:12" x14ac:dyDescent="0.2">
      <c r="B38" s="23" t="s">
        <v>58</v>
      </c>
      <c r="C38" s="35"/>
      <c r="D38" s="35"/>
      <c r="E38" s="39">
        <f>SUM(E28:E36)</f>
        <v>166.18192959999999</v>
      </c>
      <c r="F38" s="45"/>
      <c r="G38" s="35"/>
      <c r="H38" s="39"/>
      <c r="I38" s="39">
        <f>SUM(I28:I36)</f>
        <v>151.9972416</v>
      </c>
      <c r="J38" s="45"/>
      <c r="K38" s="36">
        <f t="shared" si="2"/>
        <v>-14.184687999999994</v>
      </c>
      <c r="L38" s="47">
        <f t="shared" si="3"/>
        <v>-8.5356380408763741E-2</v>
      </c>
    </row>
    <row r="39" spans="2:12" x14ac:dyDescent="0.2">
      <c r="B39" s="44" t="str">
        <f>Rates!B269</f>
        <v>HST</v>
      </c>
      <c r="C39" s="41">
        <f>Rates!E269</f>
        <v>0.13</v>
      </c>
      <c r="D39" s="35"/>
      <c r="E39" s="42">
        <f>E38*C39</f>
        <v>21.603650848000001</v>
      </c>
      <c r="F39" s="45"/>
      <c r="G39" s="41">
        <f>Rates!I269</f>
        <v>0.13</v>
      </c>
      <c r="H39" s="35"/>
      <c r="I39" s="42">
        <f>I38*G39</f>
        <v>19.759641408</v>
      </c>
      <c r="J39" s="45"/>
      <c r="K39" s="36">
        <f t="shared" si="2"/>
        <v>-1.8440094400000007</v>
      </c>
      <c r="L39" s="47">
        <f t="shared" si="3"/>
        <v>-8.5356380408763796E-2</v>
      </c>
    </row>
    <row r="40" spans="2:12" x14ac:dyDescent="0.2">
      <c r="B40" s="23" t="s">
        <v>59</v>
      </c>
      <c r="C40" s="35"/>
      <c r="D40" s="35"/>
      <c r="E40" s="42">
        <f>E38+E39</f>
        <v>187.78558044799999</v>
      </c>
      <c r="F40" s="45"/>
      <c r="G40" s="35"/>
      <c r="H40" s="35"/>
      <c r="I40" s="42">
        <f>I38+I39</f>
        <v>171.75688300799999</v>
      </c>
      <c r="J40" s="45"/>
      <c r="K40" s="36">
        <f t="shared" si="2"/>
        <v>-16.028697440000002</v>
      </c>
      <c r="L40" s="47">
        <f t="shared" si="3"/>
        <v>-8.5356380408763782E-2</v>
      </c>
    </row>
    <row r="41" spans="2:12" x14ac:dyDescent="0.2">
      <c r="B41" s="44" t="str">
        <f>Rates!B271</f>
        <v>OCEB</v>
      </c>
      <c r="C41" s="41">
        <f>Rates!E271</f>
        <v>-0.1</v>
      </c>
      <c r="D41" s="35"/>
      <c r="E41" s="42">
        <f>E40*C41</f>
        <v>-18.7785580448</v>
      </c>
      <c r="F41" s="45"/>
      <c r="G41" s="41">
        <f>Rates!I271</f>
        <v>0</v>
      </c>
      <c r="H41" s="35"/>
      <c r="I41" s="42">
        <f>I40*G41</f>
        <v>0</v>
      </c>
      <c r="J41" s="45"/>
      <c r="K41" s="36">
        <f t="shared" si="2"/>
        <v>18.7785580448</v>
      </c>
      <c r="L41" s="47">
        <f t="shared" si="3"/>
        <v>-1</v>
      </c>
    </row>
    <row r="42" spans="2:12" ht="13.5" thickBot="1" x14ac:dyDescent="0.25">
      <c r="B42" s="30" t="s">
        <v>60</v>
      </c>
      <c r="C42" s="57"/>
      <c r="D42" s="57"/>
      <c r="E42" s="58">
        <f>E40+E41</f>
        <v>169.00702240319998</v>
      </c>
      <c r="F42" s="59"/>
      <c r="G42" s="57"/>
      <c r="H42" s="57"/>
      <c r="I42" s="58">
        <f>I40+I41</f>
        <v>171.75688300799999</v>
      </c>
      <c r="J42" s="59"/>
      <c r="K42" s="60">
        <f t="shared" si="2"/>
        <v>2.7498606048000056</v>
      </c>
      <c r="L42" s="61">
        <f t="shared" si="3"/>
        <v>1.6270688434706956E-2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L40"/>
  <sheetViews>
    <sheetView showGridLines="0" topLeftCell="A7" workbookViewId="0">
      <selection activeCell="C33" sqref="C3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Rates!B158</f>
        <v>CNPI - Port Colborne</v>
      </c>
    </row>
    <row r="3" spans="2:12" ht="15.75" x14ac:dyDescent="0.25">
      <c r="B3" s="24" t="str">
        <f>Rates!B213</f>
        <v xml:space="preserve">Sentinel Lighting 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60</v>
      </c>
    </row>
    <row r="8" spans="2:12" x14ac:dyDescent="0.2">
      <c r="B8" s="28" t="s">
        <v>63</v>
      </c>
      <c r="C8" s="62">
        <v>0.2</v>
      </c>
    </row>
    <row r="9" spans="2:12" ht="13.5" thickBot="1" x14ac:dyDescent="0.25">
      <c r="B9" s="30" t="s">
        <v>64</v>
      </c>
      <c r="C9" s="31">
        <f>IF(C8=0,"n/a",C7/(C8*24*365/12))</f>
        <v>0.41095890410958896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Rates!E214</f>
        <v>5.17</v>
      </c>
      <c r="D14" s="37">
        <f>C6</f>
        <v>1</v>
      </c>
      <c r="E14" s="36">
        <f>C14*D14</f>
        <v>5.17</v>
      </c>
      <c r="F14" s="45"/>
      <c r="G14" s="36">
        <f>Rates!I214</f>
        <v>5.09</v>
      </c>
      <c r="H14" s="37">
        <f>D14</f>
        <v>1</v>
      </c>
      <c r="I14" s="36">
        <f>G14*H14</f>
        <v>5.09</v>
      </c>
      <c r="J14" s="45"/>
      <c r="K14" s="36">
        <f>I14-E14</f>
        <v>-8.0000000000000071E-2</v>
      </c>
      <c r="L14" s="47">
        <f>IF((E14)=0," ",K14/E14)</f>
        <v>-1.547388781431336E-2</v>
      </c>
    </row>
    <row r="15" spans="2:12" x14ac:dyDescent="0.2">
      <c r="B15" s="44" t="str">
        <f>Rates!B8</f>
        <v>Distribution Volumetric Rate</v>
      </c>
      <c r="C15" s="25">
        <f>Rates!E215</f>
        <v>4.9564000000000004</v>
      </c>
      <c r="D15" s="93">
        <f>C8</f>
        <v>0.2</v>
      </c>
      <c r="E15" s="36">
        <f t="shared" ref="E15" si="0">C15*D15</f>
        <v>0.99128000000000016</v>
      </c>
      <c r="F15" s="45"/>
      <c r="G15" s="25">
        <f>Rates!I215</f>
        <v>5.9009999999999998</v>
      </c>
      <c r="H15" s="93">
        <f>D15</f>
        <v>0.2</v>
      </c>
      <c r="I15" s="36">
        <f t="shared" ref="I15" si="1">G15*H15</f>
        <v>1.1801999999999999</v>
      </c>
      <c r="J15" s="45"/>
      <c r="K15" s="36">
        <f t="shared" ref="K15:K40" si="2">I15-E15</f>
        <v>0.18891999999999975</v>
      </c>
      <c r="L15" s="47">
        <f t="shared" ref="L15:L40" si="3">IF((E15)=0," ",K15/E15)</f>
        <v>0.19058187394076317</v>
      </c>
    </row>
    <row r="16" spans="2:12" x14ac:dyDescent="0.2">
      <c r="B16" s="49" t="s">
        <v>36</v>
      </c>
      <c r="C16" s="50"/>
      <c r="D16" s="51"/>
      <c r="E16" s="52">
        <f>SUM(E14:E15)</f>
        <v>6.1612799999999996</v>
      </c>
      <c r="F16" s="53"/>
      <c r="G16" s="50"/>
      <c r="H16" s="51"/>
      <c r="I16" s="52">
        <f>SUM(I14:I15)</f>
        <v>6.2702</v>
      </c>
      <c r="J16" s="53"/>
      <c r="K16" s="54">
        <f t="shared" si="2"/>
        <v>0.10892000000000035</v>
      </c>
      <c r="L16" s="55">
        <f t="shared" si="3"/>
        <v>1.7678144801080351E-2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3.2520000000000016</v>
      </c>
      <c r="E17" s="36">
        <f t="shared" ref="E17:E24" si="4">C17*D17</f>
        <v>0.3501103200000002</v>
      </c>
      <c r="F17" s="45"/>
      <c r="G17" s="25">
        <f>Rates!I267</f>
        <v>0.10766000000000001</v>
      </c>
      <c r="H17" s="40">
        <f>(C5-1)*C7</f>
        <v>3.2520000000000016</v>
      </c>
      <c r="I17" s="36">
        <f t="shared" ref="I17:I24" si="5">G17*H17</f>
        <v>0.3501103200000002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Rates!B217</f>
        <v>Rate Rider for Deferral/Variance Account Disposition (2015) - effective until December 31, 2016</v>
      </c>
      <c r="C18" s="25">
        <f>Rates!E217</f>
        <v>-0.25600000000000001</v>
      </c>
      <c r="D18" s="91">
        <f>C8</f>
        <v>0.2</v>
      </c>
      <c r="E18" s="36">
        <f t="shared" si="4"/>
        <v>-5.1200000000000002E-2</v>
      </c>
      <c r="F18" s="45"/>
      <c r="G18" s="25">
        <f>Rates!I217</f>
        <v>-0.25600000000000001</v>
      </c>
      <c r="H18" s="91">
        <f t="shared" ref="H18:H24" si="6">D18</f>
        <v>0.2</v>
      </c>
      <c r="I18" s="36">
        <f t="shared" si="5"/>
        <v>-5.1200000000000002E-2</v>
      </c>
      <c r="J18" s="45"/>
      <c r="K18" s="36">
        <f t="shared" ref="K18:K23" si="7">I18-E18</f>
        <v>0</v>
      </c>
      <c r="L18" s="47">
        <f t="shared" ref="L18:L23" si="8">IF((E18)=0," ",K18/E18)</f>
        <v>0</v>
      </c>
    </row>
    <row r="19" spans="2:12" ht="25.5" x14ac:dyDescent="0.2">
      <c r="B19" s="48" t="str">
        <f>Rates!B218</f>
        <v>Rate Rider for Global Adjustment Sub-Account Disposition (2015) - effective until December 31, 2016 Applicable only for Non-RPP Customers</v>
      </c>
      <c r="C19" s="25">
        <f>Rates!E218</f>
        <v>0</v>
      </c>
      <c r="D19" s="91">
        <f>C8</f>
        <v>0.2</v>
      </c>
      <c r="E19" s="36">
        <f t="shared" si="4"/>
        <v>0</v>
      </c>
      <c r="F19" s="45"/>
      <c r="G19" s="25">
        <f>Rates!I218</f>
        <v>0</v>
      </c>
      <c r="H19" s="91">
        <f t="shared" si="6"/>
        <v>0.2</v>
      </c>
      <c r="I19" s="36">
        <f t="shared" si="5"/>
        <v>0</v>
      </c>
      <c r="J19" s="45"/>
      <c r="K19" s="36">
        <f t="shared" si="7"/>
        <v>0</v>
      </c>
      <c r="L19" s="47" t="str">
        <f t="shared" si="8"/>
        <v xml:space="preserve"> </v>
      </c>
    </row>
    <row r="20" spans="2:12" x14ac:dyDescent="0.2">
      <c r="B20" s="48" t="str">
        <f>Rates!B219</f>
        <v>Rate Rider for Deferral/Variance Account Disposition (2016) - effective until December 31, 2017</v>
      </c>
      <c r="C20" s="25">
        <f>Rates!E219</f>
        <v>0</v>
      </c>
      <c r="D20" s="91">
        <f>C8</f>
        <v>0.2</v>
      </c>
      <c r="E20" s="36">
        <f t="shared" si="4"/>
        <v>0</v>
      </c>
      <c r="F20" s="45"/>
      <c r="G20" s="25">
        <f>Rates!I219</f>
        <v>-0.38540000000000002</v>
      </c>
      <c r="H20" s="91">
        <f t="shared" si="6"/>
        <v>0.2</v>
      </c>
      <c r="I20" s="36">
        <f t="shared" si="5"/>
        <v>-7.708000000000001E-2</v>
      </c>
      <c r="J20" s="45"/>
      <c r="K20" s="36">
        <f t="shared" ref="K20:K21" si="9">I20-E20</f>
        <v>-7.708000000000001E-2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Rates!B220</f>
        <v>Rate Rider for Global Adjustment Sub-Account Disposition (2016) - effective until December 31, 2017 Applicable only for Non-RPP Customers</v>
      </c>
      <c r="C21" s="25">
        <f>Rates!E220</f>
        <v>0</v>
      </c>
      <c r="D21" s="91">
        <f>C8</f>
        <v>0.2</v>
      </c>
      <c r="E21" s="36">
        <f t="shared" si="4"/>
        <v>0</v>
      </c>
      <c r="F21" s="45"/>
      <c r="G21" s="25">
        <f>Rates!I220</f>
        <v>0</v>
      </c>
      <c r="H21" s="91">
        <f t="shared" si="6"/>
        <v>0.2</v>
      </c>
      <c r="I21" s="36">
        <f t="shared" si="5"/>
        <v>0</v>
      </c>
      <c r="J21" s="45"/>
      <c r="K21" s="36">
        <f t="shared" si="9"/>
        <v>0</v>
      </c>
      <c r="L21" s="47" t="str">
        <f t="shared" si="10"/>
        <v xml:space="preserve"> </v>
      </c>
    </row>
    <row r="22" spans="2:12" x14ac:dyDescent="0.2">
      <c r="B22" s="44" t="str">
        <f>Rates!B221</f>
        <v>Rate Rider for the Disposition of Deferred PILs Variance Account 1562 - effective until December 31, 2016</v>
      </c>
      <c r="C22" s="25">
        <f>Rates!E221</f>
        <v>0.94199999999999995</v>
      </c>
      <c r="D22" s="91">
        <f>C8</f>
        <v>0.2</v>
      </c>
      <c r="E22" s="36">
        <f t="shared" si="4"/>
        <v>0.18840000000000001</v>
      </c>
      <c r="F22" s="45"/>
      <c r="G22" s="25">
        <f>Rates!I221</f>
        <v>0.94199999999999995</v>
      </c>
      <c r="H22" s="91">
        <f t="shared" si="6"/>
        <v>0.2</v>
      </c>
      <c r="I22" s="36">
        <f t="shared" si="5"/>
        <v>0.18840000000000001</v>
      </c>
      <c r="J22" s="45"/>
      <c r="K22" s="36">
        <f t="shared" si="7"/>
        <v>0</v>
      </c>
      <c r="L22" s="47">
        <f t="shared" si="8"/>
        <v>0</v>
      </c>
    </row>
    <row r="23" spans="2:12" x14ac:dyDescent="0.2">
      <c r="B23" s="48" t="str">
        <f>Rates!B222</f>
        <v>Rate Rider for Loss Revenue Adjustment Mechanism (LRAM) - effective until December 31, 2015</v>
      </c>
      <c r="C23" s="25">
        <f>Rates!E222</f>
        <v>0</v>
      </c>
      <c r="D23" s="91">
        <f>C8</f>
        <v>0.2</v>
      </c>
      <c r="E23" s="36">
        <f t="shared" si="4"/>
        <v>0</v>
      </c>
      <c r="F23" s="45"/>
      <c r="G23" s="25">
        <f>Rates!I222</f>
        <v>0</v>
      </c>
      <c r="H23" s="91">
        <f t="shared" si="6"/>
        <v>0.2</v>
      </c>
      <c r="I23" s="36">
        <f t="shared" si="5"/>
        <v>0</v>
      </c>
      <c r="J23" s="45"/>
      <c r="K23" s="36">
        <f t="shared" si="7"/>
        <v>0</v>
      </c>
      <c r="L23" s="47" t="str">
        <f t="shared" si="8"/>
        <v xml:space="preserve"> </v>
      </c>
    </row>
    <row r="24" spans="2:12" x14ac:dyDescent="0.2">
      <c r="B24" s="44" t="str">
        <f>Rates!B9</f>
        <v>Low Voltage Service Rate</v>
      </c>
      <c r="C24" s="25">
        <f>Rates!E216</f>
        <v>5.4199999999999998E-2</v>
      </c>
      <c r="D24" s="91">
        <f>C8</f>
        <v>0.2</v>
      </c>
      <c r="E24" s="36">
        <f t="shared" si="4"/>
        <v>1.0840000000000001E-2</v>
      </c>
      <c r="F24" s="45"/>
      <c r="G24" s="25">
        <f>Rates!I216</f>
        <v>5.4199999999999998E-2</v>
      </c>
      <c r="H24" s="91">
        <f t="shared" si="6"/>
        <v>0.2</v>
      </c>
      <c r="I24" s="36">
        <f t="shared" si="5"/>
        <v>1.0840000000000001E-2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6.6594303200000002</v>
      </c>
      <c r="F25" s="53"/>
      <c r="G25" s="50"/>
      <c r="H25" s="51"/>
      <c r="I25" s="52">
        <f>SUM(I16:I24)</f>
        <v>6.6912703200000001</v>
      </c>
      <c r="J25" s="53"/>
      <c r="K25" s="54">
        <f t="shared" si="2"/>
        <v>3.1839999999999868E-2</v>
      </c>
      <c r="L25" s="55">
        <f t="shared" si="3"/>
        <v>4.7811897519786451E-3</v>
      </c>
    </row>
    <row r="26" spans="2:12" x14ac:dyDescent="0.2">
      <c r="B26" s="44" t="str">
        <f>Rates!B15</f>
        <v>Retail Transmission Rate - Network Service Rate</v>
      </c>
      <c r="C26" s="25">
        <f>Rates!E141</f>
        <v>2.2526999999999999</v>
      </c>
      <c r="D26" s="91">
        <f>C8</f>
        <v>0.2</v>
      </c>
      <c r="E26" s="36">
        <f>C26*D26</f>
        <v>0.45054</v>
      </c>
      <c r="F26" s="45"/>
      <c r="G26" s="25">
        <f>Rates!I141</f>
        <v>2.2128999999999999</v>
      </c>
      <c r="H26" s="91">
        <f>D26</f>
        <v>0.2</v>
      </c>
      <c r="I26" s="36">
        <f>G26*H26</f>
        <v>0.44257999999999997</v>
      </c>
      <c r="J26" s="45"/>
      <c r="K26" s="36">
        <f t="shared" si="2"/>
        <v>-7.9600000000000226E-3</v>
      </c>
      <c r="L26" s="47">
        <f t="shared" si="3"/>
        <v>-1.7667687663692509E-2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Rates!E142</f>
        <v>1.6578999999999999</v>
      </c>
      <c r="D27" s="91">
        <f>C8</f>
        <v>0.2</v>
      </c>
      <c r="E27" s="36">
        <f>C27*D27</f>
        <v>0.33157999999999999</v>
      </c>
      <c r="F27" s="45"/>
      <c r="G27" s="25">
        <f>Rates!I142</f>
        <v>1.6977</v>
      </c>
      <c r="H27" s="91">
        <f>D27</f>
        <v>0.2</v>
      </c>
      <c r="I27" s="36">
        <f>G27*H27</f>
        <v>0.33954000000000001</v>
      </c>
      <c r="J27" s="45"/>
      <c r="K27" s="36">
        <f t="shared" si="2"/>
        <v>7.9600000000000226E-3</v>
      </c>
      <c r="L27" s="47">
        <f t="shared" si="3"/>
        <v>2.4006272995958811E-2</v>
      </c>
    </row>
    <row r="28" spans="2:12" x14ac:dyDescent="0.2">
      <c r="B28" s="49" t="s">
        <v>57</v>
      </c>
      <c r="C28" s="50"/>
      <c r="D28" s="51"/>
      <c r="E28" s="52">
        <f>SUM(E25:E27)</f>
        <v>7.4415503200000002</v>
      </c>
      <c r="F28" s="53"/>
      <c r="G28" s="50"/>
      <c r="H28" s="52"/>
      <c r="I28" s="52">
        <f>SUM(I25:I27)</f>
        <v>7.4733903200000009</v>
      </c>
      <c r="J28" s="53"/>
      <c r="K28" s="54">
        <f t="shared" si="2"/>
        <v>3.1840000000000757E-2</v>
      </c>
      <c r="L28" s="55">
        <f t="shared" si="3"/>
        <v>4.2786783171279768E-3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63.252000000000002</v>
      </c>
      <c r="E29" s="36">
        <f t="shared" ref="E29:E34" si="11">C29*D29</f>
        <v>0.27830880000000002</v>
      </c>
      <c r="F29" s="45"/>
      <c r="G29" s="25">
        <f>Rates!I244</f>
        <v>3.5999999999999999E-3</v>
      </c>
      <c r="H29" s="37">
        <f>D29</f>
        <v>63.252000000000002</v>
      </c>
      <c r="I29" s="36">
        <f t="shared" ref="I29:I34" si="12">G29*H29</f>
        <v>0.2277072</v>
      </c>
      <c r="J29" s="45"/>
      <c r="K29" s="36">
        <f t="shared" si="2"/>
        <v>-5.0601600000000024E-2</v>
      </c>
      <c r="L29" s="47">
        <f t="shared" si="3"/>
        <v>-0.18181818181818188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63.252000000000002</v>
      </c>
      <c r="E30" s="36">
        <f t="shared" si="11"/>
        <v>8.2227599999999998E-2</v>
      </c>
      <c r="F30" s="45"/>
      <c r="G30" s="25">
        <f>Rates!I245</f>
        <v>1.2999999999999999E-3</v>
      </c>
      <c r="H30" s="37">
        <f t="shared" ref="H30:H31" si="13">D30</f>
        <v>63.252000000000002</v>
      </c>
      <c r="I30" s="36">
        <f t="shared" si="12"/>
        <v>8.2227599999999998E-2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11"/>
        <v>0.25</v>
      </c>
      <c r="F31" s="45"/>
      <c r="G31" s="36">
        <f>Rates!I247</f>
        <v>0.25</v>
      </c>
      <c r="H31" s="37">
        <f t="shared" si="13"/>
        <v>1</v>
      </c>
      <c r="I31" s="36">
        <f t="shared" si="12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Rates!E253</f>
        <v>7.0000000000000001E-3</v>
      </c>
      <c r="D32" s="37">
        <f>C7</f>
        <v>60</v>
      </c>
      <c r="E32" s="36">
        <f t="shared" si="11"/>
        <v>0.42</v>
      </c>
      <c r="F32" s="45"/>
      <c r="G32" s="25">
        <f>Rates!I252</f>
        <v>0</v>
      </c>
      <c r="H32" s="37">
        <f>D32</f>
        <v>60</v>
      </c>
      <c r="I32" s="36">
        <f t="shared" si="12"/>
        <v>0</v>
      </c>
      <c r="J32" s="45"/>
      <c r="K32" s="36">
        <f t="shared" si="2"/>
        <v>-0.42</v>
      </c>
      <c r="L32" s="47">
        <f t="shared" si="3"/>
        <v>-1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60</v>
      </c>
      <c r="I33" s="36">
        <f t="shared" si="12"/>
        <v>6.6000000000000003E-2</v>
      </c>
      <c r="J33" s="45"/>
      <c r="K33" s="36"/>
      <c r="L33" s="47"/>
    </row>
    <row r="34" spans="2:12" x14ac:dyDescent="0.2">
      <c r="B34" s="44" t="str">
        <f>Rates!B267</f>
        <v>Energy Price</v>
      </c>
      <c r="C34" s="25">
        <f>Rates!E267</f>
        <v>0.10766000000000001</v>
      </c>
      <c r="D34" s="37">
        <f>C7*0.64</f>
        <v>38.4</v>
      </c>
      <c r="E34" s="36">
        <f t="shared" si="11"/>
        <v>4.134144</v>
      </c>
      <c r="F34" s="45"/>
      <c r="G34" s="25">
        <f>Rates!I267</f>
        <v>0.10766000000000001</v>
      </c>
      <c r="H34" s="37">
        <f>D34</f>
        <v>38.4</v>
      </c>
      <c r="I34" s="36">
        <f t="shared" si="12"/>
        <v>4.134144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56"/>
      <c r="C35" s="51"/>
      <c r="D35" s="51"/>
      <c r="E35" s="51"/>
      <c r="F35" s="53"/>
      <c r="G35" s="51"/>
      <c r="H35" s="51"/>
      <c r="I35" s="51"/>
      <c r="J35" s="53"/>
      <c r="K35" s="54"/>
      <c r="L35" s="55"/>
    </row>
    <row r="36" spans="2:12" x14ac:dyDescent="0.2">
      <c r="B36" s="23" t="s">
        <v>58</v>
      </c>
      <c r="C36" s="35"/>
      <c r="D36" s="35"/>
      <c r="E36" s="39">
        <f>SUM(E28:E34)</f>
        <v>12.606230720000003</v>
      </c>
      <c r="F36" s="45"/>
      <c r="G36" s="35"/>
      <c r="H36" s="39"/>
      <c r="I36" s="39">
        <f>SUM(I28:I34)</f>
        <v>12.233469120000002</v>
      </c>
      <c r="J36" s="45"/>
      <c r="K36" s="36">
        <f t="shared" si="2"/>
        <v>-0.37276160000000047</v>
      </c>
      <c r="L36" s="47">
        <f t="shared" si="3"/>
        <v>-2.9569631738423426E-2</v>
      </c>
    </row>
    <row r="37" spans="2:12" x14ac:dyDescent="0.2">
      <c r="B37" s="44" t="str">
        <f>Rates!B269</f>
        <v>HST</v>
      </c>
      <c r="C37" s="41">
        <f>Rates!E269</f>
        <v>0.13</v>
      </c>
      <c r="D37" s="35"/>
      <c r="E37" s="42">
        <f>E36*C37</f>
        <v>1.6388099936000005</v>
      </c>
      <c r="F37" s="45"/>
      <c r="G37" s="41">
        <f>Rates!I269</f>
        <v>0.13</v>
      </c>
      <c r="H37" s="35"/>
      <c r="I37" s="42">
        <f>I36*G37</f>
        <v>1.5903509856000004</v>
      </c>
      <c r="J37" s="45"/>
      <c r="K37" s="36">
        <f t="shared" si="2"/>
        <v>-4.8459008000000026E-2</v>
      </c>
      <c r="L37" s="47">
        <f t="shared" si="3"/>
        <v>-2.9569631738423401E-2</v>
      </c>
    </row>
    <row r="38" spans="2:12" x14ac:dyDescent="0.2">
      <c r="B38" s="23" t="s">
        <v>59</v>
      </c>
      <c r="C38" s="35"/>
      <c r="D38" s="35"/>
      <c r="E38" s="42">
        <f>E36+E37</f>
        <v>14.245040713600003</v>
      </c>
      <c r="F38" s="45"/>
      <c r="G38" s="35"/>
      <c r="H38" s="35"/>
      <c r="I38" s="42">
        <f>I36+I37</f>
        <v>13.823820105600003</v>
      </c>
      <c r="J38" s="45"/>
      <c r="K38" s="36">
        <f t="shared" si="2"/>
        <v>-0.4212206080000005</v>
      </c>
      <c r="L38" s="47">
        <f t="shared" si="3"/>
        <v>-2.9569631738423422E-2</v>
      </c>
    </row>
    <row r="39" spans="2:12" x14ac:dyDescent="0.2">
      <c r="B39" s="44" t="str">
        <f>Rates!B271</f>
        <v>OCEB</v>
      </c>
      <c r="C39" s="41">
        <f>Rates!E271</f>
        <v>-0.1</v>
      </c>
      <c r="D39" s="35"/>
      <c r="E39" s="42">
        <f>E38*C39</f>
        <v>-1.4245040713600003</v>
      </c>
      <c r="F39" s="45"/>
      <c r="G39" s="41">
        <f>Rates!I271</f>
        <v>0</v>
      </c>
      <c r="H39" s="35"/>
      <c r="I39" s="42">
        <f>I38*G39</f>
        <v>0</v>
      </c>
      <c r="J39" s="45"/>
      <c r="K39" s="36">
        <f t="shared" si="2"/>
        <v>1.4245040713600003</v>
      </c>
      <c r="L39" s="47">
        <f t="shared" si="3"/>
        <v>-1</v>
      </c>
    </row>
    <row r="40" spans="2:12" ht="13.5" thickBot="1" x14ac:dyDescent="0.25">
      <c r="B40" s="30" t="s">
        <v>60</v>
      </c>
      <c r="C40" s="57"/>
      <c r="D40" s="57"/>
      <c r="E40" s="58">
        <f>E38+E39</f>
        <v>12.820536642240004</v>
      </c>
      <c r="F40" s="59"/>
      <c r="G40" s="57"/>
      <c r="H40" s="57"/>
      <c r="I40" s="58">
        <f>I38+I39</f>
        <v>13.823820105600003</v>
      </c>
      <c r="J40" s="59"/>
      <c r="K40" s="60">
        <f t="shared" si="2"/>
        <v>1.003283463359999</v>
      </c>
      <c r="L40" s="61">
        <f t="shared" si="3"/>
        <v>7.8255964735085018E-2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L40"/>
  <sheetViews>
    <sheetView showGridLines="0" workbookViewId="0">
      <selection activeCell="N27" sqref="N27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5" max="5" width="10.28515625" bestFit="1" customWidth="1"/>
    <col min="6" max="6" width="1.7109375" customWidth="1"/>
    <col min="9" max="9" width="10.28515625" bestFit="1" customWidth="1"/>
    <col min="10" max="10" width="1.7109375" customWidth="1"/>
    <col min="11" max="11" width="9.85546875" bestFit="1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Rates!B158</f>
        <v>CNPI - Port Colborne</v>
      </c>
    </row>
    <row r="3" spans="2:12" ht="15.75" x14ac:dyDescent="0.25">
      <c r="B3" s="24" t="str">
        <f>Rates!B226</f>
        <v>Street Lighting</v>
      </c>
      <c r="C3" s="1" t="s">
        <v>103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2000</v>
      </c>
    </row>
    <row r="7" spans="2:12" x14ac:dyDescent="0.2">
      <c r="B7" s="28" t="s">
        <v>62</v>
      </c>
      <c r="C7" s="29">
        <v>155000</v>
      </c>
    </row>
    <row r="8" spans="2:12" x14ac:dyDescent="0.2">
      <c r="B8" s="28" t="s">
        <v>63</v>
      </c>
      <c r="C8" s="62">
        <v>445</v>
      </c>
    </row>
    <row r="9" spans="2:12" ht="13.5" thickBot="1" x14ac:dyDescent="0.25">
      <c r="B9" s="30" t="s">
        <v>64</v>
      </c>
      <c r="C9" s="31">
        <f>IF(C8=0,"n/a",C7/(C8*24*365/12))</f>
        <v>0.47714329690626445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Rates!E227</f>
        <v>4.6100000000000003</v>
      </c>
      <c r="D14" s="37">
        <f>C6</f>
        <v>2000</v>
      </c>
      <c r="E14" s="36">
        <f>C14*D14</f>
        <v>9220</v>
      </c>
      <c r="F14" s="45"/>
      <c r="G14" s="36">
        <f>Rates!I227</f>
        <v>4.96</v>
      </c>
      <c r="H14" s="37">
        <f>D14</f>
        <v>2000</v>
      </c>
      <c r="I14" s="36">
        <f>G14*H14</f>
        <v>9920</v>
      </c>
      <c r="J14" s="45"/>
      <c r="K14" s="36">
        <f>I14-E14</f>
        <v>700</v>
      </c>
      <c r="L14" s="47">
        <f>IF((E14)=0," ",K14/E14)</f>
        <v>7.5921908893709325E-2</v>
      </c>
    </row>
    <row r="15" spans="2:12" x14ac:dyDescent="0.2">
      <c r="B15" s="44" t="str">
        <f>Rates!B8</f>
        <v>Distribution Volumetric Rate</v>
      </c>
      <c r="C15" s="25">
        <f>Rates!E228</f>
        <v>10.4941</v>
      </c>
      <c r="D15" s="38">
        <f>C8</f>
        <v>445</v>
      </c>
      <c r="E15" s="36">
        <f t="shared" ref="E15" si="0">C15*D15</f>
        <v>4669.8744999999999</v>
      </c>
      <c r="F15" s="45"/>
      <c r="G15" s="25">
        <f>Rates!I228</f>
        <v>10.7965</v>
      </c>
      <c r="H15" s="38">
        <f>D15</f>
        <v>445</v>
      </c>
      <c r="I15" s="36">
        <f t="shared" ref="I15" si="1">G15*H15</f>
        <v>4804.4425000000001</v>
      </c>
      <c r="J15" s="45"/>
      <c r="K15" s="36">
        <f t="shared" ref="K15:K40" si="2">I15-E15</f>
        <v>134.56800000000021</v>
      </c>
      <c r="L15" s="47">
        <f t="shared" ref="L15:L40" si="3">IF((E15)=0," ",K15/E15)</f>
        <v>2.881619195547979E-2</v>
      </c>
    </row>
    <row r="16" spans="2:12" x14ac:dyDescent="0.2">
      <c r="B16" s="49" t="s">
        <v>36</v>
      </c>
      <c r="C16" s="50"/>
      <c r="D16" s="51"/>
      <c r="E16" s="52">
        <f>SUM(E14:E15)</f>
        <v>13889.8745</v>
      </c>
      <c r="F16" s="53"/>
      <c r="G16" s="50"/>
      <c r="H16" s="51"/>
      <c r="I16" s="52">
        <f>SUM(I14:I15)</f>
        <v>14724.442500000001</v>
      </c>
      <c r="J16" s="53"/>
      <c r="K16" s="54">
        <f t="shared" si="2"/>
        <v>834.56800000000112</v>
      </c>
      <c r="L16" s="55">
        <f t="shared" si="3"/>
        <v>6.0084632154163896E-2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8401.0000000000036</v>
      </c>
      <c r="E17" s="36">
        <f t="shared" ref="E17:E24" si="4">C17*D17</f>
        <v>904.4516600000004</v>
      </c>
      <c r="F17" s="45"/>
      <c r="G17" s="25">
        <f>Rates!I267</f>
        <v>0.10766000000000001</v>
      </c>
      <c r="H17" s="40">
        <f>(C5-1)*C7</f>
        <v>8401.0000000000036</v>
      </c>
      <c r="I17" s="36">
        <f t="shared" ref="I17:I24" si="5">G17*H17</f>
        <v>904.4516600000004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Rates!B230</f>
        <v>Rate Rider for Deferral/Variance Account Disposition (2015) - effective until December 31, 2016</v>
      </c>
      <c r="C18" s="25">
        <f>Rates!E230</f>
        <v>-4.9000000000000002E-2</v>
      </c>
      <c r="D18" s="37">
        <f>C8</f>
        <v>445</v>
      </c>
      <c r="E18" s="36">
        <f t="shared" si="4"/>
        <v>-21.805</v>
      </c>
      <c r="F18" s="45"/>
      <c r="G18" s="25">
        <f>Rates!I230</f>
        <v>-4.9000000000000002E-2</v>
      </c>
      <c r="H18" s="37">
        <f t="shared" ref="H18:H24" si="6">D18</f>
        <v>445</v>
      </c>
      <c r="I18" s="36">
        <f t="shared" si="5"/>
        <v>-21.805</v>
      </c>
      <c r="J18" s="45"/>
      <c r="K18" s="36">
        <f t="shared" ref="K18:K23" si="7">I18-E18</f>
        <v>0</v>
      </c>
      <c r="L18" s="47">
        <f t="shared" ref="L18:L23" si="8">IF((E18)=0," ",K18/E18)</f>
        <v>0</v>
      </c>
    </row>
    <row r="19" spans="2:12" ht="25.5" x14ac:dyDescent="0.2">
      <c r="B19" s="48" t="str">
        <f>Rates!B231</f>
        <v>Rate Rider for Global Adjustment Sub-Account Disposition (2015) - effective until December 31, 2016 Applicable only for Non-RPP Customers</v>
      </c>
      <c r="C19" s="25">
        <f>Rates!E231</f>
        <v>-0.77990000000000004</v>
      </c>
      <c r="D19" s="37">
        <f>C8</f>
        <v>445</v>
      </c>
      <c r="E19" s="36">
        <f t="shared" si="4"/>
        <v>-347.05549999999999</v>
      </c>
      <c r="F19" s="45"/>
      <c r="G19" s="25">
        <f>Rates!I231</f>
        <v>-0.77990000000000004</v>
      </c>
      <c r="H19" s="37">
        <f t="shared" si="6"/>
        <v>445</v>
      </c>
      <c r="I19" s="36">
        <f t="shared" si="5"/>
        <v>-347.05549999999999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Rates!B232</f>
        <v>Rate Rider for Deferral/Variance Account Disposition (2016) - effective until December 31, 2017</v>
      </c>
      <c r="C20" s="25">
        <f>Rates!E232</f>
        <v>0</v>
      </c>
      <c r="D20" s="37">
        <f>C8</f>
        <v>445</v>
      </c>
      <c r="E20" s="36">
        <f t="shared" si="4"/>
        <v>0</v>
      </c>
      <c r="F20" s="45"/>
      <c r="G20" s="25">
        <f>Rates!I232</f>
        <v>-0.40660000000000002</v>
      </c>
      <c r="H20" s="37">
        <f t="shared" si="6"/>
        <v>445</v>
      </c>
      <c r="I20" s="36">
        <f t="shared" si="5"/>
        <v>-180.93700000000001</v>
      </c>
      <c r="J20" s="45"/>
      <c r="K20" s="36">
        <f t="shared" ref="K20:K21" si="9">I20-E20</f>
        <v>-180.93700000000001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Rates!B233</f>
        <v>Rate Rider for Global Adjustment Sub-Account Disposition (2016) - effective until December 31, 2017 Applicable only for Non-RPP Customers</v>
      </c>
      <c r="C21" s="25">
        <f>Rates!E233</f>
        <v>0</v>
      </c>
      <c r="D21" s="37">
        <f>C8</f>
        <v>445</v>
      </c>
      <c r="E21" s="36">
        <f t="shared" si="4"/>
        <v>0</v>
      </c>
      <c r="F21" s="45"/>
      <c r="G21" s="25">
        <f>Rates!I233</f>
        <v>0.63639999999999997</v>
      </c>
      <c r="H21" s="37">
        <f t="shared" si="6"/>
        <v>445</v>
      </c>
      <c r="I21" s="36">
        <f t="shared" si="5"/>
        <v>283.19799999999998</v>
      </c>
      <c r="J21" s="45"/>
      <c r="K21" s="36">
        <f t="shared" si="9"/>
        <v>283.19799999999998</v>
      </c>
      <c r="L21" s="47" t="str">
        <f t="shared" si="10"/>
        <v xml:space="preserve"> </v>
      </c>
    </row>
    <row r="22" spans="2:12" x14ac:dyDescent="0.2">
      <c r="B22" s="44" t="str">
        <f>Rates!B221</f>
        <v>Rate Rider for the Disposition of Deferred PILs Variance Account 1562 - effective until December 31, 2016</v>
      </c>
      <c r="C22" s="25">
        <f>Rates!E234</f>
        <v>0.43690000000000001</v>
      </c>
      <c r="D22" s="37">
        <f>C8</f>
        <v>445</v>
      </c>
      <c r="E22" s="36">
        <f t="shared" si="4"/>
        <v>194.4205</v>
      </c>
      <c r="F22" s="45"/>
      <c r="G22" s="25">
        <f>Rates!I234</f>
        <v>0.43690000000000001</v>
      </c>
      <c r="H22" s="37">
        <f t="shared" si="6"/>
        <v>445</v>
      </c>
      <c r="I22" s="36">
        <f t="shared" si="5"/>
        <v>194.4205</v>
      </c>
      <c r="J22" s="45"/>
      <c r="K22" s="36">
        <f t="shared" si="7"/>
        <v>0</v>
      </c>
      <c r="L22" s="47">
        <f t="shared" si="8"/>
        <v>0</v>
      </c>
    </row>
    <row r="23" spans="2:12" x14ac:dyDescent="0.2">
      <c r="B23" s="44" t="str">
        <f>Rates!B235</f>
        <v>Rate Rider for Loss Revenue Adjustment Mechanism (LRAM) - effective until December 31, 2015</v>
      </c>
      <c r="C23" s="25">
        <f>Rates!E235</f>
        <v>0</v>
      </c>
      <c r="D23" s="37">
        <f>C8</f>
        <v>445</v>
      </c>
      <c r="E23" s="36">
        <f t="shared" si="4"/>
        <v>0</v>
      </c>
      <c r="F23" s="45"/>
      <c r="G23" s="25">
        <f>Rates!I235</f>
        <v>0</v>
      </c>
      <c r="H23" s="37">
        <f t="shared" si="6"/>
        <v>445</v>
      </c>
      <c r="I23" s="36">
        <f t="shared" si="5"/>
        <v>0</v>
      </c>
      <c r="J23" s="45"/>
      <c r="K23" s="36">
        <f t="shared" si="7"/>
        <v>0</v>
      </c>
      <c r="L23" s="47" t="str">
        <f t="shared" si="8"/>
        <v xml:space="preserve"> </v>
      </c>
    </row>
    <row r="24" spans="2:12" x14ac:dyDescent="0.2">
      <c r="B24" s="44" t="str">
        <f>Rates!B9</f>
        <v>Low Voltage Service Rate</v>
      </c>
      <c r="C24" s="25">
        <f>Rates!E229</f>
        <v>5.0700000000000002E-2</v>
      </c>
      <c r="D24" s="37">
        <f>C8</f>
        <v>445</v>
      </c>
      <c r="E24" s="36">
        <f t="shared" si="4"/>
        <v>22.561500000000002</v>
      </c>
      <c r="F24" s="45"/>
      <c r="G24" s="25">
        <f>Rates!I229</f>
        <v>5.0700000000000002E-2</v>
      </c>
      <c r="H24" s="37">
        <f t="shared" si="6"/>
        <v>445</v>
      </c>
      <c r="I24" s="36">
        <f t="shared" si="5"/>
        <v>22.561500000000002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14642.44766</v>
      </c>
      <c r="F25" s="53"/>
      <c r="G25" s="50"/>
      <c r="H25" s="51"/>
      <c r="I25" s="52">
        <f>SUM(I16:I24)</f>
        <v>15579.276660000001</v>
      </c>
      <c r="J25" s="53"/>
      <c r="K25" s="54">
        <f t="shared" si="2"/>
        <v>936.82900000000154</v>
      </c>
      <c r="L25" s="55">
        <f t="shared" si="3"/>
        <v>6.3980355044001E-2</v>
      </c>
    </row>
    <row r="26" spans="2:12" x14ac:dyDescent="0.2">
      <c r="B26" s="44" t="str">
        <f>Rates!B15</f>
        <v>Retail Transmission Rate - Network Service Rate</v>
      </c>
      <c r="C26" s="25">
        <f>Rates!E236</f>
        <v>1.9564999999999999</v>
      </c>
      <c r="D26" s="37">
        <f>C8</f>
        <v>445</v>
      </c>
      <c r="E26" s="36">
        <f>C26*D26</f>
        <v>870.64249999999993</v>
      </c>
      <c r="F26" s="45"/>
      <c r="G26" s="25">
        <f>Rates!I236</f>
        <v>1.9218999999999999</v>
      </c>
      <c r="H26" s="37">
        <f>D26</f>
        <v>445</v>
      </c>
      <c r="I26" s="36">
        <f>G26*H26</f>
        <v>855.24549999999999</v>
      </c>
      <c r="J26" s="45"/>
      <c r="K26" s="36">
        <f t="shared" si="2"/>
        <v>-15.396999999999935</v>
      </c>
      <c r="L26" s="47">
        <f t="shared" si="3"/>
        <v>-1.768464094045482E-2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Rates!E237</f>
        <v>1.5501</v>
      </c>
      <c r="D27" s="37">
        <f>C8</f>
        <v>445</v>
      </c>
      <c r="E27" s="36">
        <f>C27*D27</f>
        <v>689.79449999999997</v>
      </c>
      <c r="F27" s="45"/>
      <c r="G27" s="25">
        <f>Rates!I237</f>
        <v>1.5872999999999999</v>
      </c>
      <c r="H27" s="37">
        <f>D27</f>
        <v>445</v>
      </c>
      <c r="I27" s="36">
        <f>G27*H27</f>
        <v>706.34849999999994</v>
      </c>
      <c r="J27" s="45"/>
      <c r="K27" s="36">
        <f t="shared" si="2"/>
        <v>16.553999999999974</v>
      </c>
      <c r="L27" s="47">
        <f t="shared" si="3"/>
        <v>2.3998451712792686E-2</v>
      </c>
    </row>
    <row r="28" spans="2:12" x14ac:dyDescent="0.2">
      <c r="B28" s="49" t="s">
        <v>57</v>
      </c>
      <c r="C28" s="50"/>
      <c r="D28" s="51"/>
      <c r="E28" s="52">
        <f>SUM(E25:E27)</f>
        <v>16202.88466</v>
      </c>
      <c r="F28" s="53"/>
      <c r="G28" s="50"/>
      <c r="H28" s="52"/>
      <c r="I28" s="52">
        <f>SUM(I25:I27)</f>
        <v>17140.87066</v>
      </c>
      <c r="J28" s="53"/>
      <c r="K28" s="54">
        <f t="shared" si="2"/>
        <v>937.98600000000079</v>
      </c>
      <c r="L28" s="55">
        <f t="shared" si="3"/>
        <v>5.7890062151439201E-2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163401</v>
      </c>
      <c r="E29" s="36">
        <f t="shared" ref="E29:E34" si="11">C29*D29</f>
        <v>718.96440000000007</v>
      </c>
      <c r="F29" s="45"/>
      <c r="G29" s="25">
        <f>Rates!I244</f>
        <v>3.5999999999999999E-3</v>
      </c>
      <c r="H29" s="37">
        <f>D29</f>
        <v>163401</v>
      </c>
      <c r="I29" s="36">
        <f t="shared" ref="I29:I34" si="12">G29*H29</f>
        <v>588.24360000000001</v>
      </c>
      <c r="J29" s="45"/>
      <c r="K29" s="36">
        <f t="shared" si="2"/>
        <v>-130.72080000000005</v>
      </c>
      <c r="L29" s="47">
        <f t="shared" si="3"/>
        <v>-0.18181818181818188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163401</v>
      </c>
      <c r="E30" s="36">
        <f t="shared" si="11"/>
        <v>212.4213</v>
      </c>
      <c r="F30" s="45"/>
      <c r="G30" s="25">
        <f>Rates!I245</f>
        <v>1.2999999999999999E-3</v>
      </c>
      <c r="H30" s="37">
        <f t="shared" ref="H30:H31" si="13">D30</f>
        <v>163401</v>
      </c>
      <c r="I30" s="36">
        <f t="shared" si="12"/>
        <v>212.4213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11"/>
        <v>0.25</v>
      </c>
      <c r="F31" s="45"/>
      <c r="G31" s="36">
        <f>Rates!I247</f>
        <v>0.25</v>
      </c>
      <c r="H31" s="37">
        <f t="shared" si="13"/>
        <v>1</v>
      </c>
      <c r="I31" s="36">
        <f t="shared" si="12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Rates!E253</f>
        <v>7.0000000000000001E-3</v>
      </c>
      <c r="D32" s="37">
        <f>C7</f>
        <v>155000</v>
      </c>
      <c r="E32" s="36">
        <f t="shared" si="11"/>
        <v>1085</v>
      </c>
      <c r="F32" s="45"/>
      <c r="G32" s="25">
        <f>Rates!I252</f>
        <v>0</v>
      </c>
      <c r="H32" s="37">
        <f>D32</f>
        <v>155000</v>
      </c>
      <c r="I32" s="36">
        <f t="shared" si="12"/>
        <v>0</v>
      </c>
      <c r="J32" s="45"/>
      <c r="K32" s="36">
        <f t="shared" si="2"/>
        <v>-1085</v>
      </c>
      <c r="L32" s="47">
        <f t="shared" si="3"/>
        <v>-1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155000</v>
      </c>
      <c r="I33" s="36">
        <f t="shared" si="12"/>
        <v>170.5</v>
      </c>
      <c r="J33" s="45"/>
      <c r="K33" s="36"/>
      <c r="L33" s="47"/>
    </row>
    <row r="34" spans="2:12" x14ac:dyDescent="0.2">
      <c r="B34" s="44" t="str">
        <f>Rates!B267</f>
        <v>Energy Price</v>
      </c>
      <c r="C34" s="25">
        <f>Rates!E267</f>
        <v>0.10766000000000001</v>
      </c>
      <c r="D34" s="37">
        <f>C7*0.64</f>
        <v>99200</v>
      </c>
      <c r="E34" s="36">
        <f t="shared" si="11"/>
        <v>10679.872000000001</v>
      </c>
      <c r="F34" s="45"/>
      <c r="G34" s="25">
        <f>Rates!I267</f>
        <v>0.10766000000000001</v>
      </c>
      <c r="H34" s="37">
        <f>D34</f>
        <v>99200</v>
      </c>
      <c r="I34" s="36">
        <f t="shared" si="12"/>
        <v>10679.872000000001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56"/>
      <c r="C35" s="51"/>
      <c r="D35" s="51"/>
      <c r="E35" s="51"/>
      <c r="F35" s="53"/>
      <c r="G35" s="51"/>
      <c r="H35" s="51"/>
      <c r="I35" s="51"/>
      <c r="J35" s="53"/>
      <c r="K35" s="54"/>
      <c r="L35" s="55"/>
    </row>
    <row r="36" spans="2:12" x14ac:dyDescent="0.2">
      <c r="B36" s="23" t="s">
        <v>58</v>
      </c>
      <c r="C36" s="35"/>
      <c r="D36" s="35"/>
      <c r="E36" s="39">
        <f>SUM(E28:E34)</f>
        <v>28899.392360000005</v>
      </c>
      <c r="F36" s="45"/>
      <c r="G36" s="35"/>
      <c r="H36" s="39"/>
      <c r="I36" s="39">
        <f>SUM(I28:I34)</f>
        <v>28792.157560000007</v>
      </c>
      <c r="J36" s="45"/>
      <c r="K36" s="36">
        <f t="shared" si="2"/>
        <v>-107.23479999999836</v>
      </c>
      <c r="L36" s="47">
        <f t="shared" si="3"/>
        <v>-3.7106247309345967E-3</v>
      </c>
    </row>
    <row r="37" spans="2:12" x14ac:dyDescent="0.2">
      <c r="B37" s="44" t="str">
        <f>Rates!B269</f>
        <v>HST</v>
      </c>
      <c r="C37" s="41">
        <f>Rates!E269</f>
        <v>0.13</v>
      </c>
      <c r="D37" s="35"/>
      <c r="E37" s="42">
        <f>E36*C37</f>
        <v>3756.9210068000007</v>
      </c>
      <c r="F37" s="45"/>
      <c r="G37" s="41">
        <f>Rates!I269</f>
        <v>0.13</v>
      </c>
      <c r="H37" s="35"/>
      <c r="I37" s="42">
        <f>I36*G37</f>
        <v>3742.980482800001</v>
      </c>
      <c r="J37" s="45"/>
      <c r="K37" s="36">
        <f t="shared" si="2"/>
        <v>-13.940523999999641</v>
      </c>
      <c r="L37" s="47">
        <f t="shared" si="3"/>
        <v>-3.7106247309345581E-3</v>
      </c>
    </row>
    <row r="38" spans="2:12" x14ac:dyDescent="0.2">
      <c r="B38" s="23" t="s">
        <v>59</v>
      </c>
      <c r="C38" s="35"/>
      <c r="D38" s="35"/>
      <c r="E38" s="42">
        <f>E36+E37</f>
        <v>32656.313366800005</v>
      </c>
      <c r="F38" s="45"/>
      <c r="G38" s="35"/>
      <c r="H38" s="35"/>
      <c r="I38" s="42">
        <f>I36+I37</f>
        <v>32535.138042800008</v>
      </c>
      <c r="J38" s="45"/>
      <c r="K38" s="36">
        <f t="shared" si="2"/>
        <v>-121.17532399999618</v>
      </c>
      <c r="L38" s="47">
        <f t="shared" si="3"/>
        <v>-3.7106247309345369E-3</v>
      </c>
    </row>
    <row r="39" spans="2:12" x14ac:dyDescent="0.2">
      <c r="B39" s="44" t="str">
        <f>Rates!B271</f>
        <v>OCEB</v>
      </c>
      <c r="C39" s="41"/>
      <c r="D39" s="35"/>
      <c r="E39" s="42">
        <f>E38*C39</f>
        <v>0</v>
      </c>
      <c r="F39" s="45"/>
      <c r="G39" s="41">
        <f>Rates!I271</f>
        <v>0</v>
      </c>
      <c r="H39" s="35"/>
      <c r="I39" s="42">
        <f>I38*G39</f>
        <v>0</v>
      </c>
      <c r="J39" s="45"/>
      <c r="K39" s="36">
        <f t="shared" si="2"/>
        <v>0</v>
      </c>
      <c r="L39" s="47" t="str">
        <f t="shared" si="3"/>
        <v xml:space="preserve"> </v>
      </c>
    </row>
    <row r="40" spans="2:12" ht="13.5" thickBot="1" x14ac:dyDescent="0.25">
      <c r="B40" s="30" t="s">
        <v>60</v>
      </c>
      <c r="C40" s="57"/>
      <c r="D40" s="57"/>
      <c r="E40" s="58">
        <f>E38+E39</f>
        <v>32656.313366800005</v>
      </c>
      <c r="F40" s="59"/>
      <c r="G40" s="57"/>
      <c r="H40" s="57"/>
      <c r="I40" s="58">
        <f>I38+I39</f>
        <v>32535.138042800008</v>
      </c>
      <c r="J40" s="59"/>
      <c r="K40" s="60">
        <f t="shared" si="2"/>
        <v>-121.17532399999618</v>
      </c>
      <c r="L40" s="61">
        <f t="shared" si="3"/>
        <v>-3.7106247309345369E-3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L42"/>
  <sheetViews>
    <sheetView showGridLines="0" topLeftCell="A4" workbookViewId="0">
      <selection activeCell="P31" sqref="P31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Rates!B3</f>
        <v>CNPI - Fort Erie</v>
      </c>
    </row>
    <row r="3" spans="2:12" ht="15.75" x14ac:dyDescent="0.25">
      <c r="B3" s="24" t="str">
        <f>Rates!B5</f>
        <v>Residential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800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Rates!E6</f>
        <v>19.43</v>
      </c>
      <c r="D14" s="37">
        <f>C6</f>
        <v>1</v>
      </c>
      <c r="E14" s="36">
        <f>C14*D14</f>
        <v>19.43</v>
      </c>
      <c r="F14" s="45"/>
      <c r="G14" s="36">
        <f>Rates!I6</f>
        <v>23.44</v>
      </c>
      <c r="H14" s="37">
        <f>D14</f>
        <v>1</v>
      </c>
      <c r="I14" s="36">
        <f>G14*H14</f>
        <v>23.44</v>
      </c>
      <c r="J14" s="45"/>
      <c r="K14" s="36">
        <f>I14-E14</f>
        <v>4.0100000000000016</v>
      </c>
      <c r="L14" s="47">
        <f>IF((E14)=0," ",K14/E14)</f>
        <v>0.20638188368502325</v>
      </c>
    </row>
    <row r="15" spans="2:12" x14ac:dyDescent="0.2">
      <c r="B15" s="44" t="str">
        <f>Rates!B8</f>
        <v>Distribution Volumetric Rate</v>
      </c>
      <c r="C15" s="25">
        <f>Rates!E8</f>
        <v>2.0199999999999999E-2</v>
      </c>
      <c r="D15" s="38">
        <f>C7</f>
        <v>800</v>
      </c>
      <c r="E15" s="36">
        <f t="shared" ref="E15" si="0">C15*D15</f>
        <v>16.16</v>
      </c>
      <c r="F15" s="45"/>
      <c r="G15" s="25">
        <f>Rates!I8</f>
        <v>1.52E-2</v>
      </c>
      <c r="H15" s="38">
        <f>D15</f>
        <v>800</v>
      </c>
      <c r="I15" s="36">
        <f t="shared" ref="I15" si="1">G15*H15</f>
        <v>12.16</v>
      </c>
      <c r="J15" s="45"/>
      <c r="K15" s="36">
        <f t="shared" ref="K15:K42" si="2">I15-E15</f>
        <v>-4</v>
      </c>
      <c r="L15" s="47">
        <f t="shared" ref="L15:L42" si="3">IF((E15)=0," ",K15/E15)</f>
        <v>-0.24752475247524752</v>
      </c>
    </row>
    <row r="16" spans="2:12" x14ac:dyDescent="0.2">
      <c r="B16" s="49" t="s">
        <v>36</v>
      </c>
      <c r="C16" s="50"/>
      <c r="D16" s="51"/>
      <c r="E16" s="52">
        <f>SUM(E14:E15)</f>
        <v>35.590000000000003</v>
      </c>
      <c r="F16" s="53"/>
      <c r="G16" s="50"/>
      <c r="H16" s="51"/>
      <c r="I16" s="52">
        <f>SUM(I14:I15)</f>
        <v>35.6</v>
      </c>
      <c r="J16" s="53"/>
      <c r="K16" s="54">
        <f t="shared" si="2"/>
        <v>9.9999999999980105E-3</v>
      </c>
      <c r="L16" s="55">
        <f t="shared" si="3"/>
        <v>2.8097780275352654E-4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43.360000000000021</v>
      </c>
      <c r="E17" s="36">
        <f t="shared" ref="E17:E24" si="4">C17*D17</f>
        <v>4.6681376000000023</v>
      </c>
      <c r="F17" s="45"/>
      <c r="G17" s="25">
        <f>Rates!I267</f>
        <v>0.10766000000000001</v>
      </c>
      <c r="H17" s="40">
        <f>(C5-1)*C7</f>
        <v>43.360000000000021</v>
      </c>
      <c r="I17" s="36">
        <f t="shared" ref="I17:I24" si="5">G17*H17</f>
        <v>4.6681376000000023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4" t="str">
        <f>Rates!B10</f>
        <v>Rate Rider for Deferral/Variance Account Disposition (2015) - effective until December 31, 2016</v>
      </c>
      <c r="C18" s="25">
        <f>Rates!E10</f>
        <v>8.0000000000000004E-4</v>
      </c>
      <c r="D18" s="37">
        <f>C7</f>
        <v>800</v>
      </c>
      <c r="E18" s="36">
        <f t="shared" si="4"/>
        <v>0.64</v>
      </c>
      <c r="F18" s="45"/>
      <c r="G18" s="25">
        <f>Rates!I10</f>
        <v>8.0000000000000004E-4</v>
      </c>
      <c r="H18" s="37">
        <f t="shared" ref="H18:H24" si="6">D18</f>
        <v>800</v>
      </c>
      <c r="I18" s="36">
        <f t="shared" si="5"/>
        <v>0.64</v>
      </c>
      <c r="J18" s="45"/>
      <c r="K18" s="36">
        <f t="shared" si="2"/>
        <v>0</v>
      </c>
      <c r="L18" s="47">
        <f t="shared" si="3"/>
        <v>0</v>
      </c>
    </row>
    <row r="19" spans="2:12" ht="25.5" x14ac:dyDescent="0.2">
      <c r="B19" s="48" t="str">
        <f>Rates!B11</f>
        <v>Rate Rider for Global Adjustment Sub-Account Disposition (2015) - effective until December 31, 2016 Applicable only for Non-RPP Customers</v>
      </c>
      <c r="C19" s="25">
        <f>Rates!E11</f>
        <v>-2.5000000000000001E-3</v>
      </c>
      <c r="D19" s="37"/>
      <c r="E19" s="36">
        <f t="shared" si="4"/>
        <v>0</v>
      </c>
      <c r="F19" s="45"/>
      <c r="G19" s="25">
        <f>Rates!I11</f>
        <v>-2.5000000000000001E-3</v>
      </c>
      <c r="H19" s="37"/>
      <c r="I19" s="36">
        <f t="shared" si="5"/>
        <v>0</v>
      </c>
      <c r="J19" s="45"/>
      <c r="K19" s="36">
        <f t="shared" si="2"/>
        <v>0</v>
      </c>
      <c r="L19" s="47" t="str">
        <f t="shared" si="3"/>
        <v xml:space="preserve"> </v>
      </c>
    </row>
    <row r="20" spans="2:12" x14ac:dyDescent="0.2">
      <c r="B20" s="48" t="str">
        <f>Rates!B12</f>
        <v>Rate Rider for Deferral/Variance Account Disposition (2016) - effective until December 31, 2017</v>
      </c>
      <c r="C20" s="25">
        <f>Rates!E12</f>
        <v>0</v>
      </c>
      <c r="D20" s="37">
        <f>C7</f>
        <v>800</v>
      </c>
      <c r="E20" s="36">
        <f t="shared" si="4"/>
        <v>0</v>
      </c>
      <c r="F20" s="45"/>
      <c r="G20" s="25">
        <f>Rates!I12</f>
        <v>-4.0000000000000002E-4</v>
      </c>
      <c r="H20" s="37">
        <f t="shared" si="6"/>
        <v>800</v>
      </c>
      <c r="I20" s="36">
        <f t="shared" si="5"/>
        <v>-0.32</v>
      </c>
      <c r="J20" s="45"/>
      <c r="K20" s="36">
        <f t="shared" ref="K20:K21" si="7">I20-E20</f>
        <v>-0.32</v>
      </c>
      <c r="L20" s="47" t="str">
        <f t="shared" ref="L20:L21" si="8">IF((E20)=0," ",K20/E20)</f>
        <v xml:space="preserve"> </v>
      </c>
    </row>
    <row r="21" spans="2:12" ht="25.5" x14ac:dyDescent="0.2">
      <c r="B21" s="48" t="str">
        <f>Rates!B13</f>
        <v>Rate Rider for Global Adjustment Sub-Account Disposition (2016) - effective until December 31, 2017 Applicable only for Non-RPP Customers</v>
      </c>
      <c r="C21" s="25">
        <f>Rates!E13</f>
        <v>0</v>
      </c>
      <c r="D21" s="37"/>
      <c r="E21" s="36">
        <f t="shared" si="4"/>
        <v>0</v>
      </c>
      <c r="F21" s="45"/>
      <c r="G21" s="25">
        <f>Rates!I13</f>
        <v>3.7000000000000002E-3</v>
      </c>
      <c r="H21" s="37"/>
      <c r="I21" s="36">
        <f t="shared" si="5"/>
        <v>0</v>
      </c>
      <c r="J21" s="45"/>
      <c r="K21" s="36">
        <f t="shared" si="7"/>
        <v>0</v>
      </c>
      <c r="L21" s="47" t="str">
        <f t="shared" si="8"/>
        <v xml:space="preserve"> </v>
      </c>
    </row>
    <row r="22" spans="2:12" x14ac:dyDescent="0.2">
      <c r="B22" s="48" t="str">
        <f>Rates!B14</f>
        <v>Rate Rider for Loss Revenue Adjustment Mechanism (LRAM) - effective until December 31, 2015</v>
      </c>
      <c r="C22" s="25">
        <f>Rates!E14</f>
        <v>1E-4</v>
      </c>
      <c r="D22" s="37">
        <f>C7</f>
        <v>800</v>
      </c>
      <c r="E22" s="36">
        <f t="shared" si="4"/>
        <v>0.08</v>
      </c>
      <c r="F22" s="45"/>
      <c r="G22" s="25">
        <f>Rates!I14</f>
        <v>0</v>
      </c>
      <c r="H22" s="37">
        <f t="shared" si="6"/>
        <v>800</v>
      </c>
      <c r="I22" s="36">
        <f t="shared" si="5"/>
        <v>0</v>
      </c>
      <c r="J22" s="45"/>
      <c r="K22" s="36">
        <f t="shared" si="2"/>
        <v>-0.08</v>
      </c>
      <c r="L22" s="47">
        <f t="shared" si="3"/>
        <v>-1</v>
      </c>
    </row>
    <row r="23" spans="2:12" x14ac:dyDescent="0.2">
      <c r="B23" s="44" t="str">
        <f>Rates!B9</f>
        <v>Low Voltage Service Rate</v>
      </c>
      <c r="C23" s="25">
        <f>Rates!E9</f>
        <v>2.0000000000000001E-4</v>
      </c>
      <c r="D23" s="37">
        <f>C7</f>
        <v>800</v>
      </c>
      <c r="E23" s="36">
        <f t="shared" si="4"/>
        <v>0.16</v>
      </c>
      <c r="F23" s="45"/>
      <c r="G23" s="25">
        <f>Rates!I9</f>
        <v>2.0000000000000001E-4</v>
      </c>
      <c r="H23" s="37">
        <f t="shared" si="6"/>
        <v>800</v>
      </c>
      <c r="I23" s="36">
        <f t="shared" si="5"/>
        <v>0.16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4" t="str">
        <f>Rates!B248</f>
        <v>Smart Meter Entity Charge</v>
      </c>
      <c r="C24" s="36">
        <f>Rates!E248</f>
        <v>0.79</v>
      </c>
      <c r="D24" s="37">
        <f>C6</f>
        <v>1</v>
      </c>
      <c r="E24" s="36">
        <f t="shared" si="4"/>
        <v>0.79</v>
      </c>
      <c r="F24" s="45"/>
      <c r="G24" s="36">
        <f>Rates!I248</f>
        <v>0.79</v>
      </c>
      <c r="H24" s="37">
        <f t="shared" si="6"/>
        <v>1</v>
      </c>
      <c r="I24" s="36">
        <f t="shared" si="5"/>
        <v>0.79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41.928137599999999</v>
      </c>
      <c r="F25" s="53"/>
      <c r="G25" s="50"/>
      <c r="H25" s="51"/>
      <c r="I25" s="52">
        <f>SUM(I16:I24)</f>
        <v>41.538137599999999</v>
      </c>
      <c r="J25" s="53"/>
      <c r="K25" s="54">
        <f t="shared" si="2"/>
        <v>-0.39000000000000057</v>
      </c>
      <c r="L25" s="55">
        <f t="shared" si="3"/>
        <v>-9.3016294623112609E-3</v>
      </c>
    </row>
    <row r="26" spans="2:12" x14ac:dyDescent="0.2">
      <c r="B26" s="44" t="str">
        <f>Rates!B15</f>
        <v>Retail Transmission Rate - Network Service Rate</v>
      </c>
      <c r="C26" s="25">
        <f>Rates!E15</f>
        <v>7.3000000000000001E-3</v>
      </c>
      <c r="D26" s="37">
        <f>C7*C5</f>
        <v>843.36</v>
      </c>
      <c r="E26" s="36">
        <f>C26*D26</f>
        <v>6.1565279999999998</v>
      </c>
      <c r="F26" s="45"/>
      <c r="G26" s="25">
        <f>Rates!I15</f>
        <v>7.1999999999999998E-3</v>
      </c>
      <c r="H26" s="37">
        <f>D26</f>
        <v>843.36</v>
      </c>
      <c r="I26" s="36">
        <f>G26*H26</f>
        <v>6.0721920000000003</v>
      </c>
      <c r="J26" s="45"/>
      <c r="K26" s="36">
        <f t="shared" si="2"/>
        <v>-8.4335999999999522E-2</v>
      </c>
      <c r="L26" s="47">
        <f t="shared" si="3"/>
        <v>-1.3698630136986224E-2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Rates!E16</f>
        <v>5.7000000000000002E-3</v>
      </c>
      <c r="D27" s="37">
        <f>C7*C5</f>
        <v>843.36</v>
      </c>
      <c r="E27" s="36">
        <f>C27*D27</f>
        <v>4.8071520000000003</v>
      </c>
      <c r="F27" s="45"/>
      <c r="G27" s="25">
        <f>Rates!I16</f>
        <v>5.7999999999999996E-3</v>
      </c>
      <c r="H27" s="37">
        <f>D27</f>
        <v>843.36</v>
      </c>
      <c r="I27" s="36">
        <f>G27*H27</f>
        <v>4.8914879999999998</v>
      </c>
      <c r="J27" s="45"/>
      <c r="K27" s="36">
        <f t="shared" si="2"/>
        <v>8.4335999999999522E-2</v>
      </c>
      <c r="L27" s="47">
        <f t="shared" si="3"/>
        <v>1.7543859649122705E-2</v>
      </c>
    </row>
    <row r="28" spans="2:12" x14ac:dyDescent="0.2">
      <c r="B28" s="49" t="s">
        <v>57</v>
      </c>
      <c r="C28" s="50"/>
      <c r="D28" s="51"/>
      <c r="E28" s="52">
        <f>SUM(E25:E27)</f>
        <v>52.891817600000003</v>
      </c>
      <c r="F28" s="53"/>
      <c r="G28" s="50"/>
      <c r="H28" s="52"/>
      <c r="I28" s="52">
        <f>SUM(I25:I27)</f>
        <v>52.501817600000003</v>
      </c>
      <c r="J28" s="53"/>
      <c r="K28" s="54">
        <f t="shared" si="2"/>
        <v>-0.39000000000000057</v>
      </c>
      <c r="L28" s="55">
        <f t="shared" si="3"/>
        <v>-7.3735412715330954E-3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843.36</v>
      </c>
      <c r="E29" s="36">
        <f t="shared" ref="E29:E36" si="9">C29*D29</f>
        <v>3.7107840000000003</v>
      </c>
      <c r="F29" s="45"/>
      <c r="G29" s="25">
        <f>Rates!I244</f>
        <v>3.5999999999999999E-3</v>
      </c>
      <c r="H29" s="37">
        <f>D29</f>
        <v>843.36</v>
      </c>
      <c r="I29" s="36">
        <f t="shared" ref="I29:I36" si="10">G29*H29</f>
        <v>3.0360960000000001</v>
      </c>
      <c r="J29" s="45"/>
      <c r="K29" s="36">
        <f t="shared" si="2"/>
        <v>-0.67468800000000018</v>
      </c>
      <c r="L29" s="47">
        <f t="shared" si="3"/>
        <v>-0.18181818181818185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843.36</v>
      </c>
      <c r="E30" s="36">
        <f t="shared" si="9"/>
        <v>1.096368</v>
      </c>
      <c r="F30" s="45"/>
      <c r="G30" s="25">
        <f>Rates!I245</f>
        <v>1.2999999999999999E-3</v>
      </c>
      <c r="H30" s="37">
        <f t="shared" ref="H30:H31" si="11">D30</f>
        <v>843.36</v>
      </c>
      <c r="I30" s="36">
        <f t="shared" si="10"/>
        <v>1.096368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9"/>
        <v>0.25</v>
      </c>
      <c r="F31" s="45"/>
      <c r="G31" s="36">
        <f>Rates!I247</f>
        <v>0.25</v>
      </c>
      <c r="H31" s="37">
        <f t="shared" si="11"/>
        <v>1</v>
      </c>
      <c r="I31" s="36">
        <f t="shared" si="10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Rates!E251</f>
        <v>0</v>
      </c>
      <c r="D32" s="37">
        <f>C7</f>
        <v>800</v>
      </c>
      <c r="E32" s="36">
        <f t="shared" si="9"/>
        <v>0</v>
      </c>
      <c r="F32" s="45"/>
      <c r="G32" s="25">
        <f>Rates!I251</f>
        <v>0</v>
      </c>
      <c r="H32" s="37">
        <f>D32</f>
        <v>800</v>
      </c>
      <c r="I32" s="36">
        <f t="shared" si="10"/>
        <v>0</v>
      </c>
      <c r="J32" s="45"/>
      <c r="K32" s="36">
        <f t="shared" si="2"/>
        <v>0</v>
      </c>
      <c r="L32" s="47" t="str">
        <f t="shared" si="3"/>
        <v xml:space="preserve"> 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800</v>
      </c>
      <c r="I33" s="36">
        <f t="shared" si="10"/>
        <v>0.88</v>
      </c>
      <c r="J33" s="45"/>
      <c r="K33" s="36">
        <f t="shared" ref="K33" si="12">I33-E33</f>
        <v>0.88</v>
      </c>
      <c r="L33" s="47" t="str">
        <f t="shared" ref="L33" si="13">IF((E33)=0," ",K33/E33)</f>
        <v xml:space="preserve"> </v>
      </c>
    </row>
    <row r="34" spans="2:12" x14ac:dyDescent="0.2">
      <c r="B34" s="44" t="str">
        <f>Rates!B263</f>
        <v>TOU - Off Peak</v>
      </c>
      <c r="C34" s="25">
        <f>Rates!E263</f>
        <v>8.3000000000000004E-2</v>
      </c>
      <c r="D34" s="37">
        <f>C7*0.64</f>
        <v>512</v>
      </c>
      <c r="E34" s="36">
        <f t="shared" si="9"/>
        <v>42.496000000000002</v>
      </c>
      <c r="F34" s="45"/>
      <c r="G34" s="25">
        <f>Rates!I263</f>
        <v>8.3000000000000004E-2</v>
      </c>
      <c r="H34" s="37">
        <f>D34</f>
        <v>512</v>
      </c>
      <c r="I34" s="36">
        <f t="shared" si="10"/>
        <v>42.496000000000002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44" t="str">
        <f>Rates!B264</f>
        <v>TOU - Mid Peak</v>
      </c>
      <c r="C35" s="25">
        <f>Rates!E264</f>
        <v>0.128</v>
      </c>
      <c r="D35" s="37">
        <f>C7*0.18</f>
        <v>144</v>
      </c>
      <c r="E35" s="36">
        <f t="shared" si="9"/>
        <v>18.432000000000002</v>
      </c>
      <c r="F35" s="45"/>
      <c r="G35" s="25">
        <f>Rates!I264</f>
        <v>0.128</v>
      </c>
      <c r="H35" s="37">
        <f t="shared" ref="H35:H36" si="14">D35</f>
        <v>144</v>
      </c>
      <c r="I35" s="36">
        <f t="shared" si="10"/>
        <v>18.432000000000002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Rates!B265</f>
        <v>TOU - On Peak</v>
      </c>
      <c r="C36" s="25">
        <f>Rates!E265</f>
        <v>0.17499999999999999</v>
      </c>
      <c r="D36" s="37">
        <f>C7*0.18</f>
        <v>144</v>
      </c>
      <c r="E36" s="36">
        <f t="shared" si="9"/>
        <v>25.2</v>
      </c>
      <c r="F36" s="45"/>
      <c r="G36" s="25">
        <f>Rates!I265</f>
        <v>0.17499999999999999</v>
      </c>
      <c r="H36" s="37">
        <f t="shared" si="14"/>
        <v>144</v>
      </c>
      <c r="I36" s="36">
        <f t="shared" si="10"/>
        <v>25.2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56"/>
      <c r="C37" s="51"/>
      <c r="D37" s="51"/>
      <c r="E37" s="51"/>
      <c r="F37" s="53"/>
      <c r="G37" s="51"/>
      <c r="H37" s="51"/>
      <c r="I37" s="51"/>
      <c r="J37" s="53"/>
      <c r="K37" s="54"/>
      <c r="L37" s="55"/>
    </row>
    <row r="38" spans="2:12" x14ac:dyDescent="0.2">
      <c r="B38" s="23" t="s">
        <v>58</v>
      </c>
      <c r="C38" s="35"/>
      <c r="D38" s="35"/>
      <c r="E38" s="39">
        <f>SUM(E28:E36)</f>
        <v>144.07696960000001</v>
      </c>
      <c r="F38" s="45"/>
      <c r="G38" s="35"/>
      <c r="H38" s="39"/>
      <c r="I38" s="39">
        <f>SUM(I28:I36)</f>
        <v>143.89228160000002</v>
      </c>
      <c r="J38" s="45"/>
      <c r="K38" s="36">
        <f t="shared" si="2"/>
        <v>-0.18468799999999419</v>
      </c>
      <c r="L38" s="47">
        <f t="shared" si="3"/>
        <v>-1.2818703815935491E-3</v>
      </c>
    </row>
    <row r="39" spans="2:12" x14ac:dyDescent="0.2">
      <c r="B39" s="44" t="str">
        <f>Rates!B269</f>
        <v>HST</v>
      </c>
      <c r="C39" s="41">
        <f>Rates!E269</f>
        <v>0.13</v>
      </c>
      <c r="D39" s="35"/>
      <c r="E39" s="42">
        <f>E38*C39</f>
        <v>18.730006048000003</v>
      </c>
      <c r="F39" s="45"/>
      <c r="G39" s="41">
        <f>Rates!I269</f>
        <v>0.13</v>
      </c>
      <c r="H39" s="35"/>
      <c r="I39" s="42">
        <f>I38*G39</f>
        <v>18.705996608000003</v>
      </c>
      <c r="J39" s="45"/>
      <c r="K39" s="36">
        <f t="shared" si="2"/>
        <v>-2.4009440000000382E-2</v>
      </c>
      <c r="L39" s="47">
        <f t="shared" si="3"/>
        <v>-1.2818703815936096E-3</v>
      </c>
    </row>
    <row r="40" spans="2:12" x14ac:dyDescent="0.2">
      <c r="B40" s="23" t="s">
        <v>59</v>
      </c>
      <c r="C40" s="35"/>
      <c r="D40" s="35"/>
      <c r="E40" s="42">
        <f>E38+E39</f>
        <v>162.80697564800002</v>
      </c>
      <c r="F40" s="45"/>
      <c r="G40" s="35"/>
      <c r="H40" s="35"/>
      <c r="I40" s="42">
        <f>I38+I39</f>
        <v>162.59827820800001</v>
      </c>
      <c r="J40" s="45"/>
      <c r="K40" s="36">
        <f t="shared" si="2"/>
        <v>-0.20869744000000878</v>
      </c>
      <c r="L40" s="47">
        <f t="shared" si="3"/>
        <v>-1.2818703815936432E-3</v>
      </c>
    </row>
    <row r="41" spans="2:12" x14ac:dyDescent="0.2">
      <c r="B41" s="44" t="str">
        <f>Rates!B271</f>
        <v>OCEB</v>
      </c>
      <c r="C41" s="41">
        <f>Rates!E271</f>
        <v>-0.1</v>
      </c>
      <c r="D41" s="35"/>
      <c r="E41" s="42">
        <f>E40*C41</f>
        <v>-16.280697564800004</v>
      </c>
      <c r="F41" s="45"/>
      <c r="G41" s="41">
        <f>Rates!I271</f>
        <v>0</v>
      </c>
      <c r="H41" s="35"/>
      <c r="I41" s="42">
        <f>I40*G41</f>
        <v>0</v>
      </c>
      <c r="J41" s="45"/>
      <c r="K41" s="36">
        <f t="shared" si="2"/>
        <v>16.280697564800004</v>
      </c>
      <c r="L41" s="47">
        <f t="shared" si="3"/>
        <v>-1</v>
      </c>
    </row>
    <row r="42" spans="2:12" ht="13.5" thickBot="1" x14ac:dyDescent="0.25">
      <c r="B42" s="30" t="s">
        <v>60</v>
      </c>
      <c r="C42" s="57"/>
      <c r="D42" s="57"/>
      <c r="E42" s="58">
        <f>E40+E41</f>
        <v>146.52627808320003</v>
      </c>
      <c r="F42" s="59"/>
      <c r="G42" s="57"/>
      <c r="H42" s="57"/>
      <c r="I42" s="58">
        <f>I40+I41</f>
        <v>162.59827820800001</v>
      </c>
      <c r="J42" s="59"/>
      <c r="K42" s="60">
        <f t="shared" si="2"/>
        <v>16.072000124799985</v>
      </c>
      <c r="L42" s="61">
        <f t="shared" si="3"/>
        <v>0.10968681068711811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3:I30"/>
  <sheetViews>
    <sheetView showGridLines="0" zoomScaleNormal="100" workbookViewId="0">
      <selection activeCell="B3" sqref="B3:I30"/>
    </sheetView>
  </sheetViews>
  <sheetFormatPr defaultRowHeight="14.25" x14ac:dyDescent="0.2"/>
  <cols>
    <col min="1" max="1" width="4.85546875" style="66" customWidth="1"/>
    <col min="2" max="2" width="25.140625" style="66" customWidth="1"/>
    <col min="3" max="3" width="11.85546875" style="66" customWidth="1"/>
    <col min="4" max="4" width="11.140625" style="66" customWidth="1"/>
    <col min="5" max="5" width="2.140625" style="66" customWidth="1"/>
    <col min="6" max="6" width="13.7109375" style="66" bestFit="1" customWidth="1"/>
    <col min="7" max="7" width="15.140625" style="66" bestFit="1" customWidth="1"/>
    <col min="8" max="8" width="12.5703125" style="66" bestFit="1" customWidth="1"/>
    <col min="9" max="9" width="9.28515625" style="66" bestFit="1" customWidth="1"/>
    <col min="10" max="16384" width="9.140625" style="66"/>
  </cols>
  <sheetData>
    <row r="3" spans="2:9" ht="14.25" customHeight="1" x14ac:dyDescent="0.2">
      <c r="B3" s="110" t="s">
        <v>104</v>
      </c>
      <c r="C3" s="110"/>
      <c r="D3" s="110"/>
      <c r="E3" s="110"/>
      <c r="F3" s="110"/>
      <c r="G3" s="110"/>
      <c r="H3" s="110"/>
      <c r="I3" s="110"/>
    </row>
    <row r="4" spans="2:9" ht="14.25" customHeight="1" x14ac:dyDescent="0.2">
      <c r="B4" s="110"/>
      <c r="C4" s="110"/>
      <c r="D4" s="110"/>
      <c r="E4" s="110"/>
      <c r="F4" s="110"/>
      <c r="G4" s="110"/>
      <c r="H4" s="110"/>
      <c r="I4" s="110"/>
    </row>
    <row r="5" spans="2:9" ht="15" customHeight="1" thickBot="1" x14ac:dyDescent="0.25">
      <c r="B5" s="111"/>
      <c r="C5" s="111"/>
      <c r="D5" s="111"/>
      <c r="E5" s="111"/>
      <c r="F5" s="111"/>
      <c r="G5" s="111"/>
      <c r="H5" s="111"/>
      <c r="I5" s="111"/>
    </row>
    <row r="6" spans="2:9" ht="15" x14ac:dyDescent="0.2">
      <c r="B6" s="112" t="s">
        <v>69</v>
      </c>
      <c r="C6" s="67" t="s">
        <v>70</v>
      </c>
      <c r="D6" s="67" t="s">
        <v>71</v>
      </c>
      <c r="E6" s="68"/>
      <c r="F6" s="114" t="s">
        <v>72</v>
      </c>
      <c r="G6" s="114"/>
      <c r="H6" s="114"/>
      <c r="I6" s="115"/>
    </row>
    <row r="7" spans="2:9" ht="14.25" customHeight="1" x14ac:dyDescent="0.2">
      <c r="B7" s="113"/>
      <c r="C7" s="69" t="s">
        <v>73</v>
      </c>
      <c r="D7" s="69" t="s">
        <v>74</v>
      </c>
      <c r="E7" s="70"/>
      <c r="F7" s="116" t="s">
        <v>75</v>
      </c>
      <c r="G7" s="118" t="s">
        <v>76</v>
      </c>
      <c r="H7" s="119" t="s">
        <v>32</v>
      </c>
      <c r="I7" s="120"/>
    </row>
    <row r="8" spans="2:9" x14ac:dyDescent="0.2">
      <c r="B8" s="71"/>
      <c r="C8" s="72"/>
      <c r="D8" s="72"/>
      <c r="E8" s="73"/>
      <c r="F8" s="117"/>
      <c r="G8" s="118"/>
      <c r="H8" s="74" t="s">
        <v>8</v>
      </c>
      <c r="I8" s="75" t="s">
        <v>12</v>
      </c>
    </row>
    <row r="9" spans="2:9" x14ac:dyDescent="0.2">
      <c r="B9" s="76" t="s">
        <v>85</v>
      </c>
      <c r="C9" s="77">
        <f>'FE - Residential RPP'!C7</f>
        <v>800</v>
      </c>
      <c r="D9" s="72"/>
      <c r="E9" s="70"/>
      <c r="F9" s="79">
        <f>'FE - Residential RPP'!E28</f>
        <v>52.891817600000003</v>
      </c>
      <c r="G9" s="79">
        <f>'FE - Residential RPP'!I28</f>
        <v>52.501817600000003</v>
      </c>
      <c r="H9" s="79">
        <f>G9-F9</f>
        <v>-0.39000000000000057</v>
      </c>
      <c r="I9" s="80">
        <f>IF(ISBLANK(F9),"",H9/F9)</f>
        <v>-7.3735412715330954E-3</v>
      </c>
    </row>
    <row r="10" spans="2:9" x14ac:dyDescent="0.2">
      <c r="B10" s="76" t="s">
        <v>85</v>
      </c>
      <c r="C10" s="77">
        <f>'FE - Residential RPP (2)'!C7</f>
        <v>210</v>
      </c>
      <c r="D10" s="72"/>
      <c r="E10" s="70"/>
      <c r="F10" s="79">
        <f>'FE - Residential RPP (2)'!E28</f>
        <v>28.796352120000002</v>
      </c>
      <c r="G10" s="79">
        <f>'FE - Residential RPP (2)'!I28</f>
        <v>31.651352120000002</v>
      </c>
      <c r="H10" s="79">
        <f>G10-F10</f>
        <v>2.8550000000000004</v>
      </c>
      <c r="I10" s="80">
        <f>IF(ISBLANK(F10),"",H10/F10)</f>
        <v>9.9144502334971463E-2</v>
      </c>
    </row>
    <row r="11" spans="2:9" x14ac:dyDescent="0.2">
      <c r="B11" s="76" t="s">
        <v>87</v>
      </c>
      <c r="C11" s="77">
        <f>'FE - Residential'!C7</f>
        <v>800</v>
      </c>
      <c r="D11" s="78"/>
      <c r="E11" s="70"/>
      <c r="F11" s="79">
        <f>'FE - Residential'!E28</f>
        <v>50.891817600000003</v>
      </c>
      <c r="G11" s="79">
        <f>'FE - Residential'!I28</f>
        <v>53.461817600000003</v>
      </c>
      <c r="H11" s="79">
        <f>G11-F11</f>
        <v>2.5700000000000003</v>
      </c>
      <c r="I11" s="80">
        <f>IF(ISBLANK(F11),"",H11/F11)</f>
        <v>5.0499277117585208E-2</v>
      </c>
    </row>
    <row r="12" spans="2:9" x14ac:dyDescent="0.2">
      <c r="B12" s="76" t="s">
        <v>86</v>
      </c>
      <c r="C12" s="77">
        <f>'FE - GS &lt; 50 kW RPP'!C7</f>
        <v>2000</v>
      </c>
      <c r="D12" s="78"/>
      <c r="E12" s="70"/>
      <c r="F12" s="79">
        <f>'FE - GS &lt; 50 kW RPP'!E28</f>
        <v>111.883584</v>
      </c>
      <c r="G12" s="79">
        <f>'FE - GS &lt; 50 kW RPP'!I28</f>
        <v>110.92358400000001</v>
      </c>
      <c r="H12" s="79">
        <f>G12-F12</f>
        <v>-0.95999999999999375</v>
      </c>
      <c r="I12" s="80">
        <f>IF(ISBLANK(F12),"",H12/F12)</f>
        <v>-8.5803472294916274E-3</v>
      </c>
    </row>
    <row r="13" spans="2:9" x14ac:dyDescent="0.2">
      <c r="B13" s="76" t="s">
        <v>88</v>
      </c>
      <c r="C13" s="77">
        <f>'FE - GS &lt; 50 kW'!C7</f>
        <v>2000</v>
      </c>
      <c r="D13" s="78"/>
      <c r="E13" s="70"/>
      <c r="F13" s="79">
        <f>'FE - GS &lt; 50 kW'!E28</f>
        <v>106.883584</v>
      </c>
      <c r="G13" s="79">
        <f>'FE - GS &lt; 50 kW'!I28</f>
        <v>113.32358400000001</v>
      </c>
      <c r="H13" s="79">
        <f t="shared" ref="H13:H17" si="0">G13-F13</f>
        <v>6.4400000000000119</v>
      </c>
      <c r="I13" s="80">
        <f t="shared" ref="I13:I17" si="1">IF(ISBLANK(F13),"",H13/F13)</f>
        <v>6.0252470575837089E-2</v>
      </c>
    </row>
    <row r="14" spans="2:9" x14ac:dyDescent="0.2">
      <c r="B14" s="76" t="s">
        <v>77</v>
      </c>
      <c r="C14" s="77">
        <f>'FE - GS &gt; 50 kW'!C7</f>
        <v>68620</v>
      </c>
      <c r="D14" s="77">
        <f>'FE - GS &gt; 50 kW'!C8</f>
        <v>200</v>
      </c>
      <c r="E14" s="70"/>
      <c r="F14" s="79">
        <f>'FE - GS &gt; 50 kW'!E27</f>
        <v>2703.9295026400005</v>
      </c>
      <c r="G14" s="79">
        <f>'FE - GS &gt; 50 kW'!I27</f>
        <v>2968.23950264</v>
      </c>
      <c r="H14" s="79">
        <f t="shared" si="0"/>
        <v>264.30999999999949</v>
      </c>
      <c r="I14" s="80">
        <f t="shared" si="1"/>
        <v>9.7750329563673383E-2</v>
      </c>
    </row>
    <row r="15" spans="2:9" x14ac:dyDescent="0.2">
      <c r="B15" s="76" t="s">
        <v>78</v>
      </c>
      <c r="C15" s="77">
        <f>'FE - USL'!C7</f>
        <v>800</v>
      </c>
      <c r="D15" s="81"/>
      <c r="E15" s="70"/>
      <c r="F15" s="79">
        <f>'FE - USL'!E27</f>
        <v>75.426777600000008</v>
      </c>
      <c r="G15" s="79">
        <f>'FE - USL'!I27</f>
        <v>63.006777599999999</v>
      </c>
      <c r="H15" s="79">
        <f t="shared" si="0"/>
        <v>-12.420000000000009</v>
      </c>
      <c r="I15" s="80">
        <f t="shared" si="1"/>
        <v>-0.16466300689478225</v>
      </c>
    </row>
    <row r="16" spans="2:9" x14ac:dyDescent="0.2">
      <c r="B16" s="76" t="s">
        <v>21</v>
      </c>
      <c r="C16" s="77">
        <f>'FE - Sentinel Lgt'!C7</f>
        <v>60</v>
      </c>
      <c r="D16" s="99">
        <f>'FE - Sentinel Lgt'!C8</f>
        <v>0.2</v>
      </c>
      <c r="E16" s="70"/>
      <c r="F16" s="79">
        <f>'FE - Sentinel Lgt'!E27</f>
        <v>7.2383703200000005</v>
      </c>
      <c r="G16" s="79">
        <f>'FE - Sentinel Lgt'!I27</f>
        <v>7.3209303199999995</v>
      </c>
      <c r="H16" s="79">
        <f t="shared" si="0"/>
        <v>8.2559999999999079E-2</v>
      </c>
      <c r="I16" s="80">
        <f t="shared" si="1"/>
        <v>1.140588231191784E-2</v>
      </c>
    </row>
    <row r="17" spans="2:9" x14ac:dyDescent="0.2">
      <c r="B17" s="76" t="s">
        <v>7</v>
      </c>
      <c r="C17" s="77">
        <f>'FE - Street Lgt'!C7</f>
        <v>172000</v>
      </c>
      <c r="D17" s="77">
        <f>'FE - Street Lgt'!C8</f>
        <v>490</v>
      </c>
      <c r="E17" s="70"/>
      <c r="F17" s="79">
        <f>'FE - Street Lgt'!E27</f>
        <v>25813.349584</v>
      </c>
      <c r="G17" s="79">
        <f>'FE - Street Lgt'!I27</f>
        <v>26165.941583999997</v>
      </c>
      <c r="H17" s="79">
        <f t="shared" si="0"/>
        <v>352.59199999999691</v>
      </c>
      <c r="I17" s="80">
        <f t="shared" si="1"/>
        <v>1.3659288921517784E-2</v>
      </c>
    </row>
    <row r="18" spans="2:9" ht="7.5" customHeight="1" thickBot="1" x14ac:dyDescent="0.25">
      <c r="B18" s="82"/>
      <c r="C18" s="83"/>
      <c r="D18" s="83"/>
      <c r="E18" s="70"/>
      <c r="F18" s="84"/>
      <c r="G18" s="84"/>
      <c r="H18" s="84"/>
      <c r="I18" s="85"/>
    </row>
    <row r="19" spans="2:9" ht="15" customHeight="1" x14ac:dyDescent="0.2">
      <c r="B19" s="112" t="s">
        <v>69</v>
      </c>
      <c r="C19" s="67" t="s">
        <v>70</v>
      </c>
      <c r="D19" s="67" t="s">
        <v>71</v>
      </c>
      <c r="E19" s="68"/>
      <c r="F19" s="114" t="s">
        <v>79</v>
      </c>
      <c r="G19" s="114"/>
      <c r="H19" s="114"/>
      <c r="I19" s="115"/>
    </row>
    <row r="20" spans="2:9" ht="14.25" customHeight="1" x14ac:dyDescent="0.2">
      <c r="B20" s="113"/>
      <c r="C20" s="69" t="s">
        <v>73</v>
      </c>
      <c r="D20" s="69" t="s">
        <v>74</v>
      </c>
      <c r="E20" s="70"/>
      <c r="F20" s="116" t="s">
        <v>75</v>
      </c>
      <c r="G20" s="118" t="s">
        <v>76</v>
      </c>
      <c r="H20" s="119" t="s">
        <v>32</v>
      </c>
      <c r="I20" s="120"/>
    </row>
    <row r="21" spans="2:9" x14ac:dyDescent="0.2">
      <c r="B21" s="71"/>
      <c r="C21" s="72"/>
      <c r="D21" s="72"/>
      <c r="E21" s="73"/>
      <c r="F21" s="117"/>
      <c r="G21" s="118"/>
      <c r="H21" s="74" t="s">
        <v>8</v>
      </c>
      <c r="I21" s="75" t="s">
        <v>12</v>
      </c>
    </row>
    <row r="22" spans="2:9" x14ac:dyDescent="0.2">
      <c r="B22" s="76" t="s">
        <v>85</v>
      </c>
      <c r="C22" s="95">
        <f>C9</f>
        <v>800</v>
      </c>
      <c r="D22" s="72"/>
      <c r="E22" s="70"/>
      <c r="F22" s="79">
        <f>'FE - Residential RPP'!E42</f>
        <v>146.52627808320003</v>
      </c>
      <c r="G22" s="79">
        <f>'FE - Residential RPP'!I42</f>
        <v>162.59827820800001</v>
      </c>
      <c r="H22" s="79">
        <f t="shared" ref="H22" si="2">G22-F22</f>
        <v>16.072000124799985</v>
      </c>
      <c r="I22" s="80">
        <f t="shared" ref="I22" si="3">IF(ISBLANK(F22),"",H22/F22)</f>
        <v>0.10968681068711811</v>
      </c>
    </row>
    <row r="23" spans="2:9" x14ac:dyDescent="0.2">
      <c r="B23" s="76" t="s">
        <v>85</v>
      </c>
      <c r="C23" s="95">
        <f>C10</f>
        <v>210</v>
      </c>
      <c r="D23" s="72"/>
      <c r="E23" s="70"/>
      <c r="F23" s="79">
        <f>'FE - Residential RPP (2)'!E42</f>
        <v>53.816415621840008</v>
      </c>
      <c r="G23" s="79">
        <f>'FE - Residential RPP (2)'!I42</f>
        <v>63.083068029600014</v>
      </c>
      <c r="H23" s="79">
        <f t="shared" ref="H23" si="4">G23-F23</f>
        <v>9.2666524077600059</v>
      </c>
      <c r="I23" s="80">
        <f t="shared" ref="I23" si="5">IF(ISBLANK(F23),"",H23/F23)</f>
        <v>0.17219007064452976</v>
      </c>
    </row>
    <row r="24" spans="2:9" x14ac:dyDescent="0.2">
      <c r="B24" s="76" t="s">
        <v>87</v>
      </c>
      <c r="C24" s="77">
        <f>C11</f>
        <v>800</v>
      </c>
      <c r="D24" s="78"/>
      <c r="E24" s="70"/>
      <c r="F24" s="79">
        <f>'FE - Residential'!E42</f>
        <v>144.49227808320001</v>
      </c>
      <c r="G24" s="79">
        <f>'FE - Residential'!I42</f>
        <v>163.68307820799998</v>
      </c>
      <c r="H24" s="79">
        <f t="shared" ref="H24:H30" si="6">G24-F24</f>
        <v>19.190800124799978</v>
      </c>
      <c r="I24" s="80">
        <f t="shared" ref="I24:I30" si="7">IF(ISBLANK(F24),"",H24/F24)</f>
        <v>0.1328154028670635</v>
      </c>
    </row>
    <row r="25" spans="2:9" x14ac:dyDescent="0.2">
      <c r="B25" s="76" t="s">
        <v>86</v>
      </c>
      <c r="C25" s="77">
        <f>C12</f>
        <v>2000</v>
      </c>
      <c r="D25" s="78"/>
      <c r="E25" s="70"/>
      <c r="F25" s="79">
        <f>'FE - GS &lt; 50 kW RPP'!E42</f>
        <v>345.24247888800005</v>
      </c>
      <c r="G25" s="79">
        <f>'FE - GS &lt; 50 kW RPP'!I42</f>
        <v>383.09796072</v>
      </c>
      <c r="H25" s="79">
        <f t="shared" ref="H25" si="8">G25-F25</f>
        <v>37.855481831999953</v>
      </c>
      <c r="I25" s="80">
        <f t="shared" ref="I25" si="9">IF(ISBLANK(F25),"",H25/F25)</f>
        <v>0.10964896890420206</v>
      </c>
    </row>
    <row r="26" spans="2:9" x14ac:dyDescent="0.2">
      <c r="B26" s="76" t="s">
        <v>88</v>
      </c>
      <c r="C26" s="77">
        <f t="shared" ref="C26:C30" si="10">C13</f>
        <v>2000</v>
      </c>
      <c r="D26" s="78"/>
      <c r="E26" s="70"/>
      <c r="F26" s="79">
        <f>'FE - GS &lt; 50 kW'!E42</f>
        <v>340.15747888800007</v>
      </c>
      <c r="G26" s="79">
        <f>'FE - GS &lt; 50 kW'!I42</f>
        <v>385.80996072000005</v>
      </c>
      <c r="H26" s="79">
        <f t="shared" si="6"/>
        <v>45.652481831999978</v>
      </c>
      <c r="I26" s="80">
        <f t="shared" si="7"/>
        <v>0.13420984298578797</v>
      </c>
    </row>
    <row r="27" spans="2:9" x14ac:dyDescent="0.2">
      <c r="B27" s="76" t="s">
        <v>77</v>
      </c>
      <c r="C27" s="77">
        <f t="shared" si="10"/>
        <v>68620</v>
      </c>
      <c r="D27" s="77">
        <f>D14</f>
        <v>200</v>
      </c>
      <c r="E27" s="70"/>
      <c r="F27" s="79">
        <f>'FE - GS &gt; 50 kW'!E39</f>
        <v>11869.680646947199</v>
      </c>
      <c r="G27" s="79">
        <f>'FE - GS &gt; 50 kW'!I39</f>
        <v>12188.250966531199</v>
      </c>
      <c r="H27" s="79">
        <f t="shared" si="6"/>
        <v>318.57031958399966</v>
      </c>
      <c r="I27" s="80">
        <f t="shared" si="7"/>
        <v>2.683899668909237E-2</v>
      </c>
    </row>
    <row r="28" spans="2:9" x14ac:dyDescent="0.2">
      <c r="B28" s="76" t="s">
        <v>78</v>
      </c>
      <c r="C28" s="77">
        <f t="shared" si="10"/>
        <v>800</v>
      </c>
      <c r="D28" s="81"/>
      <c r="E28" s="70"/>
      <c r="F28" s="79">
        <f>'FE - USL'!E39</f>
        <v>169.44433240320001</v>
      </c>
      <c r="G28" s="79">
        <f>'FE - USL'!I39</f>
        <v>174.46888300799998</v>
      </c>
      <c r="H28" s="79">
        <f t="shared" si="6"/>
        <v>5.0245506047999697</v>
      </c>
      <c r="I28" s="80">
        <f t="shared" si="7"/>
        <v>2.965310514395865E-2</v>
      </c>
    </row>
    <row r="29" spans="2:9" x14ac:dyDescent="0.2">
      <c r="B29" s="76" t="s">
        <v>21</v>
      </c>
      <c r="C29" s="77">
        <f t="shared" si="10"/>
        <v>60</v>
      </c>
      <c r="D29" s="99">
        <f>D16</f>
        <v>0.2</v>
      </c>
      <c r="E29" s="70"/>
      <c r="F29" s="79">
        <f>'FE - Sentinel Lgt'!E39</f>
        <v>12.186762582240002</v>
      </c>
      <c r="G29" s="79">
        <f>'FE - Sentinel Lgt'!I39</f>
        <v>13.651540305600001</v>
      </c>
      <c r="H29" s="79">
        <f t="shared" si="6"/>
        <v>1.4647777233599992</v>
      </c>
      <c r="I29" s="80">
        <f t="shared" si="7"/>
        <v>0.12019416259857621</v>
      </c>
    </row>
    <row r="30" spans="2:9" ht="15" thickBot="1" x14ac:dyDescent="0.25">
      <c r="B30" s="86" t="s">
        <v>7</v>
      </c>
      <c r="C30" s="87">
        <f t="shared" si="10"/>
        <v>172000</v>
      </c>
      <c r="D30" s="87">
        <f>D17</f>
        <v>490</v>
      </c>
      <c r="E30" s="88"/>
      <c r="F30" s="89">
        <f>'FE - Street Lgt'!E39</f>
        <v>51262.062708320002</v>
      </c>
      <c r="G30" s="89">
        <f>'FE - Street Lgt'!I39</f>
        <v>51710.372218720004</v>
      </c>
      <c r="H30" s="89">
        <f t="shared" si="6"/>
        <v>448.30951040000218</v>
      </c>
      <c r="I30" s="90">
        <f t="shared" si="7"/>
        <v>8.7454442274567321E-3</v>
      </c>
    </row>
  </sheetData>
  <mergeCells count="11">
    <mergeCell ref="B19:B20"/>
    <mergeCell ref="F19:I19"/>
    <mergeCell ref="F20:F21"/>
    <mergeCell ref="G20:G21"/>
    <mergeCell ref="H20:I20"/>
    <mergeCell ref="B3:I5"/>
    <mergeCell ref="B6:B7"/>
    <mergeCell ref="F6:I6"/>
    <mergeCell ref="F7:F8"/>
    <mergeCell ref="G7:G8"/>
    <mergeCell ref="H7:I7"/>
  </mergeCells>
  <pageMargins left="0.7" right="0.7" top="0.75" bottom="0.75" header="0.3" footer="0.3"/>
  <pageSetup scale="85" orientation="portrait" r:id="rId1"/>
  <headerFooter>
    <oddHeader>&amp;C&amp;"Arial,Bold"&amp;16 2015 Bill Impacts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3:I30"/>
  <sheetViews>
    <sheetView showGridLines="0" zoomScaleNormal="100" workbookViewId="0">
      <selection activeCell="B3" sqref="B3:I30"/>
    </sheetView>
  </sheetViews>
  <sheetFormatPr defaultRowHeight="14.25" x14ac:dyDescent="0.2"/>
  <cols>
    <col min="1" max="1" width="4.85546875" style="66" customWidth="1"/>
    <col min="2" max="2" width="25.140625" style="66" customWidth="1"/>
    <col min="3" max="3" width="11.85546875" style="66" customWidth="1"/>
    <col min="4" max="4" width="11.140625" style="66" customWidth="1"/>
    <col min="5" max="5" width="2.140625" style="66" customWidth="1"/>
    <col min="6" max="6" width="13.7109375" style="66" bestFit="1" customWidth="1"/>
    <col min="7" max="7" width="15.140625" style="66" bestFit="1" customWidth="1"/>
    <col min="8" max="8" width="12.5703125" style="66" bestFit="1" customWidth="1"/>
    <col min="9" max="9" width="9.28515625" style="66" bestFit="1" customWidth="1"/>
    <col min="10" max="16384" width="9.140625" style="66"/>
  </cols>
  <sheetData>
    <row r="3" spans="2:9" ht="14.25" customHeight="1" x14ac:dyDescent="0.2">
      <c r="B3" s="110" t="s">
        <v>105</v>
      </c>
      <c r="C3" s="110"/>
      <c r="D3" s="110"/>
      <c r="E3" s="110"/>
      <c r="F3" s="110"/>
      <c r="G3" s="110"/>
      <c r="H3" s="110"/>
      <c r="I3" s="110"/>
    </row>
    <row r="4" spans="2:9" ht="14.25" customHeight="1" x14ac:dyDescent="0.2">
      <c r="B4" s="110"/>
      <c r="C4" s="110"/>
      <c r="D4" s="110"/>
      <c r="E4" s="110"/>
      <c r="F4" s="110"/>
      <c r="G4" s="110"/>
      <c r="H4" s="110"/>
      <c r="I4" s="110"/>
    </row>
    <row r="5" spans="2:9" ht="15" customHeight="1" thickBot="1" x14ac:dyDescent="0.25">
      <c r="B5" s="111"/>
      <c r="C5" s="111"/>
      <c r="D5" s="111"/>
      <c r="E5" s="111"/>
      <c r="F5" s="111"/>
      <c r="G5" s="111"/>
      <c r="H5" s="111"/>
      <c r="I5" s="111"/>
    </row>
    <row r="6" spans="2:9" ht="15" x14ac:dyDescent="0.2">
      <c r="B6" s="121" t="s">
        <v>69</v>
      </c>
      <c r="C6" s="97" t="s">
        <v>70</v>
      </c>
      <c r="D6" s="97" t="s">
        <v>71</v>
      </c>
      <c r="E6" s="68"/>
      <c r="F6" s="114" t="s">
        <v>72</v>
      </c>
      <c r="G6" s="114"/>
      <c r="H6" s="114"/>
      <c r="I6" s="115"/>
    </row>
    <row r="7" spans="2:9" ht="14.25" customHeight="1" x14ac:dyDescent="0.2">
      <c r="B7" s="122"/>
      <c r="C7" s="98" t="s">
        <v>73</v>
      </c>
      <c r="D7" s="98" t="s">
        <v>74</v>
      </c>
      <c r="E7" s="70"/>
      <c r="F7" s="116" t="s">
        <v>75</v>
      </c>
      <c r="G7" s="118" t="s">
        <v>76</v>
      </c>
      <c r="H7" s="119" t="s">
        <v>32</v>
      </c>
      <c r="I7" s="120"/>
    </row>
    <row r="8" spans="2:9" x14ac:dyDescent="0.2">
      <c r="B8" s="71"/>
      <c r="C8" s="72"/>
      <c r="D8" s="72"/>
      <c r="E8" s="73"/>
      <c r="F8" s="117"/>
      <c r="G8" s="118"/>
      <c r="H8" s="74" t="s">
        <v>8</v>
      </c>
      <c r="I8" s="75" t="s">
        <v>12</v>
      </c>
    </row>
    <row r="9" spans="2:9" x14ac:dyDescent="0.2">
      <c r="B9" s="76" t="s">
        <v>85</v>
      </c>
      <c r="C9" s="77">
        <f>'EOP - Residential RPP'!C7</f>
        <v>800</v>
      </c>
      <c r="D9" s="72"/>
      <c r="E9" s="70"/>
      <c r="F9" s="79">
        <f>'EOP - Residential RPP'!E28</f>
        <v>52.491817600000005</v>
      </c>
      <c r="G9" s="79">
        <f>'EOP - Residential RPP'!I28</f>
        <v>50.261817600000001</v>
      </c>
      <c r="H9" s="79">
        <f>G9-F9</f>
        <v>-2.230000000000004</v>
      </c>
      <c r="I9" s="80">
        <f>IF(ISBLANK(F9),"",H9/F9)</f>
        <v>-4.2482811644914423E-2</v>
      </c>
    </row>
    <row r="10" spans="2:9" x14ac:dyDescent="0.2">
      <c r="B10" s="76" t="s">
        <v>85</v>
      </c>
      <c r="C10" s="77">
        <f>'EOP - Residential RPP (2)'!C7</f>
        <v>210</v>
      </c>
      <c r="D10" s="72"/>
      <c r="E10" s="70"/>
      <c r="F10" s="79">
        <f>'EOP - Residential RPP (2)'!E28</f>
        <v>28.691352120000001</v>
      </c>
      <c r="G10" s="79">
        <f>'EOP - Residential RPP (2)'!I28</f>
        <v>31.063352120000001</v>
      </c>
      <c r="H10" s="79">
        <f>G10-F10</f>
        <v>2.3719999999999999</v>
      </c>
      <c r="I10" s="80">
        <f>IF(ISBLANK(F10),"",H10/F10)</f>
        <v>8.2672994638915601E-2</v>
      </c>
    </row>
    <row r="11" spans="2:9" x14ac:dyDescent="0.2">
      <c r="B11" s="76" t="s">
        <v>87</v>
      </c>
      <c r="C11" s="77">
        <f>'EOP - Residential'!C7</f>
        <v>800</v>
      </c>
      <c r="D11" s="78"/>
      <c r="E11" s="70"/>
      <c r="F11" s="79">
        <f>'EOP - Residential'!E28</f>
        <v>58.491817600000005</v>
      </c>
      <c r="G11" s="79">
        <f>'EOP - Residential'!I28</f>
        <v>64.661817599999992</v>
      </c>
      <c r="H11" s="79">
        <f>G11-F11</f>
        <v>6.1699999999999875</v>
      </c>
      <c r="I11" s="80">
        <f>IF(ISBLANK(F11),"",H11/F11)</f>
        <v>0.105484839643622</v>
      </c>
    </row>
    <row r="12" spans="2:9" x14ac:dyDescent="0.2">
      <c r="B12" s="76" t="s">
        <v>86</v>
      </c>
      <c r="C12" s="77">
        <f>'EOP - GS &lt; 50 kW RPP'!C7</f>
        <v>2000</v>
      </c>
      <c r="D12" s="78"/>
      <c r="E12" s="70"/>
      <c r="F12" s="79">
        <f>'EOP - GS &lt; 50 kW RPP'!E28</f>
        <v>110.883584</v>
      </c>
      <c r="G12" s="79">
        <f>'EOP - GS &lt; 50 kW RPP'!I28</f>
        <v>105.72358400000002</v>
      </c>
      <c r="H12" s="79">
        <f t="shared" ref="H12" si="0">G12-F12</f>
        <v>-5.1599999999999824</v>
      </c>
      <c r="I12" s="80">
        <f t="shared" ref="I12" si="1">IF(ISBLANK(F12),"",H12/F12)</f>
        <v>-4.6535292365730015E-2</v>
      </c>
    </row>
    <row r="13" spans="2:9" x14ac:dyDescent="0.2">
      <c r="B13" s="76" t="s">
        <v>88</v>
      </c>
      <c r="C13" s="77">
        <f>'EOP - GS &lt; 50 kW'!C7</f>
        <v>2000</v>
      </c>
      <c r="D13" s="78"/>
      <c r="E13" s="70"/>
      <c r="F13" s="79">
        <f>'EOP - GS &lt; 50 kW'!E28</f>
        <v>125.883584</v>
      </c>
      <c r="G13" s="79">
        <f>'EOP - GS &lt; 50 kW'!I28</f>
        <v>141.72358400000002</v>
      </c>
      <c r="H13" s="79">
        <f t="shared" ref="H13:H17" si="2">G13-F13</f>
        <v>15.840000000000018</v>
      </c>
      <c r="I13" s="80">
        <f t="shared" ref="I13:I17" si="3">IF(ISBLANK(F13),"",H13/F13)</f>
        <v>0.12583054514876235</v>
      </c>
    </row>
    <row r="14" spans="2:9" x14ac:dyDescent="0.2">
      <c r="B14" s="76" t="s">
        <v>77</v>
      </c>
      <c r="C14" s="77">
        <f>'EOP - GS &gt; 50 kW'!C7</f>
        <v>68620</v>
      </c>
      <c r="D14" s="77">
        <f>'EOP - GS &gt; 50 kW'!C8</f>
        <v>200</v>
      </c>
      <c r="E14" s="70"/>
      <c r="F14" s="79">
        <f>'EOP - GS &gt; 50 kW'!E27</f>
        <v>3376.9695026400004</v>
      </c>
      <c r="G14" s="79">
        <f>'EOP - GS &gt; 50 kW'!I27</f>
        <v>3964.5195026400006</v>
      </c>
      <c r="H14" s="79">
        <f t="shared" si="2"/>
        <v>587.55000000000018</v>
      </c>
      <c r="I14" s="80">
        <f t="shared" si="3"/>
        <v>0.17398735746374774</v>
      </c>
    </row>
    <row r="15" spans="2:9" x14ac:dyDescent="0.2">
      <c r="B15" s="76" t="s">
        <v>78</v>
      </c>
      <c r="C15" s="77">
        <f>'EOP - USL'!C7</f>
        <v>800</v>
      </c>
      <c r="D15" s="81"/>
      <c r="E15" s="70"/>
      <c r="F15" s="79">
        <f>'EOP - USL'!E27</f>
        <v>77.026777600000003</v>
      </c>
      <c r="G15" s="79">
        <f>'EOP - USL'!I27</f>
        <v>59.886777600000002</v>
      </c>
      <c r="H15" s="79">
        <f t="shared" si="2"/>
        <v>-17.14</v>
      </c>
      <c r="I15" s="80">
        <f t="shared" si="3"/>
        <v>-0.22252001880447353</v>
      </c>
    </row>
    <row r="16" spans="2:9" x14ac:dyDescent="0.2">
      <c r="B16" s="76" t="s">
        <v>21</v>
      </c>
      <c r="C16" s="77">
        <f>'EOP - Sentinel Lgt'!C7</f>
        <v>60</v>
      </c>
      <c r="D16" s="99">
        <f>'EOP - Sentinel Lgt'!C8</f>
        <v>0.2</v>
      </c>
      <c r="E16" s="70"/>
      <c r="F16" s="79">
        <f>'EOP - Sentinel Lgt'!E27</f>
        <v>7.3485303200000001</v>
      </c>
      <c r="G16" s="79">
        <f>'EOP - Sentinel Lgt'!I27</f>
        <v>7.2804903199999993</v>
      </c>
      <c r="H16" s="79">
        <f t="shared" si="2"/>
        <v>-6.8040000000000767E-2</v>
      </c>
      <c r="I16" s="80">
        <f t="shared" si="3"/>
        <v>-9.2589942528808634E-3</v>
      </c>
    </row>
    <row r="17" spans="2:9" x14ac:dyDescent="0.2">
      <c r="B17" s="76" t="s">
        <v>7</v>
      </c>
      <c r="C17" s="77">
        <f>'EOP - Street Lgt'!C7</f>
        <v>46000</v>
      </c>
      <c r="D17" s="77">
        <f>'EOP - Street Lgt'!C8</f>
        <v>129</v>
      </c>
      <c r="E17" s="70"/>
      <c r="F17" s="79">
        <f>'EOP - Street Lgt'!E27</f>
        <v>6955.8499119999997</v>
      </c>
      <c r="G17" s="79">
        <f>'EOP - Street Lgt'!I27</f>
        <v>7245.8023119999998</v>
      </c>
      <c r="H17" s="79">
        <f t="shared" si="2"/>
        <v>289.95240000000013</v>
      </c>
      <c r="I17" s="80">
        <f t="shared" si="3"/>
        <v>4.1684683204533203E-2</v>
      </c>
    </row>
    <row r="18" spans="2:9" ht="7.5" customHeight="1" thickBot="1" x14ac:dyDescent="0.25">
      <c r="B18" s="82"/>
      <c r="C18" s="83"/>
      <c r="D18" s="83"/>
      <c r="E18" s="70"/>
      <c r="F18" s="84"/>
      <c r="G18" s="84"/>
      <c r="H18" s="84"/>
      <c r="I18" s="85"/>
    </row>
    <row r="19" spans="2:9" ht="15" customHeight="1" x14ac:dyDescent="0.2">
      <c r="B19" s="112" t="s">
        <v>69</v>
      </c>
      <c r="C19" s="67" t="s">
        <v>70</v>
      </c>
      <c r="D19" s="67" t="s">
        <v>71</v>
      </c>
      <c r="E19" s="68"/>
      <c r="F19" s="114" t="s">
        <v>79</v>
      </c>
      <c r="G19" s="114"/>
      <c r="H19" s="114"/>
      <c r="I19" s="115"/>
    </row>
    <row r="20" spans="2:9" ht="14.25" customHeight="1" x14ac:dyDescent="0.2">
      <c r="B20" s="113"/>
      <c r="C20" s="69" t="s">
        <v>73</v>
      </c>
      <c r="D20" s="69" t="s">
        <v>74</v>
      </c>
      <c r="E20" s="70"/>
      <c r="F20" s="116" t="s">
        <v>75</v>
      </c>
      <c r="G20" s="118" t="s">
        <v>76</v>
      </c>
      <c r="H20" s="119" t="s">
        <v>32</v>
      </c>
      <c r="I20" s="120"/>
    </row>
    <row r="21" spans="2:9" x14ac:dyDescent="0.2">
      <c r="B21" s="71"/>
      <c r="C21" s="72"/>
      <c r="D21" s="72"/>
      <c r="E21" s="73"/>
      <c r="F21" s="117"/>
      <c r="G21" s="118"/>
      <c r="H21" s="74" t="s">
        <v>8</v>
      </c>
      <c r="I21" s="75" t="s">
        <v>12</v>
      </c>
    </row>
    <row r="22" spans="2:9" x14ac:dyDescent="0.2">
      <c r="B22" s="76" t="s">
        <v>85</v>
      </c>
      <c r="C22" s="95">
        <f>C9</f>
        <v>800</v>
      </c>
      <c r="D22" s="72"/>
      <c r="E22" s="70"/>
      <c r="F22" s="79">
        <f>'EOP - Residential RPP'!E42</f>
        <v>150.26883808320002</v>
      </c>
      <c r="G22" s="96">
        <f>'EOP - Residential RPP'!I42</f>
        <v>160.067078208</v>
      </c>
      <c r="H22" s="79">
        <f t="shared" ref="H22" si="4">G22-F22</f>
        <v>9.7982401247999746</v>
      </c>
      <c r="I22" s="80">
        <f t="shared" ref="I22" si="5">IF(ISBLANK(F22),"",H22/F22)</f>
        <v>6.5204737387900336E-2</v>
      </c>
    </row>
    <row r="23" spans="2:9" x14ac:dyDescent="0.2">
      <c r="B23" s="76" t="s">
        <v>85</v>
      </c>
      <c r="C23" s="95">
        <f>C10</f>
        <v>210</v>
      </c>
      <c r="D23" s="72"/>
      <c r="E23" s="70"/>
      <c r="F23" s="79">
        <f>'EOP - Residential RPP (2)'!E42</f>
        <v>54.798837621840001</v>
      </c>
      <c r="G23" s="96">
        <f>'EOP - Residential RPP (2)'!I42</f>
        <v>62.418628029600001</v>
      </c>
      <c r="H23" s="79">
        <f t="shared" ref="H23" si="6">G23-F23</f>
        <v>7.6197904077600001</v>
      </c>
      <c r="I23" s="80">
        <f t="shared" ref="I23" si="7">IF(ISBLANK(F23),"",H23/F23)</f>
        <v>0.13905021964778214</v>
      </c>
    </row>
    <row r="24" spans="2:9" x14ac:dyDescent="0.2">
      <c r="B24" s="76" t="s">
        <v>87</v>
      </c>
      <c r="C24" s="77">
        <f>C11</f>
        <v>800</v>
      </c>
      <c r="D24" s="78"/>
      <c r="E24" s="70"/>
      <c r="F24" s="79">
        <f>'EOP - Residential'!E42</f>
        <v>156.3708380832</v>
      </c>
      <c r="G24" s="79">
        <f>'EOP - Residential'!I42</f>
        <v>176.33907820799996</v>
      </c>
      <c r="H24" s="79">
        <f t="shared" ref="H24:H30" si="8">G24-F24</f>
        <v>19.968240124799962</v>
      </c>
      <c r="I24" s="80">
        <f t="shared" ref="I24:I30" si="9">IF(ISBLANK(F24),"",H24/F24)</f>
        <v>0.12769797981242187</v>
      </c>
    </row>
    <row r="25" spans="2:9" x14ac:dyDescent="0.2">
      <c r="B25" s="76" t="s">
        <v>86</v>
      </c>
      <c r="C25" s="77">
        <f>C12</f>
        <v>2000</v>
      </c>
      <c r="D25" s="78"/>
      <c r="E25" s="70"/>
      <c r="F25" s="79">
        <f>'EOP - GS &lt; 50 kW RPP'!E42</f>
        <v>354.598878888</v>
      </c>
      <c r="G25" s="79">
        <f>'EOP - GS &lt; 50 kW RPP'!I42</f>
        <v>377.22196072000003</v>
      </c>
      <c r="H25" s="79">
        <f t="shared" ref="H25" si="10">G25-F25</f>
        <v>22.623081832000025</v>
      </c>
      <c r="I25" s="80">
        <f t="shared" ref="I25" si="11">IF(ISBLANK(F25),"",H25/F25)</f>
        <v>6.3799078843522011E-2</v>
      </c>
    </row>
    <row r="26" spans="2:9" x14ac:dyDescent="0.2">
      <c r="B26" s="76" t="s">
        <v>88</v>
      </c>
      <c r="C26" s="77">
        <f t="shared" ref="C26:C30" si="12">C13</f>
        <v>2000</v>
      </c>
      <c r="D26" s="78"/>
      <c r="E26" s="70"/>
      <c r="F26" s="79">
        <f>'EOP - GS &lt; 50 kW'!E42</f>
        <v>369.853878888</v>
      </c>
      <c r="G26" s="79">
        <f>'EOP - GS &lt; 50 kW'!I42</f>
        <v>417.90196071999992</v>
      </c>
      <c r="H26" s="79">
        <f t="shared" si="8"/>
        <v>48.048081831999923</v>
      </c>
      <c r="I26" s="80">
        <f t="shared" si="9"/>
        <v>0.12991098532334158</v>
      </c>
    </row>
    <row r="27" spans="2:9" x14ac:dyDescent="0.2">
      <c r="B27" s="76" t="s">
        <v>77</v>
      </c>
      <c r="C27" s="77">
        <f t="shared" si="12"/>
        <v>68620</v>
      </c>
      <c r="D27" s="77">
        <f>D14</f>
        <v>200</v>
      </c>
      <c r="E27" s="70"/>
      <c r="F27" s="79">
        <f>'EOP - GS &gt; 50 kW'!E39</f>
        <v>13025.6729069472</v>
      </c>
      <c r="G27" s="79">
        <f>'EOP - GS &gt; 50 kW'!I39</f>
        <v>13314.0473665312</v>
      </c>
      <c r="H27" s="79">
        <f t="shared" si="8"/>
        <v>288.37445958399985</v>
      </c>
      <c r="I27" s="80">
        <f t="shared" si="9"/>
        <v>2.2138929915106059E-2</v>
      </c>
    </row>
    <row r="28" spans="2:9" x14ac:dyDescent="0.2">
      <c r="B28" s="76" t="s">
        <v>78</v>
      </c>
      <c r="C28" s="77">
        <f t="shared" si="12"/>
        <v>800</v>
      </c>
      <c r="D28" s="81"/>
      <c r="E28" s="70"/>
      <c r="F28" s="79">
        <f>'EOP - USL'!E39</f>
        <v>175.2208924032</v>
      </c>
      <c r="G28" s="79">
        <f>'EOP - USL'!I39</f>
        <v>170.94328300800001</v>
      </c>
      <c r="H28" s="79">
        <f t="shared" si="8"/>
        <v>-4.2776093951999883</v>
      </c>
      <c r="I28" s="80">
        <f t="shared" si="9"/>
        <v>-2.441266755654229E-2</v>
      </c>
    </row>
    <row r="29" spans="2:9" x14ac:dyDescent="0.2">
      <c r="B29" s="76" t="s">
        <v>21</v>
      </c>
      <c r="C29" s="77">
        <f t="shared" si="12"/>
        <v>60</v>
      </c>
      <c r="D29" s="99">
        <f>D16</f>
        <v>0.2</v>
      </c>
      <c r="E29" s="70"/>
      <c r="F29" s="79">
        <f>'EOP - Sentinel Lgt'!E39</f>
        <v>12.609997302239998</v>
      </c>
      <c r="G29" s="79">
        <f>'EOP - Sentinel Lgt'!I39</f>
        <v>13.605843105600002</v>
      </c>
      <c r="H29" s="79">
        <f t="shared" si="8"/>
        <v>0.9958458033600035</v>
      </c>
      <c r="I29" s="80">
        <f t="shared" si="9"/>
        <v>7.8972721364746423E-2</v>
      </c>
    </row>
    <row r="30" spans="2:9" ht="15" thickBot="1" x14ac:dyDescent="0.25">
      <c r="B30" s="86" t="s">
        <v>7</v>
      </c>
      <c r="C30" s="87">
        <f t="shared" si="12"/>
        <v>46000</v>
      </c>
      <c r="D30" s="87">
        <f>D17</f>
        <v>129</v>
      </c>
      <c r="E30" s="88"/>
      <c r="F30" s="89">
        <f>'EOP - Street Lgt'!E39</f>
        <v>14034.002401760001</v>
      </c>
      <c r="G30" s="89">
        <f>'EOP - Street Lgt'!I39</f>
        <v>14109.890760960003</v>
      </c>
      <c r="H30" s="89">
        <f t="shared" si="8"/>
        <v>75.888359200002014</v>
      </c>
      <c r="I30" s="90">
        <f t="shared" si="9"/>
        <v>5.4074637460860683E-3</v>
      </c>
    </row>
  </sheetData>
  <mergeCells count="11">
    <mergeCell ref="B19:B20"/>
    <mergeCell ref="F19:I19"/>
    <mergeCell ref="F20:F21"/>
    <mergeCell ref="G20:G21"/>
    <mergeCell ref="H20:I20"/>
    <mergeCell ref="B3:I5"/>
    <mergeCell ref="B6:B7"/>
    <mergeCell ref="F6:I6"/>
    <mergeCell ref="F7:F8"/>
    <mergeCell ref="G7:G8"/>
    <mergeCell ref="H7:I7"/>
  </mergeCells>
  <pageMargins left="0.7" right="0.7" top="0.75" bottom="0.75" header="0.3" footer="0.3"/>
  <pageSetup scale="85" orientation="portrait" r:id="rId1"/>
  <headerFooter>
    <oddHeader>&amp;C&amp;"Arial,Bold"&amp;16 2015 Bill Impacts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3:I30"/>
  <sheetViews>
    <sheetView showGridLines="0" zoomScaleNormal="100" workbookViewId="0">
      <selection activeCell="G35" sqref="G35"/>
    </sheetView>
  </sheetViews>
  <sheetFormatPr defaultRowHeight="14.25" x14ac:dyDescent="0.2"/>
  <cols>
    <col min="1" max="1" width="4.85546875" style="66" customWidth="1"/>
    <col min="2" max="2" width="25.140625" style="66" customWidth="1"/>
    <col min="3" max="3" width="11.85546875" style="66" customWidth="1"/>
    <col min="4" max="4" width="11.140625" style="66" customWidth="1"/>
    <col min="5" max="5" width="2.140625" style="66" customWidth="1"/>
    <col min="6" max="6" width="13.7109375" style="66" bestFit="1" customWidth="1"/>
    <col min="7" max="7" width="15.140625" style="66" bestFit="1" customWidth="1"/>
    <col min="8" max="8" width="12.5703125" style="66" bestFit="1" customWidth="1"/>
    <col min="9" max="9" width="9.28515625" style="66" bestFit="1" customWidth="1"/>
    <col min="10" max="16384" width="9.140625" style="66"/>
  </cols>
  <sheetData>
    <row r="3" spans="2:9" ht="14.25" customHeight="1" x14ac:dyDescent="0.2">
      <c r="B3" s="110" t="s">
        <v>106</v>
      </c>
      <c r="C3" s="110"/>
      <c r="D3" s="110"/>
      <c r="E3" s="110"/>
      <c r="F3" s="110"/>
      <c r="G3" s="110"/>
      <c r="H3" s="110"/>
      <c r="I3" s="110"/>
    </row>
    <row r="4" spans="2:9" ht="14.25" customHeight="1" x14ac:dyDescent="0.2">
      <c r="B4" s="110"/>
      <c r="C4" s="110"/>
      <c r="D4" s="110"/>
      <c r="E4" s="110"/>
      <c r="F4" s="110"/>
      <c r="G4" s="110"/>
      <c r="H4" s="110"/>
      <c r="I4" s="110"/>
    </row>
    <row r="5" spans="2:9" ht="15" customHeight="1" thickBot="1" x14ac:dyDescent="0.25">
      <c r="B5" s="111"/>
      <c r="C5" s="111"/>
      <c r="D5" s="111"/>
      <c r="E5" s="111"/>
      <c r="F5" s="111"/>
      <c r="G5" s="111"/>
      <c r="H5" s="111"/>
      <c r="I5" s="111"/>
    </row>
    <row r="6" spans="2:9" ht="15" x14ac:dyDescent="0.2">
      <c r="B6" s="112" t="s">
        <v>69</v>
      </c>
      <c r="C6" s="67" t="s">
        <v>70</v>
      </c>
      <c r="D6" s="67" t="s">
        <v>71</v>
      </c>
      <c r="E6" s="68"/>
      <c r="F6" s="114" t="s">
        <v>72</v>
      </c>
      <c r="G6" s="114"/>
      <c r="H6" s="114"/>
      <c r="I6" s="115"/>
    </row>
    <row r="7" spans="2:9" ht="14.25" customHeight="1" x14ac:dyDescent="0.2">
      <c r="B7" s="113"/>
      <c r="C7" s="69" t="s">
        <v>73</v>
      </c>
      <c r="D7" s="69" t="s">
        <v>74</v>
      </c>
      <c r="E7" s="70"/>
      <c r="F7" s="116" t="s">
        <v>75</v>
      </c>
      <c r="G7" s="118" t="s">
        <v>76</v>
      </c>
      <c r="H7" s="119" t="s">
        <v>32</v>
      </c>
      <c r="I7" s="120"/>
    </row>
    <row r="8" spans="2:9" x14ac:dyDescent="0.2">
      <c r="B8" s="71"/>
      <c r="C8" s="72"/>
      <c r="D8" s="72"/>
      <c r="E8" s="73"/>
      <c r="F8" s="117"/>
      <c r="G8" s="118"/>
      <c r="H8" s="74" t="s">
        <v>8</v>
      </c>
      <c r="I8" s="75" t="s">
        <v>12</v>
      </c>
    </row>
    <row r="9" spans="2:9" x14ac:dyDescent="0.2">
      <c r="B9" s="76" t="s">
        <v>85</v>
      </c>
      <c r="C9" s="77">
        <f>'PC - Residential RPP'!C7</f>
        <v>800</v>
      </c>
      <c r="D9" s="72"/>
      <c r="E9" s="70"/>
      <c r="F9" s="79">
        <f>'PC - Residential RPP'!E29</f>
        <v>52.461817599999996</v>
      </c>
      <c r="G9" s="79">
        <f>'PC - Residential RPP'!I29</f>
        <v>51.141817600000003</v>
      </c>
      <c r="H9" s="79">
        <f>G9-F9</f>
        <v>-1.3199999999999932</v>
      </c>
      <c r="I9" s="80">
        <f>IF(ISBLANK(F9),"",H9/F9)</f>
        <v>-2.5161156444568046E-2</v>
      </c>
    </row>
    <row r="10" spans="2:9" x14ac:dyDescent="0.2">
      <c r="B10" s="76" t="s">
        <v>85</v>
      </c>
      <c r="C10" s="77">
        <f>'PC - Residential RPP (2)'!C7</f>
        <v>210</v>
      </c>
      <c r="D10" s="72"/>
      <c r="E10" s="70"/>
      <c r="F10" s="79">
        <f>'PC - Residential RPP (2)'!E29</f>
        <v>28.189352120000002</v>
      </c>
      <c r="G10" s="79">
        <f>'PC - Residential RPP (2)'!I29</f>
        <v>31.294352120000003</v>
      </c>
      <c r="H10" s="79">
        <f>G10-F10</f>
        <v>3.1050000000000004</v>
      </c>
      <c r="I10" s="80">
        <f>IF(ISBLANK(F10),"",H10/F10)</f>
        <v>0.11014797313475824</v>
      </c>
    </row>
    <row r="11" spans="2:9" x14ac:dyDescent="0.2">
      <c r="B11" s="76" t="s">
        <v>87</v>
      </c>
      <c r="C11" s="77">
        <f>'PC - Residential'!C7</f>
        <v>800</v>
      </c>
      <c r="D11" s="78"/>
      <c r="E11" s="70"/>
      <c r="F11" s="79">
        <f>'PC - Residential'!E29</f>
        <v>50.6218176</v>
      </c>
      <c r="G11" s="79">
        <f>'PC - Residential'!I29</f>
        <v>50.821817600000003</v>
      </c>
      <c r="H11" s="79">
        <f>G11-F11</f>
        <v>0.20000000000000284</v>
      </c>
      <c r="I11" s="80">
        <f>IF(ISBLANK(F11),"",H11/F11)</f>
        <v>3.9508656441447658E-3</v>
      </c>
    </row>
    <row r="12" spans="2:9" x14ac:dyDescent="0.2">
      <c r="B12" s="76" t="s">
        <v>86</v>
      </c>
      <c r="C12" s="77">
        <f>'PC - GS &lt; 50 KW RPP'!C7</f>
        <v>2000</v>
      </c>
      <c r="D12" s="78"/>
      <c r="E12" s="70"/>
      <c r="F12" s="79">
        <f>'PC - GS &lt; 50 KW RPP'!E29</f>
        <v>109.62358400000001</v>
      </c>
      <c r="G12" s="79">
        <f>'PC - GS &lt; 50 KW RPP'!I29</f>
        <v>107.72358400000002</v>
      </c>
      <c r="H12" s="79">
        <f>G12-F12</f>
        <v>-1.8999999999999915</v>
      </c>
      <c r="I12" s="80">
        <f>IF(ISBLANK(F12),"",H12/F12)</f>
        <v>-1.7332036872649514E-2</v>
      </c>
    </row>
    <row r="13" spans="2:9" x14ac:dyDescent="0.2">
      <c r="B13" s="76" t="s">
        <v>88</v>
      </c>
      <c r="C13" s="77">
        <f>'PC - GS &lt; 50 KW'!C7</f>
        <v>2000</v>
      </c>
      <c r="D13" s="78"/>
      <c r="E13" s="70"/>
      <c r="F13" s="79">
        <f>'PC - GS &lt; 50 KW'!E29</f>
        <v>105.02358400000001</v>
      </c>
      <c r="G13" s="79">
        <f>'PC - GS &lt; 50 KW'!I29</f>
        <v>106.92358400000003</v>
      </c>
      <c r="H13" s="79">
        <f t="shared" ref="H13:H17" si="0">G13-F13</f>
        <v>1.9000000000000199</v>
      </c>
      <c r="I13" s="80">
        <f t="shared" ref="I13:I17" si="1">IF(ISBLANK(F13),"",H13/F13)</f>
        <v>1.8091174645116087E-2</v>
      </c>
    </row>
    <row r="14" spans="2:9" x14ac:dyDescent="0.2">
      <c r="B14" s="76" t="s">
        <v>77</v>
      </c>
      <c r="C14" s="77">
        <f>'PC - GS &gt; 50 kW'!C7</f>
        <v>68620</v>
      </c>
      <c r="D14" s="77">
        <f>'PC - GS &gt; 50 kW'!C8</f>
        <v>200</v>
      </c>
      <c r="E14" s="70"/>
      <c r="F14" s="79">
        <f>'PC - GS &gt; 50 kW'!E28</f>
        <v>2697.9695026400004</v>
      </c>
      <c r="G14" s="79">
        <f>'PC - GS &gt; 50 kW'!I28</f>
        <v>2757.1595026400005</v>
      </c>
      <c r="H14" s="79">
        <f t="shared" si="0"/>
        <v>59.190000000000055</v>
      </c>
      <c r="I14" s="80">
        <f t="shared" si="1"/>
        <v>2.1938720931456719E-2</v>
      </c>
    </row>
    <row r="15" spans="2:9" x14ac:dyDescent="0.2">
      <c r="B15" s="76" t="s">
        <v>78</v>
      </c>
      <c r="C15" s="77">
        <f>'PC - USL'!C7</f>
        <v>800</v>
      </c>
      <c r="D15" s="81"/>
      <c r="E15" s="70"/>
      <c r="F15" s="79">
        <f>'PC - USL'!E28</f>
        <v>69.396777600000007</v>
      </c>
      <c r="G15" s="79">
        <f>'PC - USL'!I28</f>
        <v>60.606777599999994</v>
      </c>
      <c r="H15" s="79">
        <f t="shared" si="0"/>
        <v>-8.7900000000000134</v>
      </c>
      <c r="I15" s="80">
        <f t="shared" si="1"/>
        <v>-0.12666294176748652</v>
      </c>
    </row>
    <row r="16" spans="2:9" x14ac:dyDescent="0.2">
      <c r="B16" s="76" t="s">
        <v>21</v>
      </c>
      <c r="C16" s="77">
        <f>'PC - Sentinel Lgt'!C7</f>
        <v>60</v>
      </c>
      <c r="D16" s="99">
        <f>'PC - Sentinel Lgt'!C8</f>
        <v>0.2</v>
      </c>
      <c r="E16" s="70"/>
      <c r="F16" s="79">
        <f>'PC - Sentinel Lgt'!E28</f>
        <v>7.4415503200000002</v>
      </c>
      <c r="G16" s="79">
        <f>'PC - Sentinel Lgt'!I28</f>
        <v>7.4733903200000009</v>
      </c>
      <c r="H16" s="79">
        <f t="shared" si="0"/>
        <v>3.1840000000000757E-2</v>
      </c>
      <c r="I16" s="80">
        <f t="shared" si="1"/>
        <v>4.2786783171279768E-3</v>
      </c>
    </row>
    <row r="17" spans="2:9" x14ac:dyDescent="0.2">
      <c r="B17" s="76" t="s">
        <v>7</v>
      </c>
      <c r="C17" s="77">
        <f>'PC - Street Lgt'!C7</f>
        <v>155000</v>
      </c>
      <c r="D17" s="77">
        <f>'PC - Street Lgt'!C8</f>
        <v>445</v>
      </c>
      <c r="E17" s="70"/>
      <c r="F17" s="79">
        <f>'PC - Street Lgt'!E28</f>
        <v>16202.88466</v>
      </c>
      <c r="G17" s="79">
        <f>'PC - Street Lgt'!I28</f>
        <v>17140.87066</v>
      </c>
      <c r="H17" s="79">
        <f t="shared" si="0"/>
        <v>937.98600000000079</v>
      </c>
      <c r="I17" s="80">
        <f t="shared" si="1"/>
        <v>5.7890062151439201E-2</v>
      </c>
    </row>
    <row r="18" spans="2:9" ht="7.5" customHeight="1" thickBot="1" x14ac:dyDescent="0.25">
      <c r="B18" s="82"/>
      <c r="C18" s="83"/>
      <c r="D18" s="83"/>
      <c r="E18" s="70"/>
      <c r="F18" s="84"/>
      <c r="G18" s="84"/>
      <c r="H18" s="84"/>
      <c r="I18" s="85"/>
    </row>
    <row r="19" spans="2:9" ht="15" customHeight="1" x14ac:dyDescent="0.2">
      <c r="B19" s="112" t="s">
        <v>69</v>
      </c>
      <c r="C19" s="67" t="s">
        <v>70</v>
      </c>
      <c r="D19" s="67" t="s">
        <v>71</v>
      </c>
      <c r="E19" s="68"/>
      <c r="F19" s="114" t="s">
        <v>79</v>
      </c>
      <c r="G19" s="114"/>
      <c r="H19" s="114"/>
      <c r="I19" s="115"/>
    </row>
    <row r="20" spans="2:9" ht="14.25" customHeight="1" x14ac:dyDescent="0.2">
      <c r="B20" s="113"/>
      <c r="C20" s="69" t="s">
        <v>73</v>
      </c>
      <c r="D20" s="69" t="s">
        <v>74</v>
      </c>
      <c r="E20" s="70"/>
      <c r="F20" s="116" t="s">
        <v>75</v>
      </c>
      <c r="G20" s="118" t="s">
        <v>76</v>
      </c>
      <c r="H20" s="119" t="s">
        <v>32</v>
      </c>
      <c r="I20" s="120"/>
    </row>
    <row r="21" spans="2:9" x14ac:dyDescent="0.2">
      <c r="B21" s="71"/>
      <c r="C21" s="72"/>
      <c r="D21" s="72"/>
      <c r="E21" s="73"/>
      <c r="F21" s="117"/>
      <c r="G21" s="118"/>
      <c r="H21" s="74" t="s">
        <v>8</v>
      </c>
      <c r="I21" s="75" t="s">
        <v>12</v>
      </c>
    </row>
    <row r="22" spans="2:9" x14ac:dyDescent="0.2">
      <c r="B22" s="76" t="s">
        <v>85</v>
      </c>
      <c r="C22" s="77">
        <f>C9</f>
        <v>800</v>
      </c>
      <c r="D22" s="72"/>
      <c r="E22" s="70"/>
      <c r="F22" s="79">
        <f>'PC - Residential RPP'!E43</f>
        <v>151.7841680832</v>
      </c>
      <c r="G22" s="79">
        <f>'PC - Residential RPP'!I43</f>
        <v>161.06147820800001</v>
      </c>
      <c r="H22" s="79">
        <f t="shared" ref="H22" si="2">G22-F22</f>
        <v>9.2773101248000103</v>
      </c>
      <c r="I22" s="80">
        <f t="shared" ref="I22" si="3">IF(ISBLANK(F22),"",H22/F22)</f>
        <v>6.1121724630164874E-2</v>
      </c>
    </row>
    <row r="23" spans="2:9" x14ac:dyDescent="0.2">
      <c r="B23" s="76" t="s">
        <v>85</v>
      </c>
      <c r="C23" s="77">
        <f>C10</f>
        <v>210</v>
      </c>
      <c r="D23" s="72"/>
      <c r="E23" s="70"/>
      <c r="F23" s="79">
        <f>'PC - Residential RPP (2)'!E43</f>
        <v>54.69408662184</v>
      </c>
      <c r="G23" s="79">
        <f>'PC - Residential RPP (2)'!I43</f>
        <v>62.679658029600013</v>
      </c>
      <c r="H23" s="79">
        <f t="shared" ref="H23" si="4">G23-F23</f>
        <v>7.9855714077600126</v>
      </c>
      <c r="I23" s="80">
        <f t="shared" ref="I23" si="5">IF(ISBLANK(F23),"",H23/F23)</f>
        <v>0.1460042922550841</v>
      </c>
    </row>
    <row r="24" spans="2:9" x14ac:dyDescent="0.2">
      <c r="B24" s="76" t="s">
        <v>87</v>
      </c>
      <c r="C24" s="77">
        <f>C11</f>
        <v>800</v>
      </c>
      <c r="D24" s="78"/>
      <c r="E24" s="70"/>
      <c r="F24" s="79">
        <f>'PC - Residential'!E43</f>
        <v>149.91288808319999</v>
      </c>
      <c r="G24" s="79">
        <f>'PC - Residential'!I43</f>
        <v>160.699878208</v>
      </c>
      <c r="H24" s="79">
        <f t="shared" ref="H24:H30" si="6">G24-F24</f>
        <v>10.786990124800013</v>
      </c>
      <c r="I24" s="80">
        <f t="shared" ref="I24:I30" si="7">IF(ISBLANK(F24),"",H24/F24)</f>
        <v>7.1955055117164796E-2</v>
      </c>
    </row>
    <row r="25" spans="2:9" x14ac:dyDescent="0.2">
      <c r="B25" s="76" t="s">
        <v>86</v>
      </c>
      <c r="C25" s="77">
        <f>C12</f>
        <v>2000</v>
      </c>
      <c r="D25" s="78"/>
      <c r="E25" s="70"/>
      <c r="F25" s="79">
        <f>'PC - GS &lt; 50 KW RPP'!E43</f>
        <v>357.18205888800003</v>
      </c>
      <c r="G25" s="79">
        <f>'PC - GS &lt; 50 KW RPP'!I43</f>
        <v>379.48196072000002</v>
      </c>
      <c r="H25" s="79">
        <f t="shared" ref="H25" si="8">G25-F25</f>
        <v>22.299901831999989</v>
      </c>
      <c r="I25" s="80">
        <f t="shared" ref="I25" si="9">IF(ISBLANK(F25),"",H25/F25)</f>
        <v>6.2432872192476133E-2</v>
      </c>
    </row>
    <row r="26" spans="2:9" x14ac:dyDescent="0.2">
      <c r="B26" s="76" t="s">
        <v>88</v>
      </c>
      <c r="C26" s="77">
        <f t="shared" ref="C26:C30" si="10">C13</f>
        <v>2000</v>
      </c>
      <c r="D26" s="78"/>
      <c r="E26" s="70"/>
      <c r="F26" s="79">
        <f>'PC - GS &lt; 50 KW'!E43</f>
        <v>352.50385888800002</v>
      </c>
      <c r="G26" s="79">
        <f>'PC - GS &lt; 50 KW'!I43</f>
        <v>378.57796072000008</v>
      </c>
      <c r="H26" s="79">
        <f t="shared" si="6"/>
        <v>26.074101832000053</v>
      </c>
      <c r="I26" s="80">
        <f t="shared" si="7"/>
        <v>7.3968273465864376E-2</v>
      </c>
    </row>
    <row r="27" spans="2:9" x14ac:dyDescent="0.2">
      <c r="B27" s="76" t="s">
        <v>77</v>
      </c>
      <c r="C27" s="77">
        <f t="shared" si="10"/>
        <v>68620</v>
      </c>
      <c r="D27" s="77">
        <f>D14</f>
        <v>200</v>
      </c>
      <c r="E27" s="70"/>
      <c r="F27" s="79">
        <f>'PC - GS &gt; 50 kW'!E40</f>
        <v>12405.730046947201</v>
      </c>
      <c r="G27" s="79">
        <f>'PC - GS &gt; 50 kW'!I40</f>
        <v>11949.7305665312</v>
      </c>
      <c r="H27" s="79">
        <f t="shared" si="6"/>
        <v>-455.99948041600146</v>
      </c>
      <c r="I27" s="80">
        <f t="shared" si="7"/>
        <v>-3.6757166139385219E-2</v>
      </c>
    </row>
    <row r="28" spans="2:9" x14ac:dyDescent="0.2">
      <c r="B28" s="76" t="s">
        <v>78</v>
      </c>
      <c r="C28" s="77">
        <f t="shared" si="10"/>
        <v>800</v>
      </c>
      <c r="D28" s="81"/>
      <c r="E28" s="70"/>
      <c r="F28" s="79">
        <f>'PC - USL'!E42</f>
        <v>169.00702240319998</v>
      </c>
      <c r="G28" s="79">
        <f>'PC - USL'!I42</f>
        <v>171.75688300799999</v>
      </c>
      <c r="H28" s="79">
        <f t="shared" si="6"/>
        <v>2.7498606048000056</v>
      </c>
      <c r="I28" s="80">
        <f t="shared" si="7"/>
        <v>1.6270688434706956E-2</v>
      </c>
    </row>
    <row r="29" spans="2:9" x14ac:dyDescent="0.2">
      <c r="B29" s="76" t="s">
        <v>21</v>
      </c>
      <c r="C29" s="77">
        <f t="shared" si="10"/>
        <v>60</v>
      </c>
      <c r="D29" s="99">
        <f>D16</f>
        <v>0.2</v>
      </c>
      <c r="E29" s="70"/>
      <c r="F29" s="79">
        <f>'PC - Sentinel Lgt'!E40</f>
        <v>12.820536642240004</v>
      </c>
      <c r="G29" s="79">
        <f>'PC - Sentinel Lgt'!I40</f>
        <v>13.823820105600003</v>
      </c>
      <c r="H29" s="79">
        <f t="shared" si="6"/>
        <v>1.003283463359999</v>
      </c>
      <c r="I29" s="80">
        <f t="shared" si="7"/>
        <v>7.8255964735085018E-2</v>
      </c>
    </row>
    <row r="30" spans="2:9" ht="15" thickBot="1" x14ac:dyDescent="0.25">
      <c r="B30" s="86" t="s">
        <v>7</v>
      </c>
      <c r="C30" s="87">
        <f t="shared" si="10"/>
        <v>155000</v>
      </c>
      <c r="D30" s="87">
        <f>D17</f>
        <v>445</v>
      </c>
      <c r="E30" s="88"/>
      <c r="F30" s="89">
        <f>'PC - Street Lgt'!E40</f>
        <v>32656.313366800005</v>
      </c>
      <c r="G30" s="89">
        <f>'PC - Street Lgt'!I40</f>
        <v>32535.138042800008</v>
      </c>
      <c r="H30" s="89">
        <f t="shared" si="6"/>
        <v>-121.17532399999618</v>
      </c>
      <c r="I30" s="90">
        <f t="shared" si="7"/>
        <v>-3.7106247309345369E-3</v>
      </c>
    </row>
  </sheetData>
  <mergeCells count="11">
    <mergeCell ref="B19:B20"/>
    <mergeCell ref="F19:I19"/>
    <mergeCell ref="F20:F21"/>
    <mergeCell ref="G20:G21"/>
    <mergeCell ref="H20:I20"/>
    <mergeCell ref="B3:I5"/>
    <mergeCell ref="B6:B7"/>
    <mergeCell ref="F6:I6"/>
    <mergeCell ref="F7:F8"/>
    <mergeCell ref="G7:G8"/>
    <mergeCell ref="H7:I7"/>
  </mergeCells>
  <pageMargins left="0.7" right="0.7" top="0.75" bottom="0.75" header="0.3" footer="0.3"/>
  <pageSetup scale="85" orientation="portrait" r:id="rId1"/>
  <headerFooter>
    <oddHeader>&amp;C&amp;"Arial,Bold"&amp;16 2015 Bill Impacts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L42"/>
  <sheetViews>
    <sheetView showGridLines="0" topLeftCell="A4" workbookViewId="0">
      <selection activeCell="C8" sqref="C8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Rates!B3</f>
        <v>CNPI - Fort Erie</v>
      </c>
    </row>
    <row r="3" spans="2:12" ht="15.75" x14ac:dyDescent="0.25">
      <c r="B3" s="24" t="str">
        <f>Rates!B5</f>
        <v>Residential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210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Rates!E6</f>
        <v>19.43</v>
      </c>
      <c r="D14" s="37">
        <f>C6</f>
        <v>1</v>
      </c>
      <c r="E14" s="36">
        <f>C14*D14</f>
        <v>19.43</v>
      </c>
      <c r="F14" s="45"/>
      <c r="G14" s="36">
        <f>Rates!I6</f>
        <v>23.44</v>
      </c>
      <c r="H14" s="37">
        <f>D14</f>
        <v>1</v>
      </c>
      <c r="I14" s="36">
        <f>G14*H14</f>
        <v>23.44</v>
      </c>
      <c r="J14" s="45"/>
      <c r="K14" s="36">
        <f>I14-E14</f>
        <v>4.0100000000000016</v>
      </c>
      <c r="L14" s="47">
        <f>IF((E14)=0," ",K14/E14)</f>
        <v>0.20638188368502325</v>
      </c>
    </row>
    <row r="15" spans="2:12" x14ac:dyDescent="0.2">
      <c r="B15" s="44" t="str">
        <f>Rates!B8</f>
        <v>Distribution Volumetric Rate</v>
      </c>
      <c r="C15" s="25">
        <f>Rates!E8</f>
        <v>2.0199999999999999E-2</v>
      </c>
      <c r="D15" s="38">
        <f>C7</f>
        <v>210</v>
      </c>
      <c r="E15" s="36">
        <f t="shared" ref="E15" si="0">C15*D15</f>
        <v>4.242</v>
      </c>
      <c r="F15" s="45"/>
      <c r="G15" s="25">
        <f>Rates!I8</f>
        <v>1.52E-2</v>
      </c>
      <c r="H15" s="38">
        <f>D15</f>
        <v>210</v>
      </c>
      <c r="I15" s="36">
        <f t="shared" ref="I15" si="1">G15*H15</f>
        <v>3.1920000000000002</v>
      </c>
      <c r="J15" s="45"/>
      <c r="K15" s="36">
        <f t="shared" ref="K15:K42" si="2">I15-E15</f>
        <v>-1.0499999999999998</v>
      </c>
      <c r="L15" s="47">
        <f t="shared" ref="L15:L42" si="3">IF((E15)=0," ",K15/E15)</f>
        <v>-0.24752475247524749</v>
      </c>
    </row>
    <row r="16" spans="2:12" x14ac:dyDescent="0.2">
      <c r="B16" s="49" t="s">
        <v>36</v>
      </c>
      <c r="C16" s="50"/>
      <c r="D16" s="51"/>
      <c r="E16" s="52">
        <f>SUM(E14:E15)</f>
        <v>23.672000000000001</v>
      </c>
      <c r="F16" s="53"/>
      <c r="G16" s="50"/>
      <c r="H16" s="51"/>
      <c r="I16" s="52">
        <f>SUM(I14:I15)</f>
        <v>26.632000000000001</v>
      </c>
      <c r="J16" s="53"/>
      <c r="K16" s="54">
        <f t="shared" si="2"/>
        <v>2.9600000000000009</v>
      </c>
      <c r="L16" s="55">
        <f t="shared" si="3"/>
        <v>0.12504224400135183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11.382000000000005</v>
      </c>
      <c r="E17" s="36">
        <f t="shared" ref="E17:E24" si="4">C17*D17</f>
        <v>1.2253861200000007</v>
      </c>
      <c r="F17" s="45"/>
      <c r="G17" s="25">
        <f>Rates!I267</f>
        <v>0.10766000000000001</v>
      </c>
      <c r="H17" s="40">
        <f>(C5-1)*C7</f>
        <v>11.382000000000005</v>
      </c>
      <c r="I17" s="36">
        <f t="shared" ref="I17:I24" si="5">G17*H17</f>
        <v>1.2253861200000007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4" t="str">
        <f>Rates!B10</f>
        <v>Rate Rider for Deferral/Variance Account Disposition (2015) - effective until December 31, 2016</v>
      </c>
      <c r="C18" s="25">
        <f>Rates!E10</f>
        <v>8.0000000000000004E-4</v>
      </c>
      <c r="D18" s="37">
        <f>C7</f>
        <v>210</v>
      </c>
      <c r="E18" s="36">
        <f t="shared" si="4"/>
        <v>0.16800000000000001</v>
      </c>
      <c r="F18" s="45"/>
      <c r="G18" s="25">
        <f>Rates!I10</f>
        <v>8.0000000000000004E-4</v>
      </c>
      <c r="H18" s="37">
        <f t="shared" ref="H18:H24" si="6">D18</f>
        <v>210</v>
      </c>
      <c r="I18" s="36">
        <f t="shared" si="5"/>
        <v>0.16800000000000001</v>
      </c>
      <c r="J18" s="45"/>
      <c r="K18" s="36">
        <f t="shared" si="2"/>
        <v>0</v>
      </c>
      <c r="L18" s="47">
        <f t="shared" si="3"/>
        <v>0</v>
      </c>
    </row>
    <row r="19" spans="2:12" ht="25.5" x14ac:dyDescent="0.2">
      <c r="B19" s="48" t="str">
        <f>Rates!B11</f>
        <v>Rate Rider for Global Adjustment Sub-Account Disposition (2015) - effective until December 31, 2016 Applicable only for Non-RPP Customers</v>
      </c>
      <c r="C19" s="25">
        <f>Rates!E11</f>
        <v>-2.5000000000000001E-3</v>
      </c>
      <c r="D19" s="37"/>
      <c r="E19" s="36">
        <f t="shared" si="4"/>
        <v>0</v>
      </c>
      <c r="F19" s="45"/>
      <c r="G19" s="25">
        <f>Rates!I11</f>
        <v>-2.5000000000000001E-3</v>
      </c>
      <c r="H19" s="37"/>
      <c r="I19" s="36">
        <f t="shared" si="5"/>
        <v>0</v>
      </c>
      <c r="J19" s="45"/>
      <c r="K19" s="36">
        <f t="shared" si="2"/>
        <v>0</v>
      </c>
      <c r="L19" s="47" t="str">
        <f t="shared" si="3"/>
        <v xml:space="preserve"> </v>
      </c>
    </row>
    <row r="20" spans="2:12" x14ac:dyDescent="0.2">
      <c r="B20" s="48" t="str">
        <f>Rates!B12</f>
        <v>Rate Rider for Deferral/Variance Account Disposition (2016) - effective until December 31, 2017</v>
      </c>
      <c r="C20" s="25">
        <f>Rates!E12</f>
        <v>0</v>
      </c>
      <c r="D20" s="37">
        <f>C7</f>
        <v>210</v>
      </c>
      <c r="E20" s="36">
        <f t="shared" si="4"/>
        <v>0</v>
      </c>
      <c r="F20" s="45"/>
      <c r="G20" s="25">
        <f>Rates!I12</f>
        <v>-4.0000000000000002E-4</v>
      </c>
      <c r="H20" s="37">
        <f t="shared" si="6"/>
        <v>210</v>
      </c>
      <c r="I20" s="36">
        <f t="shared" si="5"/>
        <v>-8.4000000000000005E-2</v>
      </c>
      <c r="J20" s="45"/>
      <c r="K20" s="36">
        <f t="shared" si="2"/>
        <v>-8.4000000000000005E-2</v>
      </c>
      <c r="L20" s="47" t="str">
        <f t="shared" si="3"/>
        <v xml:space="preserve"> </v>
      </c>
    </row>
    <row r="21" spans="2:12" ht="25.5" x14ac:dyDescent="0.2">
      <c r="B21" s="48" t="str">
        <f>Rates!B13</f>
        <v>Rate Rider for Global Adjustment Sub-Account Disposition (2016) - effective until December 31, 2017 Applicable only for Non-RPP Customers</v>
      </c>
      <c r="C21" s="25">
        <f>Rates!E13</f>
        <v>0</v>
      </c>
      <c r="D21" s="37"/>
      <c r="E21" s="36">
        <f t="shared" si="4"/>
        <v>0</v>
      </c>
      <c r="F21" s="45"/>
      <c r="G21" s="25">
        <f>Rates!I13</f>
        <v>3.7000000000000002E-3</v>
      </c>
      <c r="H21" s="37"/>
      <c r="I21" s="36">
        <f t="shared" si="5"/>
        <v>0</v>
      </c>
      <c r="J21" s="45"/>
      <c r="K21" s="36">
        <f t="shared" si="2"/>
        <v>0</v>
      </c>
      <c r="L21" s="47" t="str">
        <f t="shared" si="3"/>
        <v xml:space="preserve"> </v>
      </c>
    </row>
    <row r="22" spans="2:12" x14ac:dyDescent="0.2">
      <c r="B22" s="48" t="str">
        <f>Rates!B14</f>
        <v>Rate Rider for Loss Revenue Adjustment Mechanism (LRAM) - effective until December 31, 2015</v>
      </c>
      <c r="C22" s="25">
        <f>Rates!E14</f>
        <v>1E-4</v>
      </c>
      <c r="D22" s="37">
        <f>C7</f>
        <v>210</v>
      </c>
      <c r="E22" s="36">
        <f t="shared" si="4"/>
        <v>2.1000000000000001E-2</v>
      </c>
      <c r="F22" s="45"/>
      <c r="G22" s="25">
        <f>Rates!I14</f>
        <v>0</v>
      </c>
      <c r="H22" s="37">
        <f t="shared" si="6"/>
        <v>210</v>
      </c>
      <c r="I22" s="36">
        <f t="shared" si="5"/>
        <v>0</v>
      </c>
      <c r="J22" s="45"/>
      <c r="K22" s="36">
        <f t="shared" si="2"/>
        <v>-2.1000000000000001E-2</v>
      </c>
      <c r="L22" s="47">
        <f t="shared" si="3"/>
        <v>-1</v>
      </c>
    </row>
    <row r="23" spans="2:12" x14ac:dyDescent="0.2">
      <c r="B23" s="44" t="str">
        <f>Rates!B9</f>
        <v>Low Voltage Service Rate</v>
      </c>
      <c r="C23" s="25">
        <f>Rates!E9</f>
        <v>2.0000000000000001E-4</v>
      </c>
      <c r="D23" s="37">
        <f>C7</f>
        <v>210</v>
      </c>
      <c r="E23" s="36">
        <f t="shared" si="4"/>
        <v>4.2000000000000003E-2</v>
      </c>
      <c r="F23" s="45"/>
      <c r="G23" s="25">
        <f>Rates!I9</f>
        <v>2.0000000000000001E-4</v>
      </c>
      <c r="H23" s="37">
        <f t="shared" si="6"/>
        <v>210</v>
      </c>
      <c r="I23" s="36">
        <f t="shared" si="5"/>
        <v>4.2000000000000003E-2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4" t="str">
        <f>Rates!B248</f>
        <v>Smart Meter Entity Charge</v>
      </c>
      <c r="C24" s="36">
        <f>Rates!E248</f>
        <v>0.79</v>
      </c>
      <c r="D24" s="37">
        <f>C6</f>
        <v>1</v>
      </c>
      <c r="E24" s="36">
        <f t="shared" si="4"/>
        <v>0.79</v>
      </c>
      <c r="F24" s="45"/>
      <c r="G24" s="36">
        <f>Rates!I248</f>
        <v>0.79</v>
      </c>
      <c r="H24" s="37">
        <f t="shared" si="6"/>
        <v>1</v>
      </c>
      <c r="I24" s="36">
        <f t="shared" si="5"/>
        <v>0.79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25.918386120000001</v>
      </c>
      <c r="F25" s="53"/>
      <c r="G25" s="50"/>
      <c r="H25" s="51"/>
      <c r="I25" s="52">
        <f>SUM(I16:I24)</f>
        <v>28.773386120000001</v>
      </c>
      <c r="J25" s="53"/>
      <c r="K25" s="54">
        <f t="shared" si="2"/>
        <v>2.8550000000000004</v>
      </c>
      <c r="L25" s="55">
        <f t="shared" si="3"/>
        <v>0.11015346352128504</v>
      </c>
    </row>
    <row r="26" spans="2:12" x14ac:dyDescent="0.2">
      <c r="B26" s="44" t="str">
        <f>Rates!B15</f>
        <v>Retail Transmission Rate - Network Service Rate</v>
      </c>
      <c r="C26" s="25">
        <f>Rates!E15</f>
        <v>7.3000000000000001E-3</v>
      </c>
      <c r="D26" s="37">
        <f>C7*C5</f>
        <v>221.38200000000001</v>
      </c>
      <c r="E26" s="36">
        <f>C26*D26</f>
        <v>1.6160886000000001</v>
      </c>
      <c r="F26" s="45"/>
      <c r="G26" s="25">
        <f>Rates!I15</f>
        <v>7.1999999999999998E-3</v>
      </c>
      <c r="H26" s="37">
        <f>D26</f>
        <v>221.38200000000001</v>
      </c>
      <c r="I26" s="36">
        <f>G26*H26</f>
        <v>1.5939504</v>
      </c>
      <c r="J26" s="45"/>
      <c r="K26" s="36">
        <f t="shared" si="2"/>
        <v>-2.2138200000000108E-2</v>
      </c>
      <c r="L26" s="47">
        <f t="shared" si="3"/>
        <v>-1.3698630136986367E-2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Rates!E16</f>
        <v>5.7000000000000002E-3</v>
      </c>
      <c r="D27" s="37">
        <f>C7*C5</f>
        <v>221.38200000000001</v>
      </c>
      <c r="E27" s="36">
        <f>C27*D27</f>
        <v>1.2618774000000001</v>
      </c>
      <c r="F27" s="45"/>
      <c r="G27" s="25">
        <f>Rates!I16</f>
        <v>5.7999999999999996E-3</v>
      </c>
      <c r="H27" s="37">
        <f>D27</f>
        <v>221.38200000000001</v>
      </c>
      <c r="I27" s="36">
        <f>G27*H27</f>
        <v>1.2840156</v>
      </c>
      <c r="J27" s="45"/>
      <c r="K27" s="36">
        <f t="shared" si="2"/>
        <v>2.2138199999999886E-2</v>
      </c>
      <c r="L27" s="47">
        <f t="shared" si="3"/>
        <v>1.7543859649122716E-2</v>
      </c>
    </row>
    <row r="28" spans="2:12" x14ac:dyDescent="0.2">
      <c r="B28" s="49" t="s">
        <v>57</v>
      </c>
      <c r="C28" s="50"/>
      <c r="D28" s="51"/>
      <c r="E28" s="52">
        <f>SUM(E25:E27)</f>
        <v>28.796352120000002</v>
      </c>
      <c r="F28" s="53"/>
      <c r="G28" s="50"/>
      <c r="H28" s="52"/>
      <c r="I28" s="52">
        <f>SUM(I25:I27)</f>
        <v>31.651352120000002</v>
      </c>
      <c r="J28" s="53"/>
      <c r="K28" s="54">
        <f t="shared" si="2"/>
        <v>2.8550000000000004</v>
      </c>
      <c r="L28" s="55">
        <f t="shared" si="3"/>
        <v>9.9144502334971463E-2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221.38200000000001</v>
      </c>
      <c r="E29" s="36">
        <f t="shared" ref="E29:E36" si="7">C29*D29</f>
        <v>0.97408080000000008</v>
      </c>
      <c r="F29" s="45"/>
      <c r="G29" s="25">
        <f>Rates!I244</f>
        <v>3.5999999999999999E-3</v>
      </c>
      <c r="H29" s="37">
        <f>D29</f>
        <v>221.38200000000001</v>
      </c>
      <c r="I29" s="36">
        <f t="shared" ref="I29:I36" si="8">G29*H29</f>
        <v>0.79697519999999999</v>
      </c>
      <c r="J29" s="45"/>
      <c r="K29" s="36">
        <f t="shared" si="2"/>
        <v>-0.17710560000000009</v>
      </c>
      <c r="L29" s="47">
        <f t="shared" si="3"/>
        <v>-0.18181818181818188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221.38200000000001</v>
      </c>
      <c r="E30" s="36">
        <f t="shared" si="7"/>
        <v>0.28779660000000001</v>
      </c>
      <c r="F30" s="45"/>
      <c r="G30" s="25">
        <f>Rates!I245</f>
        <v>1.2999999999999999E-3</v>
      </c>
      <c r="H30" s="37">
        <f t="shared" ref="H30:H31" si="9">D30</f>
        <v>221.38200000000001</v>
      </c>
      <c r="I30" s="36">
        <f t="shared" si="8"/>
        <v>0.28779660000000001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7"/>
        <v>0.25</v>
      </c>
      <c r="F31" s="45"/>
      <c r="G31" s="36">
        <f>Rates!I247</f>
        <v>0.25</v>
      </c>
      <c r="H31" s="37">
        <f t="shared" si="9"/>
        <v>1</v>
      </c>
      <c r="I31" s="36">
        <f t="shared" si="8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Rates!E251</f>
        <v>0</v>
      </c>
      <c r="D32" s="37">
        <f>C7</f>
        <v>210</v>
      </c>
      <c r="E32" s="36">
        <f t="shared" si="7"/>
        <v>0</v>
      </c>
      <c r="F32" s="45"/>
      <c r="G32" s="25">
        <f>Rates!I251</f>
        <v>0</v>
      </c>
      <c r="H32" s="37">
        <f>D32</f>
        <v>210</v>
      </c>
      <c r="I32" s="36">
        <f t="shared" si="8"/>
        <v>0</v>
      </c>
      <c r="J32" s="45"/>
      <c r="K32" s="36">
        <f t="shared" si="2"/>
        <v>0</v>
      </c>
      <c r="L32" s="47" t="str">
        <f t="shared" si="3"/>
        <v xml:space="preserve"> 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210</v>
      </c>
      <c r="I33" s="36">
        <f t="shared" si="8"/>
        <v>0.23100000000000001</v>
      </c>
      <c r="J33" s="45"/>
      <c r="K33" s="36">
        <f t="shared" si="2"/>
        <v>0.23100000000000001</v>
      </c>
      <c r="L33" s="47" t="str">
        <f t="shared" si="3"/>
        <v xml:space="preserve"> </v>
      </c>
    </row>
    <row r="34" spans="2:12" x14ac:dyDescent="0.2">
      <c r="B34" s="44" t="str">
        <f>Rates!B263</f>
        <v>TOU - Off Peak</v>
      </c>
      <c r="C34" s="25">
        <f>Rates!E263</f>
        <v>8.3000000000000004E-2</v>
      </c>
      <c r="D34" s="37">
        <f>C7*0.64</f>
        <v>134.4</v>
      </c>
      <c r="E34" s="36">
        <f t="shared" si="7"/>
        <v>11.155200000000001</v>
      </c>
      <c r="F34" s="45"/>
      <c r="G34" s="25">
        <f>Rates!I263</f>
        <v>8.3000000000000004E-2</v>
      </c>
      <c r="H34" s="37">
        <f>D34</f>
        <v>134.4</v>
      </c>
      <c r="I34" s="36">
        <f t="shared" si="8"/>
        <v>11.155200000000001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44" t="str">
        <f>Rates!B264</f>
        <v>TOU - Mid Peak</v>
      </c>
      <c r="C35" s="25">
        <f>Rates!E264</f>
        <v>0.128</v>
      </c>
      <c r="D35" s="37">
        <f>C7*0.18</f>
        <v>37.799999999999997</v>
      </c>
      <c r="E35" s="36">
        <f t="shared" si="7"/>
        <v>4.8384</v>
      </c>
      <c r="F35" s="45"/>
      <c r="G35" s="25">
        <f>Rates!I264</f>
        <v>0.128</v>
      </c>
      <c r="H35" s="37">
        <f t="shared" ref="H35:H36" si="10">D35</f>
        <v>37.799999999999997</v>
      </c>
      <c r="I35" s="36">
        <f t="shared" si="8"/>
        <v>4.8384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Rates!B265</f>
        <v>TOU - On Peak</v>
      </c>
      <c r="C36" s="25">
        <f>Rates!E265</f>
        <v>0.17499999999999999</v>
      </c>
      <c r="D36" s="37">
        <f>C7*0.18</f>
        <v>37.799999999999997</v>
      </c>
      <c r="E36" s="36">
        <f t="shared" si="7"/>
        <v>6.6149999999999993</v>
      </c>
      <c r="F36" s="45"/>
      <c r="G36" s="25">
        <f>Rates!I265</f>
        <v>0.17499999999999999</v>
      </c>
      <c r="H36" s="37">
        <f t="shared" si="10"/>
        <v>37.799999999999997</v>
      </c>
      <c r="I36" s="36">
        <f t="shared" si="8"/>
        <v>6.6149999999999993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56"/>
      <c r="C37" s="51"/>
      <c r="D37" s="51"/>
      <c r="E37" s="51"/>
      <c r="F37" s="53"/>
      <c r="G37" s="51"/>
      <c r="H37" s="51"/>
      <c r="I37" s="51"/>
      <c r="J37" s="53"/>
      <c r="K37" s="54"/>
      <c r="L37" s="55"/>
    </row>
    <row r="38" spans="2:12" x14ac:dyDescent="0.2">
      <c r="B38" s="23" t="s">
        <v>58</v>
      </c>
      <c r="C38" s="35"/>
      <c r="D38" s="35"/>
      <c r="E38" s="39">
        <f>SUM(E28:E36)</f>
        <v>52.916829520000007</v>
      </c>
      <c r="F38" s="45"/>
      <c r="G38" s="35"/>
      <c r="H38" s="39"/>
      <c r="I38" s="39">
        <f>SUM(I28:I36)</f>
        <v>55.825723920000009</v>
      </c>
      <c r="J38" s="45"/>
      <c r="K38" s="36">
        <f t="shared" si="2"/>
        <v>2.9088944000000012</v>
      </c>
      <c r="L38" s="47">
        <f t="shared" si="3"/>
        <v>5.4971063580076723E-2</v>
      </c>
    </row>
    <row r="39" spans="2:12" x14ac:dyDescent="0.2">
      <c r="B39" s="44" t="str">
        <f>Rates!B269</f>
        <v>HST</v>
      </c>
      <c r="C39" s="41">
        <f>Rates!E269</f>
        <v>0.13</v>
      </c>
      <c r="D39" s="35"/>
      <c r="E39" s="42">
        <f>E38*C39</f>
        <v>6.8791878376000009</v>
      </c>
      <c r="F39" s="45"/>
      <c r="G39" s="41">
        <f>Rates!I269</f>
        <v>0.13</v>
      </c>
      <c r="H39" s="35"/>
      <c r="I39" s="42">
        <f>I38*G39</f>
        <v>7.2573441096000018</v>
      </c>
      <c r="J39" s="45"/>
      <c r="K39" s="36">
        <f t="shared" si="2"/>
        <v>0.3781562720000009</v>
      </c>
      <c r="L39" s="47">
        <f t="shared" si="3"/>
        <v>5.4971063580076834E-2</v>
      </c>
    </row>
    <row r="40" spans="2:12" x14ac:dyDescent="0.2">
      <c r="B40" s="23" t="s">
        <v>59</v>
      </c>
      <c r="C40" s="35"/>
      <c r="D40" s="35"/>
      <c r="E40" s="42">
        <f>E38+E39</f>
        <v>59.796017357600007</v>
      </c>
      <c r="F40" s="45"/>
      <c r="G40" s="35"/>
      <c r="H40" s="35"/>
      <c r="I40" s="42">
        <f>I38+I39</f>
        <v>63.083068029600014</v>
      </c>
      <c r="J40" s="45"/>
      <c r="K40" s="36">
        <f t="shared" si="2"/>
        <v>3.2870506720000066</v>
      </c>
      <c r="L40" s="47">
        <f t="shared" si="3"/>
        <v>5.4971063580076814E-2</v>
      </c>
    </row>
    <row r="41" spans="2:12" x14ac:dyDescent="0.2">
      <c r="B41" s="44" t="str">
        <f>Rates!B271</f>
        <v>OCEB</v>
      </c>
      <c r="C41" s="41">
        <f>Rates!E271</f>
        <v>-0.1</v>
      </c>
      <c r="D41" s="35"/>
      <c r="E41" s="42">
        <f>E40*C41</f>
        <v>-5.9796017357600011</v>
      </c>
      <c r="F41" s="45"/>
      <c r="G41" s="41">
        <f>Rates!I271</f>
        <v>0</v>
      </c>
      <c r="H41" s="35"/>
      <c r="I41" s="42">
        <f>I40*G41</f>
        <v>0</v>
      </c>
      <c r="J41" s="45"/>
      <c r="K41" s="36">
        <f t="shared" si="2"/>
        <v>5.9796017357600011</v>
      </c>
      <c r="L41" s="47">
        <f t="shared" si="3"/>
        <v>-1</v>
      </c>
    </row>
    <row r="42" spans="2:12" ht="13.5" thickBot="1" x14ac:dyDescent="0.25">
      <c r="B42" s="30" t="s">
        <v>60</v>
      </c>
      <c r="C42" s="57"/>
      <c r="D42" s="57"/>
      <c r="E42" s="58">
        <f>E40+E41</f>
        <v>53.816415621840008</v>
      </c>
      <c r="F42" s="59"/>
      <c r="G42" s="57"/>
      <c r="H42" s="57"/>
      <c r="I42" s="58">
        <f>I40+I41</f>
        <v>63.083068029600014</v>
      </c>
      <c r="J42" s="59"/>
      <c r="K42" s="60">
        <f t="shared" si="2"/>
        <v>9.2666524077600059</v>
      </c>
      <c r="L42" s="61">
        <f t="shared" si="3"/>
        <v>0.17219007064452976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L42"/>
  <sheetViews>
    <sheetView showGridLines="0" workbookViewId="0">
      <selection activeCell="C3" sqref="C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Rates!B3</f>
        <v>CNPI - Fort Erie</v>
      </c>
    </row>
    <row r="3" spans="2:12" ht="15.75" x14ac:dyDescent="0.25">
      <c r="B3" s="24" t="str">
        <f>Rates!B5</f>
        <v>Residential</v>
      </c>
      <c r="C3" s="1" t="s">
        <v>103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800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Rates!E6</f>
        <v>19.43</v>
      </c>
      <c r="D14" s="37">
        <f>C6</f>
        <v>1</v>
      </c>
      <c r="E14" s="36">
        <f>C14*D14</f>
        <v>19.43</v>
      </c>
      <c r="F14" s="45"/>
      <c r="G14" s="36">
        <f>Rates!I6</f>
        <v>23.44</v>
      </c>
      <c r="H14" s="37">
        <f>D14</f>
        <v>1</v>
      </c>
      <c r="I14" s="36">
        <f>G14*H14</f>
        <v>23.44</v>
      </c>
      <c r="J14" s="45"/>
      <c r="K14" s="36">
        <f>I14-E14</f>
        <v>4.0100000000000016</v>
      </c>
      <c r="L14" s="47">
        <f>IF((E14)=0," ",K14/E14)</f>
        <v>0.20638188368502325</v>
      </c>
    </row>
    <row r="15" spans="2:12" x14ac:dyDescent="0.2">
      <c r="B15" s="44" t="str">
        <f>Rates!B8</f>
        <v>Distribution Volumetric Rate</v>
      </c>
      <c r="C15" s="25">
        <f>Rates!E8</f>
        <v>2.0199999999999999E-2</v>
      </c>
      <c r="D15" s="38">
        <f>C7</f>
        <v>800</v>
      </c>
      <c r="E15" s="36">
        <f t="shared" ref="E15" si="0">C15*D15</f>
        <v>16.16</v>
      </c>
      <c r="F15" s="45"/>
      <c r="G15" s="25">
        <f>Rates!I8</f>
        <v>1.52E-2</v>
      </c>
      <c r="H15" s="38">
        <f>D15</f>
        <v>800</v>
      </c>
      <c r="I15" s="36">
        <f t="shared" ref="I15" si="1">G15*H15</f>
        <v>12.16</v>
      </c>
      <c r="J15" s="45"/>
      <c r="K15" s="36">
        <f t="shared" ref="K15:K42" si="2">I15-E15</f>
        <v>-4</v>
      </c>
      <c r="L15" s="47">
        <f t="shared" ref="L15:L42" si="3">IF((E15)=0," ",K15/E15)</f>
        <v>-0.24752475247524752</v>
      </c>
    </row>
    <row r="16" spans="2:12" x14ac:dyDescent="0.2">
      <c r="B16" s="49" t="s">
        <v>36</v>
      </c>
      <c r="C16" s="50"/>
      <c r="D16" s="51"/>
      <c r="E16" s="52">
        <f>SUM(E14:E15)</f>
        <v>35.590000000000003</v>
      </c>
      <c r="F16" s="53"/>
      <c r="G16" s="50"/>
      <c r="H16" s="51"/>
      <c r="I16" s="52">
        <f>SUM(I14:I15)</f>
        <v>35.6</v>
      </c>
      <c r="J16" s="53"/>
      <c r="K16" s="54">
        <f t="shared" si="2"/>
        <v>9.9999999999980105E-3</v>
      </c>
      <c r="L16" s="55">
        <f t="shared" si="3"/>
        <v>2.8097780275352654E-4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43.360000000000021</v>
      </c>
      <c r="E17" s="36">
        <f t="shared" ref="E17:E24" si="4">C17*D17</f>
        <v>4.6681376000000023</v>
      </c>
      <c r="F17" s="45"/>
      <c r="G17" s="25">
        <f>Rates!I267</f>
        <v>0.10766000000000001</v>
      </c>
      <c r="H17" s="40">
        <f>(C5-1)*C7</f>
        <v>43.360000000000021</v>
      </c>
      <c r="I17" s="36">
        <f t="shared" ref="I17:I24" si="5">G17*H17</f>
        <v>4.6681376000000023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4" t="str">
        <f>Rates!B10</f>
        <v>Rate Rider for Deferral/Variance Account Disposition (2015) - effective until December 31, 2016</v>
      </c>
      <c r="C18" s="25">
        <f>Rates!E10</f>
        <v>8.0000000000000004E-4</v>
      </c>
      <c r="D18" s="37">
        <f>C7</f>
        <v>800</v>
      </c>
      <c r="E18" s="36">
        <f t="shared" si="4"/>
        <v>0.64</v>
      </c>
      <c r="F18" s="45"/>
      <c r="G18" s="25">
        <f>Rates!I10</f>
        <v>8.0000000000000004E-4</v>
      </c>
      <c r="H18" s="37">
        <f t="shared" ref="H18:H24" si="6">D18</f>
        <v>800</v>
      </c>
      <c r="I18" s="36">
        <f t="shared" si="5"/>
        <v>0.64</v>
      </c>
      <c r="J18" s="45"/>
      <c r="K18" s="36">
        <f t="shared" si="2"/>
        <v>0</v>
      </c>
      <c r="L18" s="47">
        <f t="shared" si="3"/>
        <v>0</v>
      </c>
    </row>
    <row r="19" spans="2:12" ht="25.5" x14ac:dyDescent="0.2">
      <c r="B19" s="48" t="str">
        <f>Rates!B11</f>
        <v>Rate Rider for Global Adjustment Sub-Account Disposition (2015) - effective until December 31, 2016 Applicable only for Non-RPP Customers</v>
      </c>
      <c r="C19" s="25">
        <f>Rates!E11</f>
        <v>-2.5000000000000001E-3</v>
      </c>
      <c r="D19" s="37">
        <f>C7</f>
        <v>800</v>
      </c>
      <c r="E19" s="36">
        <f t="shared" si="4"/>
        <v>-2</v>
      </c>
      <c r="F19" s="45"/>
      <c r="G19" s="25">
        <f>Rates!I11</f>
        <v>-2.5000000000000001E-3</v>
      </c>
      <c r="H19" s="37">
        <f t="shared" si="6"/>
        <v>800</v>
      </c>
      <c r="I19" s="36">
        <f t="shared" si="5"/>
        <v>-2</v>
      </c>
      <c r="J19" s="45"/>
      <c r="K19" s="36">
        <f t="shared" si="2"/>
        <v>0</v>
      </c>
      <c r="L19" s="47">
        <f t="shared" si="3"/>
        <v>0</v>
      </c>
    </row>
    <row r="20" spans="2:12" x14ac:dyDescent="0.2">
      <c r="B20" s="48" t="str">
        <f>Rates!B12</f>
        <v>Rate Rider for Deferral/Variance Account Disposition (2016) - effective until December 31, 2017</v>
      </c>
      <c r="C20" s="25">
        <f>Rates!E12</f>
        <v>0</v>
      </c>
      <c r="D20" s="37">
        <f>C7</f>
        <v>800</v>
      </c>
      <c r="E20" s="36">
        <f t="shared" si="4"/>
        <v>0</v>
      </c>
      <c r="F20" s="45"/>
      <c r="G20" s="25">
        <f>Rates!I12</f>
        <v>-4.0000000000000002E-4</v>
      </c>
      <c r="H20" s="37">
        <f t="shared" si="6"/>
        <v>800</v>
      </c>
      <c r="I20" s="36">
        <f t="shared" si="5"/>
        <v>-0.32</v>
      </c>
      <c r="J20" s="45"/>
      <c r="K20" s="36">
        <f t="shared" ref="K20:K22" si="7">I20-E20</f>
        <v>-0.32</v>
      </c>
      <c r="L20" s="47" t="str">
        <f t="shared" ref="L20:L22" si="8">IF((E20)=0," ",K20/E20)</f>
        <v xml:space="preserve"> </v>
      </c>
    </row>
    <row r="21" spans="2:12" ht="25.5" x14ac:dyDescent="0.2">
      <c r="B21" s="48" t="str">
        <f>Rates!B13</f>
        <v>Rate Rider for Global Adjustment Sub-Account Disposition (2016) - effective until December 31, 2017 Applicable only for Non-RPP Customers</v>
      </c>
      <c r="C21" s="25">
        <f>Rates!E13</f>
        <v>0</v>
      </c>
      <c r="D21" s="37">
        <f>C7</f>
        <v>800</v>
      </c>
      <c r="E21" s="36">
        <f t="shared" si="4"/>
        <v>0</v>
      </c>
      <c r="F21" s="45"/>
      <c r="G21" s="25">
        <f>Rates!I13</f>
        <v>3.7000000000000002E-3</v>
      </c>
      <c r="H21" s="37">
        <f t="shared" si="6"/>
        <v>800</v>
      </c>
      <c r="I21" s="36">
        <f t="shared" si="5"/>
        <v>2.96</v>
      </c>
      <c r="J21" s="45"/>
      <c r="K21" s="36">
        <f t="shared" si="7"/>
        <v>2.96</v>
      </c>
      <c r="L21" s="47" t="str">
        <f t="shared" si="8"/>
        <v xml:space="preserve"> </v>
      </c>
    </row>
    <row r="22" spans="2:12" x14ac:dyDescent="0.2">
      <c r="B22" s="48" t="str">
        <f>Rates!B14</f>
        <v>Rate Rider for Loss Revenue Adjustment Mechanism (LRAM) - effective until December 31, 2015</v>
      </c>
      <c r="C22" s="25">
        <f>Rates!E14</f>
        <v>1E-4</v>
      </c>
      <c r="D22" s="37">
        <f>C7</f>
        <v>800</v>
      </c>
      <c r="E22" s="36">
        <f t="shared" si="4"/>
        <v>0.08</v>
      </c>
      <c r="F22" s="45"/>
      <c r="G22" s="25">
        <f>Rates!I14</f>
        <v>0</v>
      </c>
      <c r="H22" s="37">
        <f t="shared" si="6"/>
        <v>800</v>
      </c>
      <c r="I22" s="36">
        <f t="shared" si="5"/>
        <v>0</v>
      </c>
      <c r="J22" s="45"/>
      <c r="K22" s="36">
        <f t="shared" si="7"/>
        <v>-0.08</v>
      </c>
      <c r="L22" s="47">
        <f t="shared" si="8"/>
        <v>-1</v>
      </c>
    </row>
    <row r="23" spans="2:12" x14ac:dyDescent="0.2">
      <c r="B23" s="44" t="str">
        <f>Rates!B9</f>
        <v>Low Voltage Service Rate</v>
      </c>
      <c r="C23" s="25">
        <f>Rates!E9</f>
        <v>2.0000000000000001E-4</v>
      </c>
      <c r="D23" s="37">
        <f>C7</f>
        <v>800</v>
      </c>
      <c r="E23" s="36">
        <f t="shared" si="4"/>
        <v>0.16</v>
      </c>
      <c r="F23" s="45"/>
      <c r="G23" s="25">
        <f>Rates!I9</f>
        <v>2.0000000000000001E-4</v>
      </c>
      <c r="H23" s="37">
        <f t="shared" si="6"/>
        <v>800</v>
      </c>
      <c r="I23" s="36">
        <f t="shared" si="5"/>
        <v>0.16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4" t="str">
        <f>Rates!B248</f>
        <v>Smart Meter Entity Charge</v>
      </c>
      <c r="C24" s="36">
        <f>Rates!E248</f>
        <v>0.79</v>
      </c>
      <c r="D24" s="37">
        <f>C6</f>
        <v>1</v>
      </c>
      <c r="E24" s="36">
        <f t="shared" si="4"/>
        <v>0.79</v>
      </c>
      <c r="F24" s="45"/>
      <c r="G24" s="36">
        <f>Rates!I248</f>
        <v>0.79</v>
      </c>
      <c r="H24" s="37">
        <f t="shared" si="6"/>
        <v>1</v>
      </c>
      <c r="I24" s="36">
        <f t="shared" si="5"/>
        <v>0.79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39.928137599999999</v>
      </c>
      <c r="F25" s="53"/>
      <c r="G25" s="50"/>
      <c r="H25" s="51"/>
      <c r="I25" s="52">
        <f>SUM(I16:I24)</f>
        <v>42.4981376</v>
      </c>
      <c r="J25" s="53"/>
      <c r="K25" s="54">
        <f t="shared" si="2"/>
        <v>2.5700000000000003</v>
      </c>
      <c r="L25" s="55">
        <f t="shared" si="3"/>
        <v>6.4365636728320644E-2</v>
      </c>
    </row>
    <row r="26" spans="2:12" x14ac:dyDescent="0.2">
      <c r="B26" s="44" t="str">
        <f>Rates!B15</f>
        <v>Retail Transmission Rate - Network Service Rate</v>
      </c>
      <c r="C26" s="25">
        <f>Rates!E15</f>
        <v>7.3000000000000001E-3</v>
      </c>
      <c r="D26" s="37">
        <f>C7*C5</f>
        <v>843.36</v>
      </c>
      <c r="E26" s="36">
        <f>C26*D26</f>
        <v>6.1565279999999998</v>
      </c>
      <c r="F26" s="45"/>
      <c r="G26" s="25">
        <f>Rates!I15</f>
        <v>7.1999999999999998E-3</v>
      </c>
      <c r="H26" s="37">
        <f>D26</f>
        <v>843.36</v>
      </c>
      <c r="I26" s="36">
        <f>G26*H26</f>
        <v>6.0721920000000003</v>
      </c>
      <c r="J26" s="45"/>
      <c r="K26" s="36">
        <f t="shared" si="2"/>
        <v>-8.4335999999999522E-2</v>
      </c>
      <c r="L26" s="47">
        <f t="shared" si="3"/>
        <v>-1.3698630136986224E-2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Rates!E16</f>
        <v>5.7000000000000002E-3</v>
      </c>
      <c r="D27" s="37">
        <f>C7*C5</f>
        <v>843.36</v>
      </c>
      <c r="E27" s="36">
        <f>C27*D27</f>
        <v>4.8071520000000003</v>
      </c>
      <c r="F27" s="45"/>
      <c r="G27" s="25">
        <f>Rates!I16</f>
        <v>5.7999999999999996E-3</v>
      </c>
      <c r="H27" s="37">
        <f>D27</f>
        <v>843.36</v>
      </c>
      <c r="I27" s="36">
        <f>G27*H27</f>
        <v>4.8914879999999998</v>
      </c>
      <c r="J27" s="45"/>
      <c r="K27" s="36">
        <f t="shared" si="2"/>
        <v>8.4335999999999522E-2</v>
      </c>
      <c r="L27" s="47">
        <f t="shared" si="3"/>
        <v>1.7543859649122705E-2</v>
      </c>
    </row>
    <row r="28" spans="2:12" x14ac:dyDescent="0.2">
      <c r="B28" s="49" t="s">
        <v>57</v>
      </c>
      <c r="C28" s="50"/>
      <c r="D28" s="51"/>
      <c r="E28" s="52">
        <f>SUM(E25:E27)</f>
        <v>50.891817600000003</v>
      </c>
      <c r="F28" s="53"/>
      <c r="G28" s="50"/>
      <c r="H28" s="52"/>
      <c r="I28" s="52">
        <f>SUM(I25:I27)</f>
        <v>53.461817600000003</v>
      </c>
      <c r="J28" s="53"/>
      <c r="K28" s="54">
        <f t="shared" si="2"/>
        <v>2.5700000000000003</v>
      </c>
      <c r="L28" s="55">
        <f t="shared" si="3"/>
        <v>5.0499277117585208E-2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843.36</v>
      </c>
      <c r="E29" s="36">
        <f t="shared" ref="E29:E36" si="9">C29*D29</f>
        <v>3.7107840000000003</v>
      </c>
      <c r="F29" s="45"/>
      <c r="G29" s="25">
        <f>Rates!I244</f>
        <v>3.5999999999999999E-3</v>
      </c>
      <c r="H29" s="37">
        <f>D29</f>
        <v>843.36</v>
      </c>
      <c r="I29" s="36">
        <f t="shared" ref="I29:I36" si="10">G29*H29</f>
        <v>3.0360960000000001</v>
      </c>
      <c r="J29" s="45"/>
      <c r="K29" s="36">
        <f t="shared" si="2"/>
        <v>-0.67468800000000018</v>
      </c>
      <c r="L29" s="47">
        <f t="shared" si="3"/>
        <v>-0.18181818181818185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843.36</v>
      </c>
      <c r="E30" s="36">
        <f t="shared" si="9"/>
        <v>1.096368</v>
      </c>
      <c r="F30" s="45"/>
      <c r="G30" s="25">
        <f>Rates!I245</f>
        <v>1.2999999999999999E-3</v>
      </c>
      <c r="H30" s="37">
        <f t="shared" ref="H30:H31" si="11">D30</f>
        <v>843.36</v>
      </c>
      <c r="I30" s="36">
        <f t="shared" si="10"/>
        <v>1.096368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9"/>
        <v>0.25</v>
      </c>
      <c r="F31" s="45"/>
      <c r="G31" s="36">
        <f>Rates!I247</f>
        <v>0.25</v>
      </c>
      <c r="H31" s="37">
        <f t="shared" si="11"/>
        <v>1</v>
      </c>
      <c r="I31" s="36">
        <f t="shared" si="10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Rates!E251</f>
        <v>0</v>
      </c>
      <c r="D32" s="37">
        <f>C7</f>
        <v>800</v>
      </c>
      <c r="E32" s="36">
        <f t="shared" si="9"/>
        <v>0</v>
      </c>
      <c r="F32" s="45"/>
      <c r="G32" s="25">
        <f>Rates!I251</f>
        <v>0</v>
      </c>
      <c r="H32" s="37">
        <f>D32</f>
        <v>800</v>
      </c>
      <c r="I32" s="36">
        <f t="shared" si="10"/>
        <v>0</v>
      </c>
      <c r="J32" s="45"/>
      <c r="K32" s="36">
        <f t="shared" si="2"/>
        <v>0</v>
      </c>
      <c r="L32" s="47" t="str">
        <f t="shared" si="3"/>
        <v xml:space="preserve"> 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800</v>
      </c>
      <c r="I33" s="36">
        <f t="shared" si="10"/>
        <v>0.88</v>
      </c>
      <c r="J33" s="45"/>
      <c r="K33" s="36"/>
      <c r="L33" s="47"/>
    </row>
    <row r="34" spans="2:12" x14ac:dyDescent="0.2">
      <c r="B34" s="44" t="str">
        <f>Rates!B263</f>
        <v>TOU - Off Peak</v>
      </c>
      <c r="C34" s="25">
        <f>Rates!E263</f>
        <v>8.3000000000000004E-2</v>
      </c>
      <c r="D34" s="37">
        <f>C7*0.64</f>
        <v>512</v>
      </c>
      <c r="E34" s="36">
        <f t="shared" si="9"/>
        <v>42.496000000000002</v>
      </c>
      <c r="F34" s="45"/>
      <c r="G34" s="25">
        <f>Rates!I263</f>
        <v>8.3000000000000004E-2</v>
      </c>
      <c r="H34" s="37">
        <f>D34</f>
        <v>512</v>
      </c>
      <c r="I34" s="36">
        <f t="shared" si="10"/>
        <v>42.496000000000002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44" t="str">
        <f>Rates!B264</f>
        <v>TOU - Mid Peak</v>
      </c>
      <c r="C35" s="25">
        <f>Rates!E264</f>
        <v>0.128</v>
      </c>
      <c r="D35" s="37">
        <f>C7*0.18</f>
        <v>144</v>
      </c>
      <c r="E35" s="36">
        <f t="shared" si="9"/>
        <v>18.432000000000002</v>
      </c>
      <c r="F35" s="45"/>
      <c r="G35" s="25">
        <f>Rates!I264</f>
        <v>0.128</v>
      </c>
      <c r="H35" s="37">
        <f t="shared" ref="H35:H36" si="12">D35</f>
        <v>144</v>
      </c>
      <c r="I35" s="36">
        <f t="shared" si="10"/>
        <v>18.432000000000002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Rates!B265</f>
        <v>TOU - On Peak</v>
      </c>
      <c r="C36" s="25">
        <f>Rates!E265</f>
        <v>0.17499999999999999</v>
      </c>
      <c r="D36" s="37">
        <f>C7*0.18</f>
        <v>144</v>
      </c>
      <c r="E36" s="36">
        <f t="shared" si="9"/>
        <v>25.2</v>
      </c>
      <c r="F36" s="45"/>
      <c r="G36" s="25">
        <f>Rates!I265</f>
        <v>0.17499999999999999</v>
      </c>
      <c r="H36" s="37">
        <f t="shared" si="12"/>
        <v>144</v>
      </c>
      <c r="I36" s="36">
        <f t="shared" si="10"/>
        <v>25.2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56"/>
      <c r="C37" s="51"/>
      <c r="D37" s="51"/>
      <c r="E37" s="51"/>
      <c r="F37" s="53"/>
      <c r="G37" s="51"/>
      <c r="H37" s="51"/>
      <c r="I37" s="51"/>
      <c r="J37" s="53"/>
      <c r="K37" s="54"/>
      <c r="L37" s="55"/>
    </row>
    <row r="38" spans="2:12" x14ac:dyDescent="0.2">
      <c r="B38" s="23" t="s">
        <v>58</v>
      </c>
      <c r="C38" s="35"/>
      <c r="D38" s="35"/>
      <c r="E38" s="39">
        <f>SUM(E28:E36)</f>
        <v>142.07696960000001</v>
      </c>
      <c r="F38" s="45"/>
      <c r="G38" s="35"/>
      <c r="H38" s="39"/>
      <c r="I38" s="39">
        <f>SUM(I28:I36)</f>
        <v>144.8522816</v>
      </c>
      <c r="J38" s="45"/>
      <c r="K38" s="36">
        <f t="shared" si="2"/>
        <v>2.7753119999999853</v>
      </c>
      <c r="L38" s="47">
        <f t="shared" si="3"/>
        <v>1.9533862580357185E-2</v>
      </c>
    </row>
    <row r="39" spans="2:12" x14ac:dyDescent="0.2">
      <c r="B39" s="44" t="str">
        <f>Rates!B269</f>
        <v>HST</v>
      </c>
      <c r="C39" s="41">
        <f>Rates!E269</f>
        <v>0.13</v>
      </c>
      <c r="D39" s="35"/>
      <c r="E39" s="42">
        <f>E38*C39</f>
        <v>18.470006048000002</v>
      </c>
      <c r="F39" s="45"/>
      <c r="G39" s="41">
        <f>Rates!I269</f>
        <v>0.13</v>
      </c>
      <c r="H39" s="35"/>
      <c r="I39" s="42">
        <f>I38*G39</f>
        <v>18.830796608</v>
      </c>
      <c r="J39" s="45"/>
      <c r="K39" s="36">
        <f t="shared" si="2"/>
        <v>0.3607905599999981</v>
      </c>
      <c r="L39" s="47">
        <f t="shared" si="3"/>
        <v>1.9533862580357182E-2</v>
      </c>
    </row>
    <row r="40" spans="2:12" x14ac:dyDescent="0.2">
      <c r="B40" s="23" t="s">
        <v>59</v>
      </c>
      <c r="C40" s="35"/>
      <c r="D40" s="35"/>
      <c r="E40" s="42">
        <f>E38+E39</f>
        <v>160.546975648</v>
      </c>
      <c r="F40" s="45"/>
      <c r="G40" s="35"/>
      <c r="H40" s="35"/>
      <c r="I40" s="42">
        <f>I38+I39</f>
        <v>163.68307820799998</v>
      </c>
      <c r="J40" s="45"/>
      <c r="K40" s="36">
        <f t="shared" si="2"/>
        <v>3.1361025599999834</v>
      </c>
      <c r="L40" s="47">
        <f t="shared" si="3"/>
        <v>1.9533862580357185E-2</v>
      </c>
    </row>
    <row r="41" spans="2:12" x14ac:dyDescent="0.2">
      <c r="B41" s="44" t="str">
        <f>Rates!B271</f>
        <v>OCEB</v>
      </c>
      <c r="C41" s="41">
        <f>Rates!E271</f>
        <v>-0.1</v>
      </c>
      <c r="D41" s="35"/>
      <c r="E41" s="42">
        <f>E40*C41</f>
        <v>-16.054697564800001</v>
      </c>
      <c r="F41" s="45"/>
      <c r="G41" s="41">
        <f>Rates!I271</f>
        <v>0</v>
      </c>
      <c r="H41" s="35"/>
      <c r="I41" s="42">
        <f>I40*G41</f>
        <v>0</v>
      </c>
      <c r="J41" s="45"/>
      <c r="K41" s="36">
        <f t="shared" si="2"/>
        <v>16.054697564800001</v>
      </c>
      <c r="L41" s="47">
        <f t="shared" si="3"/>
        <v>-1</v>
      </c>
    </row>
    <row r="42" spans="2:12" ht="13.5" thickBot="1" x14ac:dyDescent="0.25">
      <c r="B42" s="30" t="s">
        <v>60</v>
      </c>
      <c r="C42" s="57"/>
      <c r="D42" s="57"/>
      <c r="E42" s="58">
        <f>E40+E41</f>
        <v>144.49227808320001</v>
      </c>
      <c r="F42" s="59"/>
      <c r="G42" s="57"/>
      <c r="H42" s="57"/>
      <c r="I42" s="58">
        <f>I40+I41</f>
        <v>163.68307820799998</v>
      </c>
      <c r="J42" s="59"/>
      <c r="K42" s="60">
        <f t="shared" si="2"/>
        <v>19.190800124799978</v>
      </c>
      <c r="L42" s="61">
        <f t="shared" si="3"/>
        <v>0.1328154028670635</v>
      </c>
    </row>
  </sheetData>
  <mergeCells count="5">
    <mergeCell ref="C11:E11"/>
    <mergeCell ref="G11:I11"/>
    <mergeCell ref="K11:L11"/>
    <mergeCell ref="B1:L1"/>
    <mergeCell ref="B11:B12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L42"/>
  <sheetViews>
    <sheetView showGridLines="0" workbookViewId="0">
      <selection activeCell="H34" sqref="H34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Rates!B3</f>
        <v>CNPI - Fort Erie</v>
      </c>
    </row>
    <row r="3" spans="2:12" ht="15.75" x14ac:dyDescent="0.25">
      <c r="B3" s="24" t="str">
        <f>Rates!B18</f>
        <v>General Service Less Than 50kW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2000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Rates!E19</f>
        <v>26.22</v>
      </c>
      <c r="D14" s="37">
        <f>C6</f>
        <v>1</v>
      </c>
      <c r="E14" s="36">
        <f>C14*D14</f>
        <v>26.22</v>
      </c>
      <c r="F14" s="45"/>
      <c r="G14" s="36">
        <f>Rates!I19</f>
        <v>28.26</v>
      </c>
      <c r="H14" s="37">
        <f>D14</f>
        <v>1</v>
      </c>
      <c r="I14" s="36">
        <f>G14*H14</f>
        <v>28.26</v>
      </c>
      <c r="J14" s="45"/>
      <c r="K14" s="36">
        <f>I14-E14</f>
        <v>2.0400000000000027</v>
      </c>
      <c r="L14" s="47">
        <f>IF((E14)=0," ",K14/E14)</f>
        <v>7.7803203661327341E-2</v>
      </c>
    </row>
    <row r="15" spans="2:12" x14ac:dyDescent="0.2">
      <c r="B15" s="44" t="str">
        <f>Rates!B8</f>
        <v>Distribution Volumetric Rate</v>
      </c>
      <c r="C15" s="25">
        <f>Rates!E21</f>
        <v>2.35E-2</v>
      </c>
      <c r="D15" s="38">
        <f>C7</f>
        <v>2000</v>
      </c>
      <c r="E15" s="36">
        <f t="shared" ref="E15" si="0">C15*D15</f>
        <v>47</v>
      </c>
      <c r="F15" s="45"/>
      <c r="G15" s="25">
        <f>Rates!I21</f>
        <v>2.3E-2</v>
      </c>
      <c r="H15" s="37">
        <f>D15</f>
        <v>2000</v>
      </c>
      <c r="I15" s="36">
        <f t="shared" ref="I15" si="1">G15*H15</f>
        <v>46</v>
      </c>
      <c r="J15" s="45"/>
      <c r="K15" s="36">
        <f t="shared" ref="K15:K42" si="2">I15-E15</f>
        <v>-1</v>
      </c>
      <c r="L15" s="47">
        <f t="shared" ref="L15:L42" si="3">IF((E15)=0," ",K15/E15)</f>
        <v>-2.1276595744680851E-2</v>
      </c>
    </row>
    <row r="16" spans="2:12" x14ac:dyDescent="0.2">
      <c r="B16" s="49" t="s">
        <v>36</v>
      </c>
      <c r="C16" s="50"/>
      <c r="D16" s="51"/>
      <c r="E16" s="52">
        <f>SUM(E14:E15)</f>
        <v>73.22</v>
      </c>
      <c r="F16" s="53"/>
      <c r="G16" s="50"/>
      <c r="H16" s="51"/>
      <c r="I16" s="52">
        <f>SUM(I14:I15)</f>
        <v>74.260000000000005</v>
      </c>
      <c r="J16" s="53"/>
      <c r="K16" s="54">
        <f t="shared" si="2"/>
        <v>1.0400000000000063</v>
      </c>
      <c r="L16" s="55">
        <f t="shared" si="3"/>
        <v>1.4203769461895742E-2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108.40000000000005</v>
      </c>
      <c r="E17" s="36">
        <f t="shared" ref="E17:E24" si="4">C17*D17</f>
        <v>11.670344000000005</v>
      </c>
      <c r="F17" s="45"/>
      <c r="G17" s="25">
        <f>Rates!I267</f>
        <v>0.10766000000000001</v>
      </c>
      <c r="H17" s="40">
        <f>(C5-1)*C7</f>
        <v>108.40000000000005</v>
      </c>
      <c r="I17" s="36">
        <f t="shared" ref="I17:I24" si="5">G17*H17</f>
        <v>11.670344000000005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Rates!B23</f>
        <v>Rate Rider for Deferral/Variance Account Disposition (2015) - effective until December 31, 2016</v>
      </c>
      <c r="C18" s="25">
        <f>Rates!E23</f>
        <v>8.0000000000000004E-4</v>
      </c>
      <c r="D18" s="37">
        <f>C7</f>
        <v>2000</v>
      </c>
      <c r="E18" s="36">
        <f t="shared" si="4"/>
        <v>1.6</v>
      </c>
      <c r="F18" s="45"/>
      <c r="G18" s="25">
        <f>Rates!I23</f>
        <v>8.0000000000000004E-4</v>
      </c>
      <c r="H18" s="37">
        <f t="shared" ref="H18:H24" si="6">D18</f>
        <v>2000</v>
      </c>
      <c r="I18" s="36">
        <f t="shared" si="5"/>
        <v>1.6</v>
      </c>
      <c r="J18" s="45"/>
      <c r="K18" s="36">
        <f t="shared" si="2"/>
        <v>0</v>
      </c>
      <c r="L18" s="47">
        <f t="shared" si="3"/>
        <v>0</v>
      </c>
    </row>
    <row r="19" spans="2:12" ht="25.5" x14ac:dyDescent="0.2">
      <c r="B19" s="48" t="str">
        <f>Rates!B24</f>
        <v>Rate Rider for Global Adjustment Sub-Account Disposition (2015) - effective until December 31, 2016 Applicable only for Non-RPP Customers</v>
      </c>
      <c r="C19" s="25">
        <f>Rates!E24</f>
        <v>-2.5000000000000001E-3</v>
      </c>
      <c r="D19" s="37"/>
      <c r="E19" s="36">
        <f t="shared" si="4"/>
        <v>0</v>
      </c>
      <c r="F19" s="45"/>
      <c r="G19" s="25">
        <f>Rates!I24</f>
        <v>-2.5000000000000001E-3</v>
      </c>
      <c r="H19" s="37">
        <f t="shared" si="6"/>
        <v>0</v>
      </c>
      <c r="I19" s="36">
        <f t="shared" si="5"/>
        <v>0</v>
      </c>
      <c r="J19" s="45"/>
      <c r="K19" s="36">
        <f t="shared" si="2"/>
        <v>0</v>
      </c>
      <c r="L19" s="47" t="str">
        <f t="shared" si="3"/>
        <v xml:space="preserve"> </v>
      </c>
    </row>
    <row r="20" spans="2:12" x14ac:dyDescent="0.2">
      <c r="B20" s="48" t="str">
        <f>Rates!B25</f>
        <v>Rate Rider for Deferral/Variance Account Disposition (2016) - effective until December 31, 2017</v>
      </c>
      <c r="C20" s="25">
        <f>Rates!E25</f>
        <v>0</v>
      </c>
      <c r="D20" s="37">
        <f>C7</f>
        <v>2000</v>
      </c>
      <c r="E20" s="36">
        <f t="shared" si="4"/>
        <v>0</v>
      </c>
      <c r="F20" s="45"/>
      <c r="G20" s="25">
        <f>Rates!I25</f>
        <v>-5.9999999999999995E-4</v>
      </c>
      <c r="H20" s="37">
        <f t="shared" si="6"/>
        <v>2000</v>
      </c>
      <c r="I20" s="36">
        <f t="shared" si="5"/>
        <v>-1.2</v>
      </c>
      <c r="J20" s="45"/>
      <c r="K20" s="36">
        <f t="shared" ref="K20:K21" si="7">I20-E20</f>
        <v>-1.2</v>
      </c>
      <c r="L20" s="47" t="str">
        <f t="shared" ref="L20:L21" si="8">IF((E20)=0," ",K20/E20)</f>
        <v xml:space="preserve"> </v>
      </c>
    </row>
    <row r="21" spans="2:12" ht="25.5" x14ac:dyDescent="0.2">
      <c r="B21" s="48" t="str">
        <f>Rates!B26</f>
        <v>Rate Rider for Global Adjustment Sub-Account Disposition (2016) - effective until December 31, 2017 Applicable only for Non-RPP Customers</v>
      </c>
      <c r="C21" s="25">
        <f>Rates!E26</f>
        <v>0</v>
      </c>
      <c r="D21" s="37"/>
      <c r="E21" s="36">
        <f t="shared" si="4"/>
        <v>0</v>
      </c>
      <c r="F21" s="45"/>
      <c r="G21" s="25">
        <f>Rates!I26</f>
        <v>3.7000000000000002E-3</v>
      </c>
      <c r="H21" s="37">
        <f t="shared" si="6"/>
        <v>0</v>
      </c>
      <c r="I21" s="36">
        <f t="shared" si="5"/>
        <v>0</v>
      </c>
      <c r="J21" s="45"/>
      <c r="K21" s="36">
        <f t="shared" si="7"/>
        <v>0</v>
      </c>
      <c r="L21" s="47" t="str">
        <f t="shared" si="8"/>
        <v xml:space="preserve"> </v>
      </c>
    </row>
    <row r="22" spans="2:12" x14ac:dyDescent="0.2">
      <c r="B22" s="48" t="str">
        <f>Rates!B27</f>
        <v>Rate Rider for Loss Revenue Adjustment Mechanism (LRAM) - effective until December 31, 2015</v>
      </c>
      <c r="C22" s="25">
        <f>Rates!E27</f>
        <v>4.0000000000000002E-4</v>
      </c>
      <c r="D22" s="37">
        <f>C7</f>
        <v>2000</v>
      </c>
      <c r="E22" s="36">
        <f t="shared" si="4"/>
        <v>0.8</v>
      </c>
      <c r="F22" s="45"/>
      <c r="G22" s="25">
        <f>Rates!I27</f>
        <v>0</v>
      </c>
      <c r="H22" s="37">
        <f t="shared" si="6"/>
        <v>2000</v>
      </c>
      <c r="I22" s="36">
        <f t="shared" si="5"/>
        <v>0</v>
      </c>
      <c r="J22" s="45"/>
      <c r="K22" s="36">
        <f t="shared" si="2"/>
        <v>-0.8</v>
      </c>
      <c r="L22" s="47">
        <f t="shared" si="3"/>
        <v>-1</v>
      </c>
    </row>
    <row r="23" spans="2:12" x14ac:dyDescent="0.2">
      <c r="B23" s="44" t="str">
        <f>Rates!B9</f>
        <v>Low Voltage Service Rate</v>
      </c>
      <c r="C23" s="25">
        <f>Rates!E22</f>
        <v>2.0000000000000001E-4</v>
      </c>
      <c r="D23" s="37">
        <f>C7</f>
        <v>2000</v>
      </c>
      <c r="E23" s="36">
        <f t="shared" si="4"/>
        <v>0.4</v>
      </c>
      <c r="F23" s="45"/>
      <c r="G23" s="25">
        <f>Rates!I22</f>
        <v>2.0000000000000001E-4</v>
      </c>
      <c r="H23" s="37">
        <f t="shared" si="6"/>
        <v>2000</v>
      </c>
      <c r="I23" s="36">
        <f t="shared" si="5"/>
        <v>0.4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4" t="str">
        <f>Rates!B248</f>
        <v>Smart Meter Entity Charge</v>
      </c>
      <c r="C24" s="36">
        <f>Rates!E248</f>
        <v>0.79</v>
      </c>
      <c r="D24" s="37">
        <f>C6</f>
        <v>1</v>
      </c>
      <c r="E24" s="36">
        <f t="shared" si="4"/>
        <v>0.79</v>
      </c>
      <c r="F24" s="45"/>
      <c r="G24" s="36">
        <f>Rates!I248</f>
        <v>0.79</v>
      </c>
      <c r="H24" s="37">
        <f t="shared" si="6"/>
        <v>1</v>
      </c>
      <c r="I24" s="36">
        <f t="shared" si="5"/>
        <v>0.79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88.480344000000002</v>
      </c>
      <c r="F25" s="53"/>
      <c r="G25" s="50"/>
      <c r="H25" s="51"/>
      <c r="I25" s="52">
        <f>SUM(I16:I24)</f>
        <v>87.520344000000009</v>
      </c>
      <c r="J25" s="53"/>
      <c r="K25" s="54">
        <f t="shared" si="2"/>
        <v>-0.95999999999999375</v>
      </c>
      <c r="L25" s="55">
        <f t="shared" si="3"/>
        <v>-1.0849867401057953E-2</v>
      </c>
    </row>
    <row r="26" spans="2:12" x14ac:dyDescent="0.2">
      <c r="B26" s="44" t="str">
        <f>Rates!B15</f>
        <v>Retail Transmission Rate - Network Service Rate</v>
      </c>
      <c r="C26" s="25">
        <f>Rates!E28</f>
        <v>6.1999999999999998E-3</v>
      </c>
      <c r="D26" s="37">
        <f>C7*C5</f>
        <v>2108.4</v>
      </c>
      <c r="E26" s="36">
        <f>C26*D26</f>
        <v>13.07208</v>
      </c>
      <c r="F26" s="45"/>
      <c r="G26" s="25">
        <f>Rates!I28</f>
        <v>6.1000000000000004E-3</v>
      </c>
      <c r="H26" s="37">
        <f>D26</f>
        <v>2108.4</v>
      </c>
      <c r="I26" s="36">
        <f>G26*H26</f>
        <v>12.861240000000002</v>
      </c>
      <c r="J26" s="45"/>
      <c r="K26" s="36">
        <f t="shared" si="2"/>
        <v>-0.21083999999999747</v>
      </c>
      <c r="L26" s="47">
        <f t="shared" si="3"/>
        <v>-1.6129032258064325E-2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Rates!E29</f>
        <v>4.8999999999999998E-3</v>
      </c>
      <c r="D27" s="37">
        <f>C7*C5</f>
        <v>2108.4</v>
      </c>
      <c r="E27" s="36">
        <f>C27*D27</f>
        <v>10.331160000000001</v>
      </c>
      <c r="F27" s="45"/>
      <c r="G27" s="25">
        <f>Rates!I29</f>
        <v>5.0000000000000001E-3</v>
      </c>
      <c r="H27" s="37">
        <f>D27</f>
        <v>2108.4</v>
      </c>
      <c r="I27" s="36">
        <f>G27*H27</f>
        <v>10.542</v>
      </c>
      <c r="J27" s="45"/>
      <c r="K27" s="36">
        <f t="shared" si="2"/>
        <v>0.21083999999999925</v>
      </c>
      <c r="L27" s="47">
        <f t="shared" si="3"/>
        <v>2.0408163265306048E-2</v>
      </c>
    </row>
    <row r="28" spans="2:12" x14ac:dyDescent="0.2">
      <c r="B28" s="49" t="s">
        <v>57</v>
      </c>
      <c r="C28" s="50"/>
      <c r="D28" s="51"/>
      <c r="E28" s="52">
        <f>SUM(E25:E27)</f>
        <v>111.883584</v>
      </c>
      <c r="F28" s="53"/>
      <c r="G28" s="50"/>
      <c r="H28" s="52"/>
      <c r="I28" s="52">
        <f>SUM(I25:I27)</f>
        <v>110.92358400000001</v>
      </c>
      <c r="J28" s="53"/>
      <c r="K28" s="54">
        <f t="shared" si="2"/>
        <v>-0.95999999999999375</v>
      </c>
      <c r="L28" s="55">
        <f t="shared" si="3"/>
        <v>-8.5803472294916274E-3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2108.4</v>
      </c>
      <c r="E29" s="36">
        <f t="shared" ref="E29:E36" si="9">C29*D29</f>
        <v>9.2769600000000008</v>
      </c>
      <c r="F29" s="45"/>
      <c r="G29" s="25">
        <f>Rates!I244</f>
        <v>3.5999999999999999E-3</v>
      </c>
      <c r="H29" s="37">
        <f>D29</f>
        <v>2108.4</v>
      </c>
      <c r="I29" s="36">
        <f t="shared" ref="I29:I36" si="10">G29*H29</f>
        <v>7.5902400000000005</v>
      </c>
      <c r="J29" s="45"/>
      <c r="K29" s="36">
        <f t="shared" si="2"/>
        <v>-1.6867200000000002</v>
      </c>
      <c r="L29" s="47">
        <f t="shared" si="3"/>
        <v>-0.18181818181818182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2108.4</v>
      </c>
      <c r="E30" s="36">
        <f t="shared" si="9"/>
        <v>2.74092</v>
      </c>
      <c r="F30" s="45"/>
      <c r="G30" s="25">
        <f>Rates!I245</f>
        <v>1.2999999999999999E-3</v>
      </c>
      <c r="H30" s="37">
        <f t="shared" ref="H30:H31" si="11">D30</f>
        <v>2108.4</v>
      </c>
      <c r="I30" s="36">
        <f t="shared" si="10"/>
        <v>2.74092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9"/>
        <v>0.25</v>
      </c>
      <c r="F31" s="45"/>
      <c r="G31" s="36">
        <f>Rates!I247</f>
        <v>0.25</v>
      </c>
      <c r="H31" s="37">
        <f t="shared" si="11"/>
        <v>1</v>
      </c>
      <c r="I31" s="36">
        <f t="shared" si="10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Rates!E251</f>
        <v>0</v>
      </c>
      <c r="D32" s="37">
        <f>C7</f>
        <v>2000</v>
      </c>
      <c r="E32" s="36">
        <f t="shared" si="9"/>
        <v>0</v>
      </c>
      <c r="F32" s="45"/>
      <c r="G32" s="25">
        <f>Rates!I251</f>
        <v>0</v>
      </c>
      <c r="H32" s="37">
        <f>D32</f>
        <v>2000</v>
      </c>
      <c r="I32" s="36">
        <f t="shared" si="10"/>
        <v>0</v>
      </c>
      <c r="J32" s="45"/>
      <c r="K32" s="36">
        <f t="shared" si="2"/>
        <v>0</v>
      </c>
      <c r="L32" s="47" t="str">
        <f t="shared" si="3"/>
        <v xml:space="preserve"> 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2000</v>
      </c>
      <c r="I33" s="36">
        <f t="shared" si="10"/>
        <v>2.2000000000000002</v>
      </c>
      <c r="J33" s="45"/>
      <c r="K33" s="36"/>
      <c r="L33" s="47"/>
    </row>
    <row r="34" spans="2:12" x14ac:dyDescent="0.2">
      <c r="B34" s="44" t="str">
        <f>Rates!B263</f>
        <v>TOU - Off Peak</v>
      </c>
      <c r="C34" s="25">
        <f>Rates!E263</f>
        <v>8.3000000000000004E-2</v>
      </c>
      <c r="D34" s="37">
        <f>C7*0.64</f>
        <v>1280</v>
      </c>
      <c r="E34" s="36">
        <f t="shared" si="9"/>
        <v>106.24000000000001</v>
      </c>
      <c r="F34" s="45"/>
      <c r="G34" s="25">
        <f>Rates!I263</f>
        <v>8.3000000000000004E-2</v>
      </c>
      <c r="H34" s="37">
        <f>D34</f>
        <v>1280</v>
      </c>
      <c r="I34" s="36">
        <f t="shared" si="10"/>
        <v>106.24000000000001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44" t="str">
        <f>Rates!B264</f>
        <v>TOU - Mid Peak</v>
      </c>
      <c r="C35" s="25">
        <f>Rates!E264</f>
        <v>0.128</v>
      </c>
      <c r="D35" s="37">
        <f>C7*0.18</f>
        <v>360</v>
      </c>
      <c r="E35" s="36">
        <f t="shared" si="9"/>
        <v>46.08</v>
      </c>
      <c r="F35" s="45"/>
      <c r="G35" s="25">
        <f>Rates!I264</f>
        <v>0.128</v>
      </c>
      <c r="H35" s="37">
        <f t="shared" ref="H35:H36" si="12">D35</f>
        <v>360</v>
      </c>
      <c r="I35" s="36">
        <f t="shared" si="10"/>
        <v>46.08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Rates!B265</f>
        <v>TOU - On Peak</v>
      </c>
      <c r="C36" s="25">
        <f>Rates!E265</f>
        <v>0.17499999999999999</v>
      </c>
      <c r="D36" s="37">
        <f>C7*0.18</f>
        <v>360</v>
      </c>
      <c r="E36" s="36">
        <f t="shared" si="9"/>
        <v>62.999999999999993</v>
      </c>
      <c r="F36" s="45"/>
      <c r="G36" s="25">
        <f>Rates!I265</f>
        <v>0.17499999999999999</v>
      </c>
      <c r="H36" s="37">
        <f t="shared" si="12"/>
        <v>360</v>
      </c>
      <c r="I36" s="36">
        <f t="shared" si="10"/>
        <v>62.999999999999993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56"/>
      <c r="C37" s="51"/>
      <c r="D37" s="51"/>
      <c r="E37" s="51"/>
      <c r="F37" s="53"/>
      <c r="G37" s="51"/>
      <c r="H37" s="51"/>
      <c r="I37" s="51"/>
      <c r="J37" s="53"/>
      <c r="K37" s="54"/>
      <c r="L37" s="55"/>
    </row>
    <row r="38" spans="2:12" x14ac:dyDescent="0.2">
      <c r="B38" s="23" t="s">
        <v>58</v>
      </c>
      <c r="C38" s="35"/>
      <c r="D38" s="35"/>
      <c r="E38" s="39">
        <f>SUM(E28:E36)</f>
        <v>339.47146400000003</v>
      </c>
      <c r="F38" s="45"/>
      <c r="G38" s="35"/>
      <c r="H38" s="39"/>
      <c r="I38" s="39">
        <f>SUM(I28:I36)</f>
        <v>339.024744</v>
      </c>
      <c r="J38" s="45"/>
      <c r="K38" s="36">
        <f t="shared" si="2"/>
        <v>-0.44672000000002754</v>
      </c>
      <c r="L38" s="47">
        <f t="shared" si="3"/>
        <v>-1.3159279862180919E-3</v>
      </c>
    </row>
    <row r="39" spans="2:12" x14ac:dyDescent="0.2">
      <c r="B39" s="44" t="str">
        <f>Rates!B269</f>
        <v>HST</v>
      </c>
      <c r="C39" s="41">
        <f>Rates!E269</f>
        <v>0.13</v>
      </c>
      <c r="D39" s="35"/>
      <c r="E39" s="42">
        <f>E38*C39</f>
        <v>44.131290320000005</v>
      </c>
      <c r="F39" s="45"/>
      <c r="G39" s="41">
        <f>Rates!I269</f>
        <v>0.13</v>
      </c>
      <c r="H39" s="35"/>
      <c r="I39" s="42">
        <f>I38*G39</f>
        <v>44.073216719999998</v>
      </c>
      <c r="J39" s="45"/>
      <c r="K39" s="36">
        <f t="shared" si="2"/>
        <v>-5.8073600000007275E-2</v>
      </c>
      <c r="L39" s="47">
        <f t="shared" si="3"/>
        <v>-1.3159279862181756E-3</v>
      </c>
    </row>
    <row r="40" spans="2:12" x14ac:dyDescent="0.2">
      <c r="B40" s="23" t="s">
        <v>59</v>
      </c>
      <c r="C40" s="35"/>
      <c r="D40" s="35"/>
      <c r="E40" s="42">
        <f>E38+E39</f>
        <v>383.60275432000003</v>
      </c>
      <c r="F40" s="45"/>
      <c r="G40" s="35"/>
      <c r="H40" s="35"/>
      <c r="I40" s="42">
        <f>I38+I39</f>
        <v>383.09796072</v>
      </c>
      <c r="J40" s="45"/>
      <c r="K40" s="36">
        <f t="shared" si="2"/>
        <v>-0.50479360000002771</v>
      </c>
      <c r="L40" s="47">
        <f t="shared" si="3"/>
        <v>-1.315927986218083E-3</v>
      </c>
    </row>
    <row r="41" spans="2:12" x14ac:dyDescent="0.2">
      <c r="B41" s="44" t="str">
        <f>Rates!B271</f>
        <v>OCEB</v>
      </c>
      <c r="C41" s="41">
        <f>Rates!E271</f>
        <v>-0.1</v>
      </c>
      <c r="D41" s="35"/>
      <c r="E41" s="42">
        <f>E40*C41</f>
        <v>-38.360275432000002</v>
      </c>
      <c r="F41" s="45"/>
      <c r="G41" s="41">
        <f>Rates!I271</f>
        <v>0</v>
      </c>
      <c r="H41" s="35"/>
      <c r="I41" s="42">
        <f>I40*G41</f>
        <v>0</v>
      </c>
      <c r="J41" s="45"/>
      <c r="K41" s="36">
        <f t="shared" si="2"/>
        <v>38.360275432000002</v>
      </c>
      <c r="L41" s="47">
        <f t="shared" si="3"/>
        <v>-1</v>
      </c>
    </row>
    <row r="42" spans="2:12" ht="13.5" thickBot="1" x14ac:dyDescent="0.25">
      <c r="B42" s="30" t="s">
        <v>60</v>
      </c>
      <c r="C42" s="57"/>
      <c r="D42" s="57"/>
      <c r="E42" s="58">
        <f>E40+E41</f>
        <v>345.24247888800005</v>
      </c>
      <c r="F42" s="59"/>
      <c r="G42" s="57"/>
      <c r="H42" s="57"/>
      <c r="I42" s="58">
        <f>I40+I41</f>
        <v>383.09796072</v>
      </c>
      <c r="J42" s="59"/>
      <c r="K42" s="60">
        <f t="shared" si="2"/>
        <v>37.855481831999953</v>
      </c>
      <c r="L42" s="61">
        <f t="shared" si="3"/>
        <v>0.10964896890420206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L42"/>
  <sheetViews>
    <sheetView showGridLines="0" workbookViewId="0">
      <selection activeCell="C3" sqref="C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Rates!B3</f>
        <v>CNPI - Fort Erie</v>
      </c>
    </row>
    <row r="3" spans="2:12" ht="15.75" x14ac:dyDescent="0.25">
      <c r="B3" s="24" t="str">
        <f>Rates!B18</f>
        <v>General Service Less Than 50kW</v>
      </c>
      <c r="C3" s="1" t="s">
        <v>103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2000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Rates!E19</f>
        <v>26.22</v>
      </c>
      <c r="D14" s="37">
        <f>C6</f>
        <v>1</v>
      </c>
      <c r="E14" s="36">
        <f>C14*D14</f>
        <v>26.22</v>
      </c>
      <c r="F14" s="45"/>
      <c r="G14" s="36">
        <f>Rates!I19</f>
        <v>28.26</v>
      </c>
      <c r="H14" s="37">
        <f>D14</f>
        <v>1</v>
      </c>
      <c r="I14" s="36">
        <f>G14*H14</f>
        <v>28.26</v>
      </c>
      <c r="J14" s="45"/>
      <c r="K14" s="36">
        <f>I14-E14</f>
        <v>2.0400000000000027</v>
      </c>
      <c r="L14" s="47">
        <f>IF((E14)=0," ",K14/E14)</f>
        <v>7.7803203661327341E-2</v>
      </c>
    </row>
    <row r="15" spans="2:12" x14ac:dyDescent="0.2">
      <c r="B15" s="44" t="str">
        <f>Rates!B8</f>
        <v>Distribution Volumetric Rate</v>
      </c>
      <c r="C15" s="25">
        <f>Rates!E21</f>
        <v>2.35E-2</v>
      </c>
      <c r="D15" s="38">
        <f>C7</f>
        <v>2000</v>
      </c>
      <c r="E15" s="36">
        <f t="shared" ref="E15" si="0">C15*D15</f>
        <v>47</v>
      </c>
      <c r="F15" s="45"/>
      <c r="G15" s="25">
        <f>Rates!I21</f>
        <v>2.3E-2</v>
      </c>
      <c r="H15" s="37">
        <f>D15</f>
        <v>2000</v>
      </c>
      <c r="I15" s="36">
        <f t="shared" ref="I15" si="1">G15*H15</f>
        <v>46</v>
      </c>
      <c r="J15" s="45"/>
      <c r="K15" s="36">
        <f t="shared" ref="K15:K42" si="2">I15-E15</f>
        <v>-1</v>
      </c>
      <c r="L15" s="47">
        <f t="shared" ref="L15:L42" si="3">IF((E15)=0," ",K15/E15)</f>
        <v>-2.1276595744680851E-2</v>
      </c>
    </row>
    <row r="16" spans="2:12" x14ac:dyDescent="0.2">
      <c r="B16" s="49" t="s">
        <v>36</v>
      </c>
      <c r="C16" s="50"/>
      <c r="D16" s="51"/>
      <c r="E16" s="52">
        <f>SUM(E14:E15)</f>
        <v>73.22</v>
      </c>
      <c r="F16" s="53"/>
      <c r="G16" s="50"/>
      <c r="H16" s="51"/>
      <c r="I16" s="52">
        <f>SUM(I14:I15)</f>
        <v>74.260000000000005</v>
      </c>
      <c r="J16" s="53"/>
      <c r="K16" s="54">
        <f t="shared" si="2"/>
        <v>1.0400000000000063</v>
      </c>
      <c r="L16" s="55">
        <f t="shared" si="3"/>
        <v>1.4203769461895742E-2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108.40000000000005</v>
      </c>
      <c r="E17" s="36">
        <f t="shared" ref="E17:E24" si="4">C17*D17</f>
        <v>11.670344000000005</v>
      </c>
      <c r="F17" s="45"/>
      <c r="G17" s="25">
        <f>Rates!I267</f>
        <v>0.10766000000000001</v>
      </c>
      <c r="H17" s="40">
        <f>(C5-1)*C7</f>
        <v>108.40000000000005</v>
      </c>
      <c r="I17" s="36">
        <f t="shared" ref="I17:I24" si="5">G17*H17</f>
        <v>11.670344000000005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Rates!B23</f>
        <v>Rate Rider for Deferral/Variance Account Disposition (2015) - effective until December 31, 2016</v>
      </c>
      <c r="C18" s="25">
        <f>Rates!E23</f>
        <v>8.0000000000000004E-4</v>
      </c>
      <c r="D18" s="37">
        <f>C7</f>
        <v>2000</v>
      </c>
      <c r="E18" s="36">
        <f t="shared" si="4"/>
        <v>1.6</v>
      </c>
      <c r="F18" s="45"/>
      <c r="G18" s="25">
        <f>Rates!I23</f>
        <v>8.0000000000000004E-4</v>
      </c>
      <c r="H18" s="37">
        <f t="shared" ref="H18:H24" si="6">D18</f>
        <v>2000</v>
      </c>
      <c r="I18" s="36">
        <f t="shared" si="5"/>
        <v>1.6</v>
      </c>
      <c r="J18" s="45"/>
      <c r="K18" s="36">
        <f t="shared" ref="K18:K22" si="7">I18-E18</f>
        <v>0</v>
      </c>
      <c r="L18" s="47">
        <f t="shared" ref="L18:L22" si="8">IF((E18)=0," ",K18/E18)</f>
        <v>0</v>
      </c>
    </row>
    <row r="19" spans="2:12" ht="25.5" x14ac:dyDescent="0.2">
      <c r="B19" s="48" t="str">
        <f>Rates!B24</f>
        <v>Rate Rider for Global Adjustment Sub-Account Disposition (2015) - effective until December 31, 2016 Applicable only for Non-RPP Customers</v>
      </c>
      <c r="C19" s="25">
        <f>Rates!E24</f>
        <v>-2.5000000000000001E-3</v>
      </c>
      <c r="D19" s="37">
        <f>C7</f>
        <v>2000</v>
      </c>
      <c r="E19" s="36">
        <f t="shared" si="4"/>
        <v>-5</v>
      </c>
      <c r="F19" s="45"/>
      <c r="G19" s="25">
        <f>Rates!I24</f>
        <v>-2.5000000000000001E-3</v>
      </c>
      <c r="H19" s="37">
        <f t="shared" si="6"/>
        <v>2000</v>
      </c>
      <c r="I19" s="36">
        <f t="shared" si="5"/>
        <v>-5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Rates!B25</f>
        <v>Rate Rider for Deferral/Variance Account Disposition (2016) - effective until December 31, 2017</v>
      </c>
      <c r="C20" s="25">
        <f>Rates!E25</f>
        <v>0</v>
      </c>
      <c r="D20" s="37">
        <f>C7</f>
        <v>2000</v>
      </c>
      <c r="E20" s="36">
        <f t="shared" si="4"/>
        <v>0</v>
      </c>
      <c r="F20" s="45"/>
      <c r="G20" s="25">
        <f>Rates!I25</f>
        <v>-5.9999999999999995E-4</v>
      </c>
      <c r="H20" s="37">
        <f t="shared" si="6"/>
        <v>2000</v>
      </c>
      <c r="I20" s="36">
        <f t="shared" si="5"/>
        <v>-1.2</v>
      </c>
      <c r="J20" s="45"/>
      <c r="K20" s="36">
        <f t="shared" ref="K20:K21" si="9">I20-E20</f>
        <v>-1.2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Rates!B26</f>
        <v>Rate Rider for Global Adjustment Sub-Account Disposition (2016) - effective until December 31, 2017 Applicable only for Non-RPP Customers</v>
      </c>
      <c r="C21" s="25">
        <f>Rates!E26</f>
        <v>0</v>
      </c>
      <c r="D21" s="37">
        <f>C7</f>
        <v>2000</v>
      </c>
      <c r="E21" s="36">
        <f t="shared" si="4"/>
        <v>0</v>
      </c>
      <c r="F21" s="45"/>
      <c r="G21" s="25">
        <f>Rates!I26</f>
        <v>3.7000000000000002E-3</v>
      </c>
      <c r="H21" s="37">
        <f t="shared" si="6"/>
        <v>2000</v>
      </c>
      <c r="I21" s="36">
        <f t="shared" si="5"/>
        <v>7.4</v>
      </c>
      <c r="J21" s="45"/>
      <c r="K21" s="36">
        <f t="shared" si="9"/>
        <v>7.4</v>
      </c>
      <c r="L21" s="47" t="str">
        <f t="shared" si="10"/>
        <v xml:space="preserve"> </v>
      </c>
    </row>
    <row r="22" spans="2:12" x14ac:dyDescent="0.2">
      <c r="B22" s="48" t="str">
        <f>Rates!B27</f>
        <v>Rate Rider for Loss Revenue Adjustment Mechanism (LRAM) - effective until December 31, 2015</v>
      </c>
      <c r="C22" s="25">
        <f>Rates!E27</f>
        <v>4.0000000000000002E-4</v>
      </c>
      <c r="D22" s="37">
        <f>C7</f>
        <v>2000</v>
      </c>
      <c r="E22" s="36">
        <f t="shared" si="4"/>
        <v>0.8</v>
      </c>
      <c r="F22" s="45"/>
      <c r="G22" s="25">
        <f>Rates!I27</f>
        <v>0</v>
      </c>
      <c r="H22" s="37">
        <f t="shared" si="6"/>
        <v>2000</v>
      </c>
      <c r="I22" s="36">
        <f t="shared" si="5"/>
        <v>0</v>
      </c>
      <c r="J22" s="45"/>
      <c r="K22" s="36">
        <f t="shared" si="7"/>
        <v>-0.8</v>
      </c>
      <c r="L22" s="47">
        <f t="shared" si="8"/>
        <v>-1</v>
      </c>
    </row>
    <row r="23" spans="2:12" x14ac:dyDescent="0.2">
      <c r="B23" s="44" t="str">
        <f>Rates!B9</f>
        <v>Low Voltage Service Rate</v>
      </c>
      <c r="C23" s="25">
        <f>Rates!E22</f>
        <v>2.0000000000000001E-4</v>
      </c>
      <c r="D23" s="37">
        <f>C7</f>
        <v>2000</v>
      </c>
      <c r="E23" s="36">
        <f t="shared" si="4"/>
        <v>0.4</v>
      </c>
      <c r="F23" s="45"/>
      <c r="G23" s="25">
        <f>Rates!I22</f>
        <v>2.0000000000000001E-4</v>
      </c>
      <c r="H23" s="37">
        <f t="shared" si="6"/>
        <v>2000</v>
      </c>
      <c r="I23" s="36">
        <f t="shared" si="5"/>
        <v>0.4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4" t="str">
        <f>Rates!B248</f>
        <v>Smart Meter Entity Charge</v>
      </c>
      <c r="C24" s="36">
        <f>Rates!E248</f>
        <v>0.79</v>
      </c>
      <c r="D24" s="37">
        <f>C6</f>
        <v>1</v>
      </c>
      <c r="E24" s="36">
        <f t="shared" si="4"/>
        <v>0.79</v>
      </c>
      <c r="F24" s="45"/>
      <c r="G24" s="36">
        <f>Rates!I248</f>
        <v>0.79</v>
      </c>
      <c r="H24" s="37">
        <f t="shared" si="6"/>
        <v>1</v>
      </c>
      <c r="I24" s="36">
        <f t="shared" si="5"/>
        <v>0.79</v>
      </c>
      <c r="J24" s="45"/>
      <c r="K24" s="36">
        <f t="shared" si="2"/>
        <v>0</v>
      </c>
      <c r="L24" s="47">
        <f t="shared" si="3"/>
        <v>0</v>
      </c>
    </row>
    <row r="25" spans="2:12" x14ac:dyDescent="0.2">
      <c r="B25" s="49" t="s">
        <v>56</v>
      </c>
      <c r="C25" s="50"/>
      <c r="D25" s="51"/>
      <c r="E25" s="52">
        <f>SUM(E16:E24)</f>
        <v>83.480344000000002</v>
      </c>
      <c r="F25" s="53"/>
      <c r="G25" s="50"/>
      <c r="H25" s="51"/>
      <c r="I25" s="52">
        <f>SUM(I16:I24)</f>
        <v>89.920344000000014</v>
      </c>
      <c r="J25" s="53"/>
      <c r="K25" s="54">
        <f t="shared" si="2"/>
        <v>6.4400000000000119</v>
      </c>
      <c r="L25" s="55">
        <f t="shared" si="3"/>
        <v>7.7143908271389158E-2</v>
      </c>
    </row>
    <row r="26" spans="2:12" x14ac:dyDescent="0.2">
      <c r="B26" s="44" t="str">
        <f>Rates!B15</f>
        <v>Retail Transmission Rate - Network Service Rate</v>
      </c>
      <c r="C26" s="25">
        <f>Rates!E28</f>
        <v>6.1999999999999998E-3</v>
      </c>
      <c r="D26" s="37">
        <f>C7*C5</f>
        <v>2108.4</v>
      </c>
      <c r="E26" s="36">
        <f>C26*D26</f>
        <v>13.07208</v>
      </c>
      <c r="F26" s="45"/>
      <c r="G26" s="25">
        <f>Rates!I28</f>
        <v>6.1000000000000004E-3</v>
      </c>
      <c r="H26" s="37">
        <f>D26</f>
        <v>2108.4</v>
      </c>
      <c r="I26" s="36">
        <f>G26*H26</f>
        <v>12.861240000000002</v>
      </c>
      <c r="J26" s="45"/>
      <c r="K26" s="36">
        <f t="shared" si="2"/>
        <v>-0.21083999999999747</v>
      </c>
      <c r="L26" s="47">
        <f t="shared" si="3"/>
        <v>-1.6129032258064325E-2</v>
      </c>
    </row>
    <row r="27" spans="2:12" x14ac:dyDescent="0.2">
      <c r="B27" s="44" t="str">
        <f>Rates!B16</f>
        <v>Retail Transmission Rate - Line and Transformation Connection Service Rate</v>
      </c>
      <c r="C27" s="25">
        <f>Rates!E29</f>
        <v>4.8999999999999998E-3</v>
      </c>
      <c r="D27" s="37">
        <f>C7*C5</f>
        <v>2108.4</v>
      </c>
      <c r="E27" s="36">
        <f>C27*D27</f>
        <v>10.331160000000001</v>
      </c>
      <c r="F27" s="45"/>
      <c r="G27" s="25">
        <f>Rates!I29</f>
        <v>5.0000000000000001E-3</v>
      </c>
      <c r="H27" s="37">
        <f>D27</f>
        <v>2108.4</v>
      </c>
      <c r="I27" s="36">
        <f>G27*H27</f>
        <v>10.542</v>
      </c>
      <c r="J27" s="45"/>
      <c r="K27" s="36">
        <f t="shared" si="2"/>
        <v>0.21083999999999925</v>
      </c>
      <c r="L27" s="47">
        <f t="shared" si="3"/>
        <v>2.0408163265306048E-2</v>
      </c>
    </row>
    <row r="28" spans="2:12" x14ac:dyDescent="0.2">
      <c r="B28" s="49" t="s">
        <v>57</v>
      </c>
      <c r="C28" s="50"/>
      <c r="D28" s="51"/>
      <c r="E28" s="52">
        <f>SUM(E25:E27)</f>
        <v>106.883584</v>
      </c>
      <c r="F28" s="53"/>
      <c r="G28" s="50"/>
      <c r="H28" s="52"/>
      <c r="I28" s="52">
        <f>SUM(I25:I27)</f>
        <v>113.32358400000001</v>
      </c>
      <c r="J28" s="53"/>
      <c r="K28" s="54">
        <f t="shared" si="2"/>
        <v>6.4400000000000119</v>
      </c>
      <c r="L28" s="55">
        <f t="shared" si="3"/>
        <v>6.0252470575837089E-2</v>
      </c>
    </row>
    <row r="29" spans="2:12" x14ac:dyDescent="0.2">
      <c r="B29" s="44" t="str">
        <f>Rates!B244</f>
        <v>Wholesale Market Service Rate</v>
      </c>
      <c r="C29" s="25">
        <f>Rates!E244</f>
        <v>4.4000000000000003E-3</v>
      </c>
      <c r="D29" s="37">
        <f>C5*C7</f>
        <v>2108.4</v>
      </c>
      <c r="E29" s="36">
        <f t="shared" ref="E29:E36" si="11">C29*D29</f>
        <v>9.2769600000000008</v>
      </c>
      <c r="F29" s="45"/>
      <c r="G29" s="25">
        <f>Rates!I244</f>
        <v>3.5999999999999999E-3</v>
      </c>
      <c r="H29" s="37">
        <f>D29</f>
        <v>2108.4</v>
      </c>
      <c r="I29" s="36">
        <f t="shared" ref="I29:I36" si="12">G29*H29</f>
        <v>7.5902400000000005</v>
      </c>
      <c r="J29" s="45"/>
      <c r="K29" s="36">
        <f t="shared" si="2"/>
        <v>-1.6867200000000002</v>
      </c>
      <c r="L29" s="47">
        <f t="shared" si="3"/>
        <v>-0.18181818181818182</v>
      </c>
    </row>
    <row r="30" spans="2:12" x14ac:dyDescent="0.2">
      <c r="B30" s="44" t="str">
        <f>Rates!B245</f>
        <v>Rural Rate Protection Charge</v>
      </c>
      <c r="C30" s="25">
        <f>Rates!E245</f>
        <v>1.2999999999999999E-3</v>
      </c>
      <c r="D30" s="37">
        <f>C5*C7</f>
        <v>2108.4</v>
      </c>
      <c r="E30" s="36">
        <f t="shared" si="11"/>
        <v>2.74092</v>
      </c>
      <c r="F30" s="45"/>
      <c r="G30" s="25">
        <f>Rates!I245</f>
        <v>1.2999999999999999E-3</v>
      </c>
      <c r="H30" s="37">
        <f t="shared" ref="H30:H31" si="13">D30</f>
        <v>2108.4</v>
      </c>
      <c r="I30" s="36">
        <f t="shared" si="12"/>
        <v>2.74092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Rates!B247</f>
        <v>Standard Supply Service - Administrative Charge (if applicable)</v>
      </c>
      <c r="C31" s="36">
        <f>Rates!E247</f>
        <v>0.25</v>
      </c>
      <c r="D31" s="37">
        <v>1</v>
      </c>
      <c r="E31" s="36">
        <f t="shared" si="11"/>
        <v>0.25</v>
      </c>
      <c r="F31" s="45"/>
      <c r="G31" s="36">
        <f>Rates!I247</f>
        <v>0.25</v>
      </c>
      <c r="H31" s="37">
        <f t="shared" si="13"/>
        <v>1</v>
      </c>
      <c r="I31" s="36">
        <f t="shared" si="12"/>
        <v>0.25</v>
      </c>
      <c r="J31" s="45"/>
      <c r="K31" s="36">
        <f t="shared" si="2"/>
        <v>0</v>
      </c>
      <c r="L31" s="47">
        <f t="shared" si="3"/>
        <v>0</v>
      </c>
    </row>
    <row r="32" spans="2:12" x14ac:dyDescent="0.2">
      <c r="B32" s="44" t="str">
        <f>Rates!B250</f>
        <v>Debt Retirement Charge</v>
      </c>
      <c r="C32" s="25">
        <f>Rates!E251</f>
        <v>0</v>
      </c>
      <c r="D32" s="37">
        <f>C7</f>
        <v>2000</v>
      </c>
      <c r="E32" s="36">
        <f t="shared" si="11"/>
        <v>0</v>
      </c>
      <c r="F32" s="45"/>
      <c r="G32" s="25">
        <f>Rates!I251</f>
        <v>0</v>
      </c>
      <c r="H32" s="37">
        <f>D32</f>
        <v>2000</v>
      </c>
      <c r="I32" s="36">
        <f t="shared" si="12"/>
        <v>0</v>
      </c>
      <c r="J32" s="45"/>
      <c r="K32" s="36">
        <f t="shared" si="2"/>
        <v>0</v>
      </c>
      <c r="L32" s="47" t="str">
        <f t="shared" si="3"/>
        <v xml:space="preserve"> </v>
      </c>
    </row>
    <row r="33" spans="2:12" x14ac:dyDescent="0.2">
      <c r="B33" s="44" t="str">
        <f>Rates!B246</f>
        <v>Ontario Electricity Support Program</v>
      </c>
      <c r="C33" s="25"/>
      <c r="D33" s="37"/>
      <c r="E33" s="36"/>
      <c r="F33" s="45"/>
      <c r="G33" s="25">
        <f>Rates!I246</f>
        <v>1.1000000000000001E-3</v>
      </c>
      <c r="H33" s="37">
        <f>C7</f>
        <v>2000</v>
      </c>
      <c r="I33" s="36">
        <f t="shared" si="12"/>
        <v>2.2000000000000002</v>
      </c>
      <c r="J33" s="45"/>
      <c r="K33" s="36"/>
      <c r="L33" s="47"/>
    </row>
    <row r="34" spans="2:12" x14ac:dyDescent="0.2">
      <c r="B34" s="44" t="str">
        <f>Rates!B263</f>
        <v>TOU - Off Peak</v>
      </c>
      <c r="C34" s="25">
        <f>Rates!E263</f>
        <v>8.3000000000000004E-2</v>
      </c>
      <c r="D34" s="37">
        <f>C7*0.64</f>
        <v>1280</v>
      </c>
      <c r="E34" s="36">
        <f t="shared" si="11"/>
        <v>106.24000000000001</v>
      </c>
      <c r="F34" s="45"/>
      <c r="G34" s="25">
        <f>Rates!I263</f>
        <v>8.3000000000000004E-2</v>
      </c>
      <c r="H34" s="37">
        <f>D34</f>
        <v>1280</v>
      </c>
      <c r="I34" s="36">
        <f t="shared" si="12"/>
        <v>106.24000000000001</v>
      </c>
      <c r="J34" s="45"/>
      <c r="K34" s="36">
        <f t="shared" si="2"/>
        <v>0</v>
      </c>
      <c r="L34" s="47">
        <f t="shared" si="3"/>
        <v>0</v>
      </c>
    </row>
    <row r="35" spans="2:12" x14ac:dyDescent="0.2">
      <c r="B35" s="44" t="str">
        <f>Rates!B264</f>
        <v>TOU - Mid Peak</v>
      </c>
      <c r="C35" s="25">
        <f>Rates!E264</f>
        <v>0.128</v>
      </c>
      <c r="D35" s="37">
        <f>C7*0.18</f>
        <v>360</v>
      </c>
      <c r="E35" s="36">
        <f t="shared" si="11"/>
        <v>46.08</v>
      </c>
      <c r="F35" s="45"/>
      <c r="G35" s="25">
        <f>Rates!I264</f>
        <v>0.128</v>
      </c>
      <c r="H35" s="37">
        <f t="shared" ref="H35:H36" si="14">D35</f>
        <v>360</v>
      </c>
      <c r="I35" s="36">
        <f t="shared" si="12"/>
        <v>46.08</v>
      </c>
      <c r="J35" s="45"/>
      <c r="K35" s="36">
        <f t="shared" si="2"/>
        <v>0</v>
      </c>
      <c r="L35" s="47">
        <f t="shared" si="3"/>
        <v>0</v>
      </c>
    </row>
    <row r="36" spans="2:12" x14ac:dyDescent="0.2">
      <c r="B36" s="44" t="str">
        <f>Rates!B265</f>
        <v>TOU - On Peak</v>
      </c>
      <c r="C36" s="25">
        <f>Rates!E265</f>
        <v>0.17499999999999999</v>
      </c>
      <c r="D36" s="37">
        <f>C7*0.18</f>
        <v>360</v>
      </c>
      <c r="E36" s="36">
        <f t="shared" si="11"/>
        <v>62.999999999999993</v>
      </c>
      <c r="F36" s="45"/>
      <c r="G36" s="25">
        <f>Rates!I265</f>
        <v>0.17499999999999999</v>
      </c>
      <c r="H36" s="37">
        <f t="shared" si="14"/>
        <v>360</v>
      </c>
      <c r="I36" s="36">
        <f t="shared" si="12"/>
        <v>62.999999999999993</v>
      </c>
      <c r="J36" s="45"/>
      <c r="K36" s="36">
        <f t="shared" si="2"/>
        <v>0</v>
      </c>
      <c r="L36" s="47">
        <f t="shared" si="3"/>
        <v>0</v>
      </c>
    </row>
    <row r="37" spans="2:12" x14ac:dyDescent="0.2">
      <c r="B37" s="56"/>
      <c r="C37" s="51"/>
      <c r="D37" s="51"/>
      <c r="E37" s="51"/>
      <c r="F37" s="53"/>
      <c r="G37" s="51"/>
      <c r="H37" s="51"/>
      <c r="I37" s="51"/>
      <c r="J37" s="53"/>
      <c r="K37" s="54"/>
      <c r="L37" s="55"/>
    </row>
    <row r="38" spans="2:12" x14ac:dyDescent="0.2">
      <c r="B38" s="23" t="s">
        <v>58</v>
      </c>
      <c r="C38" s="35"/>
      <c r="D38" s="35"/>
      <c r="E38" s="39">
        <f>SUM(E28:E36)</f>
        <v>334.47146400000003</v>
      </c>
      <c r="F38" s="45"/>
      <c r="G38" s="35"/>
      <c r="H38" s="39"/>
      <c r="I38" s="39">
        <f>SUM(I28:I36)</f>
        <v>341.42474400000003</v>
      </c>
      <c r="J38" s="45"/>
      <c r="K38" s="36">
        <f t="shared" si="2"/>
        <v>6.9532800000000066</v>
      </c>
      <c r="L38" s="47">
        <f t="shared" si="3"/>
        <v>2.0788858687209279E-2</v>
      </c>
    </row>
    <row r="39" spans="2:12" x14ac:dyDescent="0.2">
      <c r="B39" s="44" t="str">
        <f>Rates!B269</f>
        <v>HST</v>
      </c>
      <c r="C39" s="41">
        <f>Rates!E269</f>
        <v>0.13</v>
      </c>
      <c r="D39" s="35"/>
      <c r="E39" s="42">
        <f>E38*C39</f>
        <v>43.481290320000006</v>
      </c>
      <c r="F39" s="45"/>
      <c r="G39" s="41">
        <f>Rates!I269</f>
        <v>0.13</v>
      </c>
      <c r="H39" s="35"/>
      <c r="I39" s="42">
        <f>I38*G39</f>
        <v>44.385216720000003</v>
      </c>
      <c r="J39" s="45"/>
      <c r="K39" s="36">
        <f t="shared" si="2"/>
        <v>0.90392639999999602</v>
      </c>
      <c r="L39" s="47">
        <f t="shared" si="3"/>
        <v>2.0788858687209168E-2</v>
      </c>
    </row>
    <row r="40" spans="2:12" x14ac:dyDescent="0.2">
      <c r="B40" s="23" t="s">
        <v>59</v>
      </c>
      <c r="C40" s="35"/>
      <c r="D40" s="35"/>
      <c r="E40" s="42">
        <f>E38+E39</f>
        <v>377.95275432000005</v>
      </c>
      <c r="F40" s="45"/>
      <c r="G40" s="35"/>
      <c r="H40" s="35"/>
      <c r="I40" s="42">
        <f>I38+I39</f>
        <v>385.80996072000005</v>
      </c>
      <c r="J40" s="45"/>
      <c r="K40" s="36">
        <f t="shared" si="2"/>
        <v>7.8572063999999955</v>
      </c>
      <c r="L40" s="47">
        <f t="shared" si="3"/>
        <v>2.0788858687209248E-2</v>
      </c>
    </row>
    <row r="41" spans="2:12" x14ac:dyDescent="0.2">
      <c r="B41" s="44" t="str">
        <f>Rates!B271</f>
        <v>OCEB</v>
      </c>
      <c r="C41" s="41">
        <f>Rates!E271</f>
        <v>-0.1</v>
      </c>
      <c r="D41" s="35"/>
      <c r="E41" s="42">
        <f>E40*C41</f>
        <v>-37.795275432000004</v>
      </c>
      <c r="F41" s="45"/>
      <c r="G41" s="41">
        <f>Rates!I271</f>
        <v>0</v>
      </c>
      <c r="H41" s="35"/>
      <c r="I41" s="42">
        <f>I40*G41</f>
        <v>0</v>
      </c>
      <c r="J41" s="45"/>
      <c r="K41" s="36">
        <f t="shared" si="2"/>
        <v>37.795275432000004</v>
      </c>
      <c r="L41" s="47">
        <f t="shared" si="3"/>
        <v>-1</v>
      </c>
    </row>
    <row r="42" spans="2:12" ht="13.5" thickBot="1" x14ac:dyDescent="0.25">
      <c r="B42" s="30" t="s">
        <v>60</v>
      </c>
      <c r="C42" s="57"/>
      <c r="D42" s="57"/>
      <c r="E42" s="58">
        <f>E40+E41</f>
        <v>340.15747888800007</v>
      </c>
      <c r="F42" s="59"/>
      <c r="G42" s="57"/>
      <c r="H42" s="57"/>
      <c r="I42" s="58">
        <f>I40+I41</f>
        <v>385.80996072000005</v>
      </c>
      <c r="J42" s="59"/>
      <c r="K42" s="60">
        <f t="shared" si="2"/>
        <v>45.652481831999978</v>
      </c>
      <c r="L42" s="61">
        <f t="shared" si="3"/>
        <v>0.13420984298578797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L39"/>
  <sheetViews>
    <sheetView showGridLines="0" topLeftCell="B1" workbookViewId="0">
      <selection activeCell="C3" sqref="C3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4" max="4" width="9.28515625" customWidth="1"/>
    <col min="5" max="5" width="10.28515625" bestFit="1" customWidth="1"/>
    <col min="6" max="6" width="1.7109375" customWidth="1"/>
    <col min="9" max="9" width="10.28515625" bestFit="1" customWidth="1"/>
    <col min="10" max="10" width="1.7109375" customWidth="1"/>
    <col min="11" max="11" width="9.85546875" bestFit="1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Rates!B3</f>
        <v>CNPI - Fort Erie</v>
      </c>
    </row>
    <row r="3" spans="2:12" ht="15.75" x14ac:dyDescent="0.25">
      <c r="B3" s="24" t="str">
        <f>Rates!B31</f>
        <v>General Service 50kW to 4,999kW</v>
      </c>
      <c r="C3" s="1" t="s">
        <v>103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68620</v>
      </c>
    </row>
    <row r="8" spans="2:12" x14ac:dyDescent="0.2">
      <c r="B8" s="28" t="s">
        <v>63</v>
      </c>
      <c r="C8" s="29">
        <v>200</v>
      </c>
    </row>
    <row r="9" spans="2:12" ht="13.5" thickBot="1" x14ac:dyDescent="0.25">
      <c r="B9" s="30" t="s">
        <v>64</v>
      </c>
      <c r="C9" s="31">
        <f>IF(C8=0,"n/a",C7/(C8*24*365/12))</f>
        <v>0.47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Rates!E32</f>
        <v>149.36000000000001</v>
      </c>
      <c r="D14" s="37">
        <f>C6</f>
        <v>1</v>
      </c>
      <c r="E14" s="36">
        <f>C14*D14</f>
        <v>149.36000000000001</v>
      </c>
      <c r="F14" s="45"/>
      <c r="G14" s="36">
        <f>Rates!I32</f>
        <v>151.83000000000001</v>
      </c>
      <c r="H14" s="37">
        <f>D14</f>
        <v>1</v>
      </c>
      <c r="I14" s="36">
        <f>G14*H14</f>
        <v>151.83000000000001</v>
      </c>
      <c r="J14" s="45"/>
      <c r="K14" s="36">
        <f>I14-E14</f>
        <v>2.4699999999999989</v>
      </c>
      <c r="L14" s="47">
        <f>IF((E14)=0," ",K14/E14)</f>
        <v>1.6537225495447231E-2</v>
      </c>
    </row>
    <row r="15" spans="2:12" x14ac:dyDescent="0.2">
      <c r="B15" s="44" t="str">
        <f>Rates!B8</f>
        <v>Distribution Volumetric Rate</v>
      </c>
      <c r="C15" s="25">
        <f>Rates!E33</f>
        <v>6.5800999999999998</v>
      </c>
      <c r="D15" s="38">
        <f>C8</f>
        <v>200</v>
      </c>
      <c r="E15" s="36">
        <f t="shared" ref="E15" si="0">C15*D15</f>
        <v>1316.02</v>
      </c>
      <c r="F15" s="45"/>
      <c r="G15" s="25">
        <f>Rates!I33</f>
        <v>6.6886999999999999</v>
      </c>
      <c r="H15" s="38">
        <f>D15</f>
        <v>200</v>
      </c>
      <c r="I15" s="36">
        <f t="shared" ref="I15" si="1">G15*H15</f>
        <v>1337.74</v>
      </c>
      <c r="J15" s="45"/>
      <c r="K15" s="36">
        <f t="shared" ref="K15:K39" si="2">I15-E15</f>
        <v>21.720000000000027</v>
      </c>
      <c r="L15" s="47">
        <f t="shared" ref="L15:L39" si="3">IF((E15)=0," ",K15/E15)</f>
        <v>1.6504308445160428E-2</v>
      </c>
    </row>
    <row r="16" spans="2:12" x14ac:dyDescent="0.2">
      <c r="B16" s="49" t="s">
        <v>36</v>
      </c>
      <c r="C16" s="50"/>
      <c r="D16" s="51"/>
      <c r="E16" s="52">
        <f>SUM(E14:E15)</f>
        <v>1465.38</v>
      </c>
      <c r="F16" s="53"/>
      <c r="G16" s="50"/>
      <c r="H16" s="51"/>
      <c r="I16" s="52">
        <f>SUM(I14:I15)</f>
        <v>1489.57</v>
      </c>
      <c r="J16" s="53"/>
      <c r="K16" s="54">
        <f t="shared" si="2"/>
        <v>24.189999999999827</v>
      </c>
      <c r="L16" s="55">
        <f t="shared" si="3"/>
        <v>1.6507663541197384E-2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3719.204000000002</v>
      </c>
      <c r="E17" s="36">
        <f t="shared" ref="E17:E23" si="4">C17*D17</f>
        <v>400.40950264000026</v>
      </c>
      <c r="F17" s="45"/>
      <c r="G17" s="25">
        <f>Rates!I267</f>
        <v>0.10766000000000001</v>
      </c>
      <c r="H17" s="40">
        <f>(C5-1)*C7</f>
        <v>3719.204000000002</v>
      </c>
      <c r="I17" s="36">
        <f t="shared" ref="I17:I23" si="5">G17*H17</f>
        <v>400.40950264000026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Rates!B35</f>
        <v>Rate Rider for Deferral/Variance Account Disposition (2015) - effective until December 31, 2016</v>
      </c>
      <c r="C18" s="25">
        <f>Rates!E35</f>
        <v>0.26019999999999999</v>
      </c>
      <c r="D18" s="37">
        <f>C8</f>
        <v>200</v>
      </c>
      <c r="E18" s="36">
        <f t="shared" si="4"/>
        <v>52.04</v>
      </c>
      <c r="F18" s="45"/>
      <c r="G18" s="25">
        <f>Rates!I35</f>
        <v>0.26019999999999999</v>
      </c>
      <c r="H18" s="37">
        <f t="shared" ref="H18:H23" si="6">D18</f>
        <v>200</v>
      </c>
      <c r="I18" s="36">
        <f t="shared" si="5"/>
        <v>52.04</v>
      </c>
      <c r="J18" s="45"/>
      <c r="K18" s="36">
        <f t="shared" ref="K18:K22" si="7">I18-E18</f>
        <v>0</v>
      </c>
      <c r="L18" s="47">
        <f t="shared" ref="L18:L22" si="8">IF((E18)=0," ",K18/E18)</f>
        <v>0</v>
      </c>
    </row>
    <row r="19" spans="2:12" ht="25.5" x14ac:dyDescent="0.2">
      <c r="B19" s="48" t="str">
        <f>Rates!B36</f>
        <v>Rate Rider for Global Adjustment Sub-Account Disposition (2015) - effective until December 31, 2016 Applicable only for Non-RPP Customers</v>
      </c>
      <c r="C19" s="25">
        <f>Rates!E36</f>
        <v>-0.8619</v>
      </c>
      <c r="D19" s="37">
        <f>C8</f>
        <v>200</v>
      </c>
      <c r="E19" s="36">
        <f t="shared" si="4"/>
        <v>-172.38</v>
      </c>
      <c r="F19" s="45"/>
      <c r="G19" s="25">
        <f>Rates!I36</f>
        <v>-0.8619</v>
      </c>
      <c r="H19" s="37">
        <f t="shared" si="6"/>
        <v>200</v>
      </c>
      <c r="I19" s="36">
        <f t="shared" si="5"/>
        <v>-172.38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Rates!B37</f>
        <v>Rate Rider for Deferral/Variance Account Disposition (2016) - effective until December 31, 2017</v>
      </c>
      <c r="C20" s="25">
        <f>Rates!E37</f>
        <v>0</v>
      </c>
      <c r="D20" s="37">
        <f>C8</f>
        <v>200</v>
      </c>
      <c r="E20" s="36">
        <f t="shared" si="4"/>
        <v>0</v>
      </c>
      <c r="F20" s="45"/>
      <c r="G20" s="25">
        <f>Rates!I37</f>
        <v>-0.1678</v>
      </c>
      <c r="H20" s="37">
        <f t="shared" si="6"/>
        <v>200</v>
      </c>
      <c r="I20" s="36">
        <f t="shared" si="5"/>
        <v>-33.56</v>
      </c>
      <c r="J20" s="45"/>
      <c r="K20" s="36">
        <f t="shared" ref="K20:K21" si="9">I20-E20</f>
        <v>-33.56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Rates!B38</f>
        <v>Rate Rider for Global Adjustment Sub-Account Disposition (2016) - effective until December 31, 2017 Applicable only for Non-RPP Customers</v>
      </c>
      <c r="C21" s="25">
        <f>Rates!E38</f>
        <v>0</v>
      </c>
      <c r="D21" s="37">
        <f>C8</f>
        <v>200</v>
      </c>
      <c r="E21" s="36">
        <f t="shared" si="4"/>
        <v>0</v>
      </c>
      <c r="F21" s="45"/>
      <c r="G21" s="25">
        <f>Rates!I38</f>
        <v>1.4104000000000001</v>
      </c>
      <c r="H21" s="37">
        <f t="shared" si="6"/>
        <v>200</v>
      </c>
      <c r="I21" s="36">
        <f t="shared" si="5"/>
        <v>282.08000000000004</v>
      </c>
      <c r="J21" s="45"/>
      <c r="K21" s="36">
        <f t="shared" si="9"/>
        <v>282.08000000000004</v>
      </c>
      <c r="L21" s="47" t="str">
        <f t="shared" si="10"/>
        <v xml:space="preserve"> </v>
      </c>
    </row>
    <row r="22" spans="2:12" x14ac:dyDescent="0.2">
      <c r="B22" s="48" t="str">
        <f>Rates!B39</f>
        <v>Rate Rider for Loss Revenue Adjustment Mechanism (LRAM) - effective until December 31, 2015</v>
      </c>
      <c r="C22" s="25">
        <f>Rates!E39</f>
        <v>4.41E-2</v>
      </c>
      <c r="D22" s="37">
        <f>C8</f>
        <v>200</v>
      </c>
      <c r="E22" s="36">
        <f t="shared" si="4"/>
        <v>8.82</v>
      </c>
      <c r="F22" s="45"/>
      <c r="G22" s="25">
        <f>Rates!I39</f>
        <v>0</v>
      </c>
      <c r="H22" s="37">
        <f t="shared" si="6"/>
        <v>200</v>
      </c>
      <c r="I22" s="36">
        <f t="shared" si="5"/>
        <v>0</v>
      </c>
      <c r="J22" s="45"/>
      <c r="K22" s="36">
        <f t="shared" si="7"/>
        <v>-8.82</v>
      </c>
      <c r="L22" s="47">
        <f t="shared" si="8"/>
        <v>-1</v>
      </c>
    </row>
    <row r="23" spans="2:12" x14ac:dyDescent="0.2">
      <c r="B23" s="44" t="str">
        <f>Rates!B9</f>
        <v>Low Voltage Service Rate</v>
      </c>
      <c r="C23" s="25">
        <f>Rates!E34</f>
        <v>7.3499999999999996E-2</v>
      </c>
      <c r="D23" s="37">
        <f>C8</f>
        <v>200</v>
      </c>
      <c r="E23" s="36">
        <f t="shared" si="4"/>
        <v>14.7</v>
      </c>
      <c r="F23" s="45"/>
      <c r="G23" s="25">
        <f>Rates!I34</f>
        <v>7.3499999999999996E-2</v>
      </c>
      <c r="H23" s="37">
        <f t="shared" si="6"/>
        <v>200</v>
      </c>
      <c r="I23" s="36">
        <f t="shared" si="5"/>
        <v>14.7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9" t="s">
        <v>56</v>
      </c>
      <c r="C24" s="50"/>
      <c r="D24" s="51"/>
      <c r="E24" s="52">
        <f>SUM(E16:E23)</f>
        <v>1768.9695026400004</v>
      </c>
      <c r="F24" s="53"/>
      <c r="G24" s="50"/>
      <c r="H24" s="51"/>
      <c r="I24" s="52">
        <f>SUM(I16:I23)</f>
        <v>2032.8595026400001</v>
      </c>
      <c r="J24" s="53"/>
      <c r="K24" s="54">
        <f t="shared" si="2"/>
        <v>263.88999999999965</v>
      </c>
      <c r="L24" s="55">
        <f t="shared" si="3"/>
        <v>0.14917724675647129</v>
      </c>
    </row>
    <row r="25" spans="2:12" x14ac:dyDescent="0.2">
      <c r="B25" s="44" t="str">
        <f>Rates!B15</f>
        <v>Retail Transmission Rate - Network Service Rate</v>
      </c>
      <c r="C25" s="25">
        <f>Rates!E40</f>
        <v>2.6433</v>
      </c>
      <c r="D25" s="37">
        <f>C8</f>
        <v>200</v>
      </c>
      <c r="E25" s="36">
        <f>C25*D25</f>
        <v>528.66</v>
      </c>
      <c r="F25" s="45"/>
      <c r="G25" s="25">
        <f>Rates!I40</f>
        <v>2.5966</v>
      </c>
      <c r="H25" s="37">
        <f>D25</f>
        <v>200</v>
      </c>
      <c r="I25" s="36">
        <f>G25*H25</f>
        <v>519.32000000000005</v>
      </c>
      <c r="J25" s="45"/>
      <c r="K25" s="36">
        <f t="shared" si="2"/>
        <v>-9.3399999999999181</v>
      </c>
      <c r="L25" s="47">
        <f t="shared" si="3"/>
        <v>-1.766730980214111E-2</v>
      </c>
    </row>
    <row r="26" spans="2:12" x14ac:dyDescent="0.2">
      <c r="B26" s="44" t="str">
        <f>Rates!B16</f>
        <v>Retail Transmission Rate - Line and Transformation Connection Service Rate</v>
      </c>
      <c r="C26" s="25">
        <f>Rates!E41</f>
        <v>2.0314999999999999</v>
      </c>
      <c r="D26" s="37">
        <f>C8</f>
        <v>200</v>
      </c>
      <c r="E26" s="36">
        <f>C26*D26</f>
        <v>406.29999999999995</v>
      </c>
      <c r="F26" s="45"/>
      <c r="G26" s="25">
        <f>Rates!I41</f>
        <v>2.0802999999999998</v>
      </c>
      <c r="H26" s="37">
        <f>D26</f>
        <v>200</v>
      </c>
      <c r="I26" s="36">
        <f>G26*H26</f>
        <v>416.05999999999995</v>
      </c>
      <c r="J26" s="45"/>
      <c r="K26" s="36">
        <f t="shared" si="2"/>
        <v>9.7599999999999909</v>
      </c>
      <c r="L26" s="47">
        <f t="shared" si="3"/>
        <v>2.4021658872754103E-2</v>
      </c>
    </row>
    <row r="27" spans="2:12" x14ac:dyDescent="0.2">
      <c r="B27" s="49" t="s">
        <v>57</v>
      </c>
      <c r="C27" s="50"/>
      <c r="D27" s="51"/>
      <c r="E27" s="52">
        <f>SUM(E24:E26)</f>
        <v>2703.9295026400005</v>
      </c>
      <c r="F27" s="53"/>
      <c r="G27" s="50"/>
      <c r="H27" s="52"/>
      <c r="I27" s="52">
        <f>SUM(I24:I26)</f>
        <v>2968.23950264</v>
      </c>
      <c r="J27" s="53"/>
      <c r="K27" s="54">
        <f t="shared" si="2"/>
        <v>264.30999999999949</v>
      </c>
      <c r="L27" s="55">
        <f t="shared" si="3"/>
        <v>9.7750329563673383E-2</v>
      </c>
    </row>
    <row r="28" spans="2:12" x14ac:dyDescent="0.2">
      <c r="B28" s="44" t="str">
        <f>Rates!B244</f>
        <v>Wholesale Market Service Rate</v>
      </c>
      <c r="C28" s="25">
        <f>Rates!E244</f>
        <v>4.4000000000000003E-3</v>
      </c>
      <c r="D28" s="37">
        <f>C5*C7</f>
        <v>72339.203999999998</v>
      </c>
      <c r="E28" s="36">
        <f t="shared" ref="E28:E33" si="11">C28*D28</f>
        <v>318.29249759999999</v>
      </c>
      <c r="F28" s="45"/>
      <c r="G28" s="25">
        <f>Rates!I244</f>
        <v>3.5999999999999999E-3</v>
      </c>
      <c r="H28" s="37">
        <f>D28</f>
        <v>72339.203999999998</v>
      </c>
      <c r="I28" s="36">
        <f t="shared" ref="I28:I33" si="12">G28*H28</f>
        <v>260.42113439999997</v>
      </c>
      <c r="J28" s="45"/>
      <c r="K28" s="36">
        <f t="shared" si="2"/>
        <v>-57.871363200000019</v>
      </c>
      <c r="L28" s="47">
        <f t="shared" si="3"/>
        <v>-0.18181818181818188</v>
      </c>
    </row>
    <row r="29" spans="2:12" x14ac:dyDescent="0.2">
      <c r="B29" s="44" t="str">
        <f>Rates!B245</f>
        <v>Rural Rate Protection Charge</v>
      </c>
      <c r="C29" s="25">
        <f>Rates!E245</f>
        <v>1.2999999999999999E-3</v>
      </c>
      <c r="D29" s="37">
        <f>C5*C7</f>
        <v>72339.203999999998</v>
      </c>
      <c r="E29" s="36">
        <f t="shared" si="11"/>
        <v>94.040965199999988</v>
      </c>
      <c r="F29" s="45"/>
      <c r="G29" s="25">
        <f>Rates!I245</f>
        <v>1.2999999999999999E-3</v>
      </c>
      <c r="H29" s="37">
        <f t="shared" ref="H29:H30" si="13">D29</f>
        <v>72339.203999999998</v>
      </c>
      <c r="I29" s="36">
        <f t="shared" si="12"/>
        <v>94.040965199999988</v>
      </c>
      <c r="J29" s="45"/>
      <c r="K29" s="36">
        <f t="shared" si="2"/>
        <v>0</v>
      </c>
      <c r="L29" s="47">
        <f t="shared" si="3"/>
        <v>0</v>
      </c>
    </row>
    <row r="30" spans="2:12" x14ac:dyDescent="0.2">
      <c r="B30" s="44" t="str">
        <f>Rates!B247</f>
        <v>Standard Supply Service - Administrative Charge (if applicable)</v>
      </c>
      <c r="C30" s="36">
        <f>Rates!E247</f>
        <v>0.25</v>
      </c>
      <c r="D30" s="37">
        <v>1</v>
      </c>
      <c r="E30" s="36">
        <f t="shared" si="11"/>
        <v>0.25</v>
      </c>
      <c r="F30" s="45"/>
      <c r="G30" s="36">
        <f>Rates!I247</f>
        <v>0.25</v>
      </c>
      <c r="H30" s="37">
        <f t="shared" si="13"/>
        <v>1</v>
      </c>
      <c r="I30" s="36">
        <f t="shared" si="12"/>
        <v>0.25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Rates!B250</f>
        <v>Debt Retirement Charge</v>
      </c>
      <c r="C31" s="25">
        <f>Rates!E251</f>
        <v>0</v>
      </c>
      <c r="D31" s="37">
        <f>C7</f>
        <v>68620</v>
      </c>
      <c r="E31" s="36">
        <f t="shared" si="11"/>
        <v>0</v>
      </c>
      <c r="F31" s="45"/>
      <c r="G31" s="25">
        <f>Rates!I251</f>
        <v>0</v>
      </c>
      <c r="H31" s="37">
        <f>D31</f>
        <v>68620</v>
      </c>
      <c r="I31" s="36">
        <f t="shared" si="12"/>
        <v>0</v>
      </c>
      <c r="J31" s="45"/>
      <c r="K31" s="36">
        <f t="shared" si="2"/>
        <v>0</v>
      </c>
      <c r="L31" s="47" t="str">
        <f t="shared" si="3"/>
        <v xml:space="preserve"> </v>
      </c>
    </row>
    <row r="32" spans="2:12" x14ac:dyDescent="0.2">
      <c r="B32" s="44" t="str">
        <f>Rates!B246</f>
        <v>Ontario Electricity Support Program</v>
      </c>
      <c r="C32" s="25"/>
      <c r="D32" s="37"/>
      <c r="E32" s="36"/>
      <c r="F32" s="45"/>
      <c r="G32" s="25">
        <f>Rates!I246</f>
        <v>1.1000000000000001E-3</v>
      </c>
      <c r="H32" s="37">
        <f>C7</f>
        <v>68620</v>
      </c>
      <c r="I32" s="36">
        <f t="shared" si="12"/>
        <v>75.481999999999999</v>
      </c>
      <c r="J32" s="45"/>
      <c r="K32" s="36"/>
      <c r="L32" s="47"/>
    </row>
    <row r="33" spans="2:12" x14ac:dyDescent="0.2">
      <c r="B33" s="44" t="str">
        <f>Rates!B267</f>
        <v>Energy Price</v>
      </c>
      <c r="C33" s="25">
        <f>Rates!E267</f>
        <v>0.10766000000000001</v>
      </c>
      <c r="D33" s="37">
        <f>C7</f>
        <v>68620</v>
      </c>
      <c r="E33" s="36">
        <f t="shared" si="11"/>
        <v>7387.6292000000003</v>
      </c>
      <c r="F33" s="45"/>
      <c r="G33" s="25">
        <f>Rates!I267</f>
        <v>0.10766000000000001</v>
      </c>
      <c r="H33" s="37">
        <f>D33</f>
        <v>68620</v>
      </c>
      <c r="I33" s="36">
        <f t="shared" si="12"/>
        <v>7387.6292000000003</v>
      </c>
      <c r="J33" s="45"/>
      <c r="K33" s="36">
        <f t="shared" si="2"/>
        <v>0</v>
      </c>
      <c r="L33" s="47">
        <f t="shared" si="3"/>
        <v>0</v>
      </c>
    </row>
    <row r="34" spans="2:12" x14ac:dyDescent="0.2">
      <c r="B34" s="56"/>
      <c r="C34" s="51"/>
      <c r="D34" s="51"/>
      <c r="E34" s="51"/>
      <c r="F34" s="53"/>
      <c r="G34" s="51"/>
      <c r="H34" s="51"/>
      <c r="I34" s="51"/>
      <c r="J34" s="53"/>
      <c r="K34" s="54"/>
      <c r="L34" s="55"/>
    </row>
    <row r="35" spans="2:12" x14ac:dyDescent="0.2">
      <c r="B35" s="23" t="s">
        <v>58</v>
      </c>
      <c r="C35" s="35"/>
      <c r="D35" s="35"/>
      <c r="E35" s="39">
        <f>SUM(E27:E33)</f>
        <v>10504.14216544</v>
      </c>
      <c r="F35" s="45"/>
      <c r="G35" s="35"/>
      <c r="H35" s="39"/>
      <c r="I35" s="39">
        <f>SUM(I27:I33)</f>
        <v>10786.06280224</v>
      </c>
      <c r="J35" s="45"/>
      <c r="K35" s="36">
        <f t="shared" si="2"/>
        <v>281.92063679999956</v>
      </c>
      <c r="L35" s="47">
        <f t="shared" si="3"/>
        <v>2.6838996689092353E-2</v>
      </c>
    </row>
    <row r="36" spans="2:12" x14ac:dyDescent="0.2">
      <c r="B36" s="44" t="str">
        <f>Rates!B269</f>
        <v>HST</v>
      </c>
      <c r="C36" s="41">
        <f>Rates!E269</f>
        <v>0.13</v>
      </c>
      <c r="D36" s="35"/>
      <c r="E36" s="42">
        <f>E35*C36</f>
        <v>1365.5384815072</v>
      </c>
      <c r="F36" s="45"/>
      <c r="G36" s="41">
        <f>Rates!I269</f>
        <v>0.13</v>
      </c>
      <c r="H36" s="35"/>
      <c r="I36" s="42">
        <f>I35*G36</f>
        <v>1402.1881642912001</v>
      </c>
      <c r="J36" s="45"/>
      <c r="K36" s="36">
        <f t="shared" si="2"/>
        <v>36.649682784000106</v>
      </c>
      <c r="L36" s="47">
        <f t="shared" si="3"/>
        <v>2.6838996689092474E-2</v>
      </c>
    </row>
    <row r="37" spans="2:12" x14ac:dyDescent="0.2">
      <c r="B37" s="23" t="s">
        <v>59</v>
      </c>
      <c r="C37" s="35"/>
      <c r="D37" s="35"/>
      <c r="E37" s="42">
        <f>E35+E36</f>
        <v>11869.680646947199</v>
      </c>
      <c r="F37" s="45"/>
      <c r="G37" s="35"/>
      <c r="H37" s="35"/>
      <c r="I37" s="42">
        <f>I35+I36</f>
        <v>12188.250966531199</v>
      </c>
      <c r="J37" s="45"/>
      <c r="K37" s="36">
        <f t="shared" si="2"/>
        <v>318.57031958399966</v>
      </c>
      <c r="L37" s="47">
        <f t="shared" si="3"/>
        <v>2.683899668909237E-2</v>
      </c>
    </row>
    <row r="38" spans="2:12" x14ac:dyDescent="0.2">
      <c r="B38" s="44" t="str">
        <f>Rates!B271</f>
        <v>OCEB</v>
      </c>
      <c r="C38" s="41"/>
      <c r="D38" s="35"/>
      <c r="E38" s="42">
        <f>E37*C38</f>
        <v>0</v>
      </c>
      <c r="F38" s="45"/>
      <c r="G38" s="41">
        <f>Rates!I271</f>
        <v>0</v>
      </c>
      <c r="H38" s="35"/>
      <c r="I38" s="42">
        <f>I37*G38</f>
        <v>0</v>
      </c>
      <c r="J38" s="45"/>
      <c r="K38" s="36">
        <f t="shared" si="2"/>
        <v>0</v>
      </c>
      <c r="L38" s="47" t="str">
        <f t="shared" si="3"/>
        <v xml:space="preserve"> </v>
      </c>
    </row>
    <row r="39" spans="2:12" ht="13.5" thickBot="1" x14ac:dyDescent="0.25">
      <c r="B39" s="30" t="s">
        <v>60</v>
      </c>
      <c r="C39" s="57"/>
      <c r="D39" s="57"/>
      <c r="E39" s="58">
        <f>E37+E38</f>
        <v>11869.680646947199</v>
      </c>
      <c r="F39" s="59"/>
      <c r="G39" s="57"/>
      <c r="H39" s="57"/>
      <c r="I39" s="58">
        <f>I37+I38</f>
        <v>12188.250966531199</v>
      </c>
      <c r="J39" s="59"/>
      <c r="K39" s="60">
        <f t="shared" si="2"/>
        <v>318.57031958399966</v>
      </c>
      <c r="L39" s="61">
        <f t="shared" si="3"/>
        <v>2.683899668909237E-2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2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L39"/>
  <sheetViews>
    <sheetView showGridLines="0" workbookViewId="0">
      <selection activeCell="C39" sqref="C39"/>
    </sheetView>
  </sheetViews>
  <sheetFormatPr defaultRowHeight="12.75" x14ac:dyDescent="0.2"/>
  <cols>
    <col min="1" max="1" width="2" customWidth="1"/>
    <col min="2" max="2" width="88" bestFit="1" customWidth="1"/>
    <col min="3" max="3" width="10.28515625" bestFit="1" customWidth="1"/>
    <col min="6" max="6" width="1.7109375" customWidth="1"/>
    <col min="10" max="10" width="1.7109375" customWidth="1"/>
  </cols>
  <sheetData>
    <row r="1" spans="2:12" ht="18" x14ac:dyDescent="0.25">
      <c r="B1" s="104" t="s">
        <v>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2:12" ht="15.75" x14ac:dyDescent="0.25">
      <c r="B2" s="24" t="str">
        <f>Rates!B3</f>
        <v>CNPI - Fort Erie</v>
      </c>
    </row>
    <row r="3" spans="2:12" ht="15.75" x14ac:dyDescent="0.25">
      <c r="B3" s="24" t="str">
        <f>Rates!B43</f>
        <v xml:space="preserve">Unmetered Scattered Load </v>
      </c>
    </row>
    <row r="4" spans="2:12" ht="13.5" thickBot="1" x14ac:dyDescent="0.25"/>
    <row r="5" spans="2:12" x14ac:dyDescent="0.2">
      <c r="B5" s="26" t="s">
        <v>53</v>
      </c>
      <c r="C5" s="27">
        <f>Rates!I260</f>
        <v>1.0542</v>
      </c>
    </row>
    <row r="6" spans="2:12" x14ac:dyDescent="0.2">
      <c r="B6" s="28" t="s">
        <v>61</v>
      </c>
      <c r="C6" s="29">
        <v>1</v>
      </c>
    </row>
    <row r="7" spans="2:12" x14ac:dyDescent="0.2">
      <c r="B7" s="28" t="s">
        <v>62</v>
      </c>
      <c r="C7" s="29">
        <v>800</v>
      </c>
    </row>
    <row r="8" spans="2:12" x14ac:dyDescent="0.2">
      <c r="B8" s="28" t="s">
        <v>63</v>
      </c>
      <c r="C8" s="29">
        <v>0</v>
      </c>
    </row>
    <row r="9" spans="2:12" ht="13.5" thickBot="1" x14ac:dyDescent="0.25">
      <c r="B9" s="30" t="s">
        <v>64</v>
      </c>
      <c r="C9" s="31" t="str">
        <f>IF(C8=0,"n/a",C7/(C8*24*365/12))</f>
        <v>n/a</v>
      </c>
    </row>
    <row r="10" spans="2:12" ht="13.5" thickBot="1" x14ac:dyDescent="0.25"/>
    <row r="11" spans="2:12" x14ac:dyDescent="0.2">
      <c r="B11" s="105" t="s">
        <v>65</v>
      </c>
      <c r="C11" s="107" t="s">
        <v>54</v>
      </c>
      <c r="D11" s="107"/>
      <c r="E11" s="107"/>
      <c r="F11" s="43"/>
      <c r="G11" s="107" t="s">
        <v>33</v>
      </c>
      <c r="H11" s="108"/>
      <c r="I11" s="108"/>
      <c r="J11" s="43"/>
      <c r="K11" s="107" t="s">
        <v>55</v>
      </c>
      <c r="L11" s="109"/>
    </row>
    <row r="12" spans="2:12" ht="25.5" x14ac:dyDescent="0.2">
      <c r="B12" s="106"/>
      <c r="C12" s="32" t="s">
        <v>15</v>
      </c>
      <c r="D12" s="33" t="s">
        <v>29</v>
      </c>
      <c r="E12" s="32" t="s">
        <v>16</v>
      </c>
      <c r="F12" s="45"/>
      <c r="G12" s="32" t="s">
        <v>15</v>
      </c>
      <c r="H12" s="33" t="s">
        <v>29</v>
      </c>
      <c r="I12" s="32" t="s">
        <v>16</v>
      </c>
      <c r="J12" s="45"/>
      <c r="K12" s="32" t="s">
        <v>32</v>
      </c>
      <c r="L12" s="63" t="s">
        <v>32</v>
      </c>
    </row>
    <row r="13" spans="2:12" x14ac:dyDescent="0.2">
      <c r="B13" s="44"/>
      <c r="C13" s="34" t="s">
        <v>8</v>
      </c>
      <c r="D13" s="35"/>
      <c r="E13" s="34" t="s">
        <v>8</v>
      </c>
      <c r="F13" s="45"/>
      <c r="G13" s="34" t="s">
        <v>8</v>
      </c>
      <c r="H13" s="35"/>
      <c r="I13" s="34" t="s">
        <v>8</v>
      </c>
      <c r="J13" s="45"/>
      <c r="K13" s="34" t="s">
        <v>8</v>
      </c>
      <c r="L13" s="46" t="s">
        <v>12</v>
      </c>
    </row>
    <row r="14" spans="2:12" x14ac:dyDescent="0.2">
      <c r="B14" s="44" t="str">
        <f>Rates!B6</f>
        <v>Monthly Service Charge</v>
      </c>
      <c r="C14" s="36">
        <f>Rates!E44</f>
        <v>42.26</v>
      </c>
      <c r="D14" s="37">
        <f>C6</f>
        <v>1</v>
      </c>
      <c r="E14" s="36">
        <f>C14*D14</f>
        <v>42.26</v>
      </c>
      <c r="F14" s="45"/>
      <c r="G14" s="36">
        <f>Rates!I44</f>
        <v>32.96</v>
      </c>
      <c r="H14" s="37">
        <f>D14</f>
        <v>1</v>
      </c>
      <c r="I14" s="36">
        <f>G14*H14</f>
        <v>32.96</v>
      </c>
      <c r="J14" s="45"/>
      <c r="K14" s="36">
        <f>I14-E14</f>
        <v>-9.2999999999999972</v>
      </c>
      <c r="L14" s="47">
        <f>IF((E14)=0," ",K14/E14)</f>
        <v>-0.22006625650733549</v>
      </c>
    </row>
    <row r="15" spans="2:12" x14ac:dyDescent="0.2">
      <c r="B15" s="44" t="str">
        <f>Rates!B8</f>
        <v>Distribution Volumetric Rate</v>
      </c>
      <c r="C15" s="25">
        <f>Rates!E45</f>
        <v>2.5000000000000001E-2</v>
      </c>
      <c r="D15" s="38">
        <f>C7</f>
        <v>800</v>
      </c>
      <c r="E15" s="36">
        <f t="shared" ref="E15" si="0">C15*D15</f>
        <v>20</v>
      </c>
      <c r="F15" s="45"/>
      <c r="G15" s="25">
        <f>Rates!I45</f>
        <v>1.7899999999999999E-2</v>
      </c>
      <c r="H15" s="38">
        <f>D15</f>
        <v>800</v>
      </c>
      <c r="I15" s="36">
        <f t="shared" ref="I15" si="1">G15*H15</f>
        <v>14.32</v>
      </c>
      <c r="J15" s="45"/>
      <c r="K15" s="36">
        <f t="shared" ref="K15:K39" si="2">I15-E15</f>
        <v>-5.68</v>
      </c>
      <c r="L15" s="47">
        <f t="shared" ref="L15:L39" si="3">IF((E15)=0," ",K15/E15)</f>
        <v>-0.28399999999999997</v>
      </c>
    </row>
    <row r="16" spans="2:12" x14ac:dyDescent="0.2">
      <c r="B16" s="49" t="s">
        <v>36</v>
      </c>
      <c r="C16" s="50"/>
      <c r="D16" s="51"/>
      <c r="E16" s="52">
        <f>SUM(E14:E15)</f>
        <v>62.26</v>
      </c>
      <c r="F16" s="53"/>
      <c r="G16" s="50"/>
      <c r="H16" s="51"/>
      <c r="I16" s="52">
        <f>SUM(I14:I15)</f>
        <v>47.28</v>
      </c>
      <c r="J16" s="53"/>
      <c r="K16" s="54">
        <f t="shared" si="2"/>
        <v>-14.979999999999997</v>
      </c>
      <c r="L16" s="55">
        <f t="shared" si="3"/>
        <v>-0.24060391904914868</v>
      </c>
    </row>
    <row r="17" spans="2:12" x14ac:dyDescent="0.2">
      <c r="B17" s="28" t="s">
        <v>37</v>
      </c>
      <c r="C17" s="25">
        <f>Rates!E267</f>
        <v>0.10766000000000001</v>
      </c>
      <c r="D17" s="40">
        <f>(C5-1)*C7</f>
        <v>43.360000000000021</v>
      </c>
      <c r="E17" s="36">
        <f t="shared" ref="E17:E23" si="4">C17*D17</f>
        <v>4.6681376000000023</v>
      </c>
      <c r="F17" s="45"/>
      <c r="G17" s="25">
        <f>Rates!I267</f>
        <v>0.10766000000000001</v>
      </c>
      <c r="H17" s="40">
        <f>(C5-1)*C7</f>
        <v>43.360000000000021</v>
      </c>
      <c r="I17" s="36">
        <f t="shared" ref="I17:I23" si="5">G17*H17</f>
        <v>4.6681376000000023</v>
      </c>
      <c r="J17" s="45"/>
      <c r="K17" s="36">
        <f t="shared" si="2"/>
        <v>0</v>
      </c>
      <c r="L17" s="47">
        <f t="shared" si="3"/>
        <v>0</v>
      </c>
    </row>
    <row r="18" spans="2:12" x14ac:dyDescent="0.2">
      <c r="B18" s="48" t="str">
        <f>Rates!B47</f>
        <v>Rate Rider for Deferral/Variance Account Disposition (2015) - effective until December 31, 2016</v>
      </c>
      <c r="C18" s="25">
        <f>Rates!E47</f>
        <v>8.0000000000000004E-4</v>
      </c>
      <c r="D18" s="37">
        <f>C7</f>
        <v>800</v>
      </c>
      <c r="E18" s="36">
        <f t="shared" si="4"/>
        <v>0.64</v>
      </c>
      <c r="F18" s="45"/>
      <c r="G18" s="25">
        <f>Rates!I47</f>
        <v>8.0000000000000004E-4</v>
      </c>
      <c r="H18" s="37">
        <f t="shared" ref="H18:H23" si="6">D18</f>
        <v>800</v>
      </c>
      <c r="I18" s="36">
        <f t="shared" si="5"/>
        <v>0.64</v>
      </c>
      <c r="J18" s="45"/>
      <c r="K18" s="36">
        <f t="shared" ref="K18:K22" si="7">I18-E18</f>
        <v>0</v>
      </c>
      <c r="L18" s="47">
        <f t="shared" ref="L18:L22" si="8">IF((E18)=0," ",K18/E18)</f>
        <v>0</v>
      </c>
    </row>
    <row r="19" spans="2:12" ht="25.5" x14ac:dyDescent="0.2">
      <c r="B19" s="48" t="str">
        <f>Rates!B48</f>
        <v>Rate Rider for Global Adjustment Sub-Account Disposition (2015) - effective until December 31, 2016 Applicable only for Non-RPP Customers</v>
      </c>
      <c r="C19" s="25">
        <f>Rates!E48</f>
        <v>-2.5000000000000001E-3</v>
      </c>
      <c r="D19" s="37">
        <f>C7</f>
        <v>800</v>
      </c>
      <c r="E19" s="36">
        <f t="shared" si="4"/>
        <v>-2</v>
      </c>
      <c r="F19" s="45"/>
      <c r="G19" s="25">
        <f>Rates!I48</f>
        <v>-2.5000000000000001E-3</v>
      </c>
      <c r="H19" s="37">
        <f t="shared" si="6"/>
        <v>800</v>
      </c>
      <c r="I19" s="36">
        <f t="shared" si="5"/>
        <v>-2</v>
      </c>
      <c r="J19" s="45"/>
      <c r="K19" s="36">
        <f t="shared" si="7"/>
        <v>0</v>
      </c>
      <c r="L19" s="47">
        <f t="shared" si="8"/>
        <v>0</v>
      </c>
    </row>
    <row r="20" spans="2:12" x14ac:dyDescent="0.2">
      <c r="B20" s="48" t="str">
        <f>Rates!B49</f>
        <v>Rate Rider for Deferral/Variance Account Disposition (2016) - effective until December 31, 2017</v>
      </c>
      <c r="C20" s="25">
        <f>Rates!E49</f>
        <v>0</v>
      </c>
      <c r="D20" s="37">
        <f>C7</f>
        <v>800</v>
      </c>
      <c r="E20" s="36">
        <f t="shared" si="4"/>
        <v>0</v>
      </c>
      <c r="F20" s="45"/>
      <c r="G20" s="25">
        <f>Rates!I49</f>
        <v>-5.0000000000000001E-4</v>
      </c>
      <c r="H20" s="37">
        <f t="shared" si="6"/>
        <v>800</v>
      </c>
      <c r="I20" s="36">
        <f t="shared" si="5"/>
        <v>-0.4</v>
      </c>
      <c r="J20" s="45"/>
      <c r="K20" s="36">
        <f t="shared" ref="K20:K21" si="9">I20-E20</f>
        <v>-0.4</v>
      </c>
      <c r="L20" s="47" t="str">
        <f t="shared" ref="L20:L21" si="10">IF((E20)=0," ",K20/E20)</f>
        <v xml:space="preserve"> </v>
      </c>
    </row>
    <row r="21" spans="2:12" ht="25.5" x14ac:dyDescent="0.2">
      <c r="B21" s="48" t="str">
        <f>Rates!B50</f>
        <v>Rate Rider for Global Adjustment Sub-Account Disposition (2016) - effective until December 31, 2017 Applicable only for Non-RPP Customers</v>
      </c>
      <c r="C21" s="25">
        <f>Rates!E50</f>
        <v>0</v>
      </c>
      <c r="D21" s="37">
        <f>C7</f>
        <v>800</v>
      </c>
      <c r="E21" s="36">
        <f t="shared" si="4"/>
        <v>0</v>
      </c>
      <c r="F21" s="45"/>
      <c r="G21" s="25">
        <f>Rates!I50</f>
        <v>3.7000000000000002E-3</v>
      </c>
      <c r="H21" s="37">
        <f t="shared" si="6"/>
        <v>800</v>
      </c>
      <c r="I21" s="36">
        <f t="shared" si="5"/>
        <v>2.96</v>
      </c>
      <c r="J21" s="45"/>
      <c r="K21" s="36">
        <f t="shared" si="9"/>
        <v>2.96</v>
      </c>
      <c r="L21" s="47" t="str">
        <f t="shared" si="10"/>
        <v xml:space="preserve"> </v>
      </c>
    </row>
    <row r="22" spans="2:12" x14ac:dyDescent="0.2">
      <c r="B22" s="48" t="str">
        <f>Rates!B51</f>
        <v>Rate Rider for Loss Revenue Adjustment Mechanism (LRAM) - effective until December 31, 2015</v>
      </c>
      <c r="C22" s="25">
        <f>Rates!E51</f>
        <v>0</v>
      </c>
      <c r="D22" s="37">
        <f>C7</f>
        <v>800</v>
      </c>
      <c r="E22" s="36">
        <f t="shared" si="4"/>
        <v>0</v>
      </c>
      <c r="F22" s="45"/>
      <c r="G22" s="25">
        <f>Rates!I51</f>
        <v>0</v>
      </c>
      <c r="H22" s="37">
        <f t="shared" si="6"/>
        <v>800</v>
      </c>
      <c r="I22" s="36">
        <f t="shared" si="5"/>
        <v>0</v>
      </c>
      <c r="J22" s="45"/>
      <c r="K22" s="36">
        <f t="shared" si="7"/>
        <v>0</v>
      </c>
      <c r="L22" s="47" t="str">
        <f t="shared" si="8"/>
        <v xml:space="preserve"> </v>
      </c>
    </row>
    <row r="23" spans="2:12" x14ac:dyDescent="0.2">
      <c r="B23" s="44" t="str">
        <f>Rates!B9</f>
        <v>Low Voltage Service Rate</v>
      </c>
      <c r="C23" s="25">
        <f>Rates!E46</f>
        <v>2.0000000000000001E-4</v>
      </c>
      <c r="D23" s="37">
        <f>C7</f>
        <v>800</v>
      </c>
      <c r="E23" s="36">
        <f t="shared" si="4"/>
        <v>0.16</v>
      </c>
      <c r="F23" s="45"/>
      <c r="G23" s="25">
        <f>Rates!I46</f>
        <v>2.0000000000000001E-4</v>
      </c>
      <c r="H23" s="37">
        <f t="shared" si="6"/>
        <v>800</v>
      </c>
      <c r="I23" s="36">
        <f t="shared" si="5"/>
        <v>0.16</v>
      </c>
      <c r="J23" s="45"/>
      <c r="K23" s="36">
        <f t="shared" si="2"/>
        <v>0</v>
      </c>
      <c r="L23" s="47">
        <f t="shared" si="3"/>
        <v>0</v>
      </c>
    </row>
    <row r="24" spans="2:12" x14ac:dyDescent="0.2">
      <c r="B24" s="49" t="s">
        <v>56</v>
      </c>
      <c r="C24" s="50"/>
      <c r="D24" s="51"/>
      <c r="E24" s="52">
        <f>SUM(E16:E23)</f>
        <v>65.728137599999997</v>
      </c>
      <c r="F24" s="53"/>
      <c r="G24" s="50"/>
      <c r="H24" s="51"/>
      <c r="I24" s="52">
        <f>SUM(I16:I23)</f>
        <v>53.308137600000002</v>
      </c>
      <c r="J24" s="53"/>
      <c r="K24" s="54">
        <f t="shared" si="2"/>
        <v>-12.419999999999995</v>
      </c>
      <c r="L24" s="55">
        <f t="shared" si="3"/>
        <v>-0.18896016916809757</v>
      </c>
    </row>
    <row r="25" spans="2:12" x14ac:dyDescent="0.2">
      <c r="B25" s="44" t="str">
        <f>Rates!B15</f>
        <v>Retail Transmission Rate - Network Service Rate</v>
      </c>
      <c r="C25" s="25">
        <f>Rates!E52</f>
        <v>6.4999999999999997E-3</v>
      </c>
      <c r="D25" s="37">
        <f>C7*C5</f>
        <v>843.36</v>
      </c>
      <c r="E25" s="36">
        <f>C25*D25</f>
        <v>5.48184</v>
      </c>
      <c r="F25" s="45"/>
      <c r="G25" s="25">
        <f>Rates!I52</f>
        <v>6.4000000000000003E-3</v>
      </c>
      <c r="H25" s="37">
        <f>D25</f>
        <v>843.36</v>
      </c>
      <c r="I25" s="36">
        <f>G25*H25</f>
        <v>5.3975040000000005</v>
      </c>
      <c r="J25" s="45"/>
      <c r="K25" s="36">
        <f t="shared" si="2"/>
        <v>-8.4335999999999522E-2</v>
      </c>
      <c r="L25" s="47">
        <f t="shared" si="3"/>
        <v>-1.5384615384615297E-2</v>
      </c>
    </row>
    <row r="26" spans="2:12" x14ac:dyDescent="0.2">
      <c r="B26" s="44" t="str">
        <f>Rates!B16</f>
        <v>Retail Transmission Rate - Line and Transformation Connection Service Rate</v>
      </c>
      <c r="C26" s="25">
        <f>Rates!E53</f>
        <v>5.0000000000000001E-3</v>
      </c>
      <c r="D26" s="37">
        <f>C7*C5</f>
        <v>843.36</v>
      </c>
      <c r="E26" s="36">
        <f>C26*D26</f>
        <v>4.2168000000000001</v>
      </c>
      <c r="F26" s="45"/>
      <c r="G26" s="25">
        <f>Rates!I53</f>
        <v>5.1000000000000004E-3</v>
      </c>
      <c r="H26" s="37">
        <f>D26</f>
        <v>843.36</v>
      </c>
      <c r="I26" s="36">
        <f>G26*H26</f>
        <v>4.3011360000000005</v>
      </c>
      <c r="J26" s="45"/>
      <c r="K26" s="36">
        <f t="shared" si="2"/>
        <v>8.4336000000000411E-2</v>
      </c>
      <c r="L26" s="47">
        <f t="shared" si="3"/>
        <v>2.0000000000000098E-2</v>
      </c>
    </row>
    <row r="27" spans="2:12" x14ac:dyDescent="0.2">
      <c r="B27" s="49" t="s">
        <v>57</v>
      </c>
      <c r="C27" s="50"/>
      <c r="D27" s="51"/>
      <c r="E27" s="52">
        <f>SUM(E24:E26)</f>
        <v>75.426777600000008</v>
      </c>
      <c r="F27" s="53"/>
      <c r="G27" s="50"/>
      <c r="H27" s="52"/>
      <c r="I27" s="52">
        <f>SUM(I24:I26)</f>
        <v>63.006777599999999</v>
      </c>
      <c r="J27" s="53"/>
      <c r="K27" s="54">
        <f t="shared" si="2"/>
        <v>-12.420000000000009</v>
      </c>
      <c r="L27" s="55">
        <f t="shared" si="3"/>
        <v>-0.16466300689478225</v>
      </c>
    </row>
    <row r="28" spans="2:12" x14ac:dyDescent="0.2">
      <c r="B28" s="44" t="str">
        <f>Rates!B244</f>
        <v>Wholesale Market Service Rate</v>
      </c>
      <c r="C28" s="25">
        <f>Rates!E244</f>
        <v>4.4000000000000003E-3</v>
      </c>
      <c r="D28" s="37">
        <f>C5*C7</f>
        <v>843.36</v>
      </c>
      <c r="E28" s="36">
        <f t="shared" ref="E28:E33" si="11">C28*D28</f>
        <v>3.7107840000000003</v>
      </c>
      <c r="F28" s="45"/>
      <c r="G28" s="25">
        <f>Rates!I244</f>
        <v>3.5999999999999999E-3</v>
      </c>
      <c r="H28" s="37">
        <f>D28</f>
        <v>843.36</v>
      </c>
      <c r="I28" s="36">
        <f t="shared" ref="I28:I33" si="12">G28*H28</f>
        <v>3.0360960000000001</v>
      </c>
      <c r="J28" s="45"/>
      <c r="K28" s="36">
        <f t="shared" si="2"/>
        <v>-0.67468800000000018</v>
      </c>
      <c r="L28" s="47">
        <f t="shared" si="3"/>
        <v>-0.18181818181818185</v>
      </c>
    </row>
    <row r="29" spans="2:12" x14ac:dyDescent="0.2">
      <c r="B29" s="44" t="str">
        <f>Rates!B245</f>
        <v>Rural Rate Protection Charge</v>
      </c>
      <c r="C29" s="25">
        <f>Rates!E245</f>
        <v>1.2999999999999999E-3</v>
      </c>
      <c r="D29" s="37">
        <f>C5*C7</f>
        <v>843.36</v>
      </c>
      <c r="E29" s="36">
        <f t="shared" si="11"/>
        <v>1.096368</v>
      </c>
      <c r="F29" s="45"/>
      <c r="G29" s="25">
        <f>Rates!I245</f>
        <v>1.2999999999999999E-3</v>
      </c>
      <c r="H29" s="37">
        <f t="shared" ref="H29:H30" si="13">D29</f>
        <v>843.36</v>
      </c>
      <c r="I29" s="36">
        <f t="shared" si="12"/>
        <v>1.096368</v>
      </c>
      <c r="J29" s="45"/>
      <c r="K29" s="36">
        <f t="shared" si="2"/>
        <v>0</v>
      </c>
      <c r="L29" s="47">
        <f t="shared" si="3"/>
        <v>0</v>
      </c>
    </row>
    <row r="30" spans="2:12" x14ac:dyDescent="0.2">
      <c r="B30" s="44" t="str">
        <f>Rates!B247</f>
        <v>Standard Supply Service - Administrative Charge (if applicable)</v>
      </c>
      <c r="C30" s="36">
        <f>Rates!E247</f>
        <v>0.25</v>
      </c>
      <c r="D30" s="37">
        <v>1</v>
      </c>
      <c r="E30" s="36">
        <f t="shared" si="11"/>
        <v>0.25</v>
      </c>
      <c r="F30" s="45"/>
      <c r="G30" s="36">
        <f>Rates!I247</f>
        <v>0.25</v>
      </c>
      <c r="H30" s="37">
        <f t="shared" si="13"/>
        <v>1</v>
      </c>
      <c r="I30" s="36">
        <f t="shared" si="12"/>
        <v>0.25</v>
      </c>
      <c r="J30" s="45"/>
      <c r="K30" s="36">
        <f t="shared" si="2"/>
        <v>0</v>
      </c>
      <c r="L30" s="47">
        <f t="shared" si="3"/>
        <v>0</v>
      </c>
    </row>
    <row r="31" spans="2:12" x14ac:dyDescent="0.2">
      <c r="B31" s="44" t="str">
        <f>Rates!B250</f>
        <v>Debt Retirement Charge</v>
      </c>
      <c r="C31" s="25">
        <f>Rates!E251</f>
        <v>0</v>
      </c>
      <c r="D31" s="37">
        <f>C7</f>
        <v>800</v>
      </c>
      <c r="E31" s="36">
        <f t="shared" si="11"/>
        <v>0</v>
      </c>
      <c r="F31" s="45"/>
      <c r="G31" s="25">
        <f>Rates!I251</f>
        <v>0</v>
      </c>
      <c r="H31" s="37">
        <f>D31</f>
        <v>800</v>
      </c>
      <c r="I31" s="36">
        <f t="shared" si="12"/>
        <v>0</v>
      </c>
      <c r="J31" s="45"/>
      <c r="K31" s="36">
        <f t="shared" si="2"/>
        <v>0</v>
      </c>
      <c r="L31" s="47" t="str">
        <f t="shared" si="3"/>
        <v xml:space="preserve"> </v>
      </c>
    </row>
    <row r="32" spans="2:12" x14ac:dyDescent="0.2">
      <c r="B32" s="44" t="str">
        <f>Rates!B246</f>
        <v>Ontario Electricity Support Program</v>
      </c>
      <c r="C32" s="25"/>
      <c r="D32" s="37"/>
      <c r="E32" s="36"/>
      <c r="F32" s="45"/>
      <c r="G32" s="25">
        <f>Rates!I246</f>
        <v>1.1000000000000001E-3</v>
      </c>
      <c r="H32" s="37">
        <f>C7</f>
        <v>800</v>
      </c>
      <c r="I32" s="36">
        <f t="shared" si="12"/>
        <v>0.88</v>
      </c>
      <c r="J32" s="45"/>
      <c r="K32" s="36"/>
      <c r="L32" s="47"/>
    </row>
    <row r="33" spans="2:12" x14ac:dyDescent="0.2">
      <c r="B33" s="44" t="str">
        <f>Rates!B267</f>
        <v>Energy Price</v>
      </c>
      <c r="C33" s="25">
        <f>Rates!E267</f>
        <v>0.10766000000000001</v>
      </c>
      <c r="D33" s="37">
        <f>C7</f>
        <v>800</v>
      </c>
      <c r="E33" s="36">
        <f t="shared" si="11"/>
        <v>86.128</v>
      </c>
      <c r="F33" s="45"/>
      <c r="G33" s="25">
        <f>Rates!I267</f>
        <v>0.10766000000000001</v>
      </c>
      <c r="H33" s="37">
        <f>D33</f>
        <v>800</v>
      </c>
      <c r="I33" s="36">
        <f t="shared" si="12"/>
        <v>86.128</v>
      </c>
      <c r="J33" s="45"/>
      <c r="K33" s="36">
        <f t="shared" si="2"/>
        <v>0</v>
      </c>
      <c r="L33" s="47">
        <f t="shared" si="3"/>
        <v>0</v>
      </c>
    </row>
    <row r="34" spans="2:12" x14ac:dyDescent="0.2">
      <c r="B34" s="56"/>
      <c r="C34" s="51"/>
      <c r="D34" s="51"/>
      <c r="E34" s="51"/>
      <c r="F34" s="53"/>
      <c r="G34" s="51"/>
      <c r="H34" s="51"/>
      <c r="I34" s="51"/>
      <c r="J34" s="53"/>
      <c r="K34" s="54"/>
      <c r="L34" s="55"/>
    </row>
    <row r="35" spans="2:12" x14ac:dyDescent="0.2">
      <c r="B35" s="23" t="s">
        <v>58</v>
      </c>
      <c r="C35" s="35"/>
      <c r="D35" s="35"/>
      <c r="E35" s="39">
        <f>SUM(E27:E33)</f>
        <v>166.6119296</v>
      </c>
      <c r="F35" s="45"/>
      <c r="G35" s="35"/>
      <c r="H35" s="39"/>
      <c r="I35" s="39">
        <f>SUM(I27:I33)</f>
        <v>154.39724159999997</v>
      </c>
      <c r="J35" s="45"/>
      <c r="K35" s="36">
        <f t="shared" si="2"/>
        <v>-12.214688000000024</v>
      </c>
      <c r="L35" s="47">
        <f t="shared" si="3"/>
        <v>-7.33122053704372E-2</v>
      </c>
    </row>
    <row r="36" spans="2:12" x14ac:dyDescent="0.2">
      <c r="B36" s="44" t="str">
        <f>Rates!B269</f>
        <v>HST</v>
      </c>
      <c r="C36" s="41">
        <f>Rates!E269</f>
        <v>0.13</v>
      </c>
      <c r="D36" s="35"/>
      <c r="E36" s="42">
        <f>E35*C36</f>
        <v>21.659550847999999</v>
      </c>
      <c r="F36" s="45"/>
      <c r="G36" s="41">
        <f>Rates!I269</f>
        <v>0.13</v>
      </c>
      <c r="H36" s="35"/>
      <c r="I36" s="42">
        <f>I35*G36</f>
        <v>20.071641407999998</v>
      </c>
      <c r="J36" s="45"/>
      <c r="K36" s="36">
        <f t="shared" si="2"/>
        <v>-1.5879094400000007</v>
      </c>
      <c r="L36" s="47">
        <f t="shared" si="3"/>
        <v>-7.3312205370437089E-2</v>
      </c>
    </row>
    <row r="37" spans="2:12" x14ac:dyDescent="0.2">
      <c r="B37" s="23" t="s">
        <v>59</v>
      </c>
      <c r="C37" s="35"/>
      <c r="D37" s="35"/>
      <c r="E37" s="42">
        <f>E35+E36</f>
        <v>188.27148044800001</v>
      </c>
      <c r="F37" s="45"/>
      <c r="G37" s="35"/>
      <c r="H37" s="35"/>
      <c r="I37" s="42">
        <f>I35+I36</f>
        <v>174.46888300799998</v>
      </c>
      <c r="J37" s="45"/>
      <c r="K37" s="36">
        <f t="shared" si="2"/>
        <v>-13.802597440000028</v>
      </c>
      <c r="L37" s="47">
        <f t="shared" si="3"/>
        <v>-7.33122053704372E-2</v>
      </c>
    </row>
    <row r="38" spans="2:12" x14ac:dyDescent="0.2">
      <c r="B38" s="44" t="str">
        <f>Rates!B271</f>
        <v>OCEB</v>
      </c>
      <c r="C38" s="41">
        <f>Rates!E271</f>
        <v>-0.1</v>
      </c>
      <c r="D38" s="35"/>
      <c r="E38" s="42">
        <f>E37*C38</f>
        <v>-18.827148044800001</v>
      </c>
      <c r="F38" s="45"/>
      <c r="G38" s="41">
        <f>Rates!I271</f>
        <v>0</v>
      </c>
      <c r="H38" s="35"/>
      <c r="I38" s="42">
        <f>I37*G38</f>
        <v>0</v>
      </c>
      <c r="J38" s="45"/>
      <c r="K38" s="36">
        <f t="shared" si="2"/>
        <v>18.827148044800001</v>
      </c>
      <c r="L38" s="47">
        <f t="shared" si="3"/>
        <v>-1</v>
      </c>
    </row>
    <row r="39" spans="2:12" ht="13.5" thickBot="1" x14ac:dyDescent="0.25">
      <c r="B39" s="30" t="s">
        <v>60</v>
      </c>
      <c r="C39" s="57"/>
      <c r="D39" s="57"/>
      <c r="E39" s="58">
        <f>E37+E38</f>
        <v>169.44433240320001</v>
      </c>
      <c r="F39" s="59"/>
      <c r="G39" s="57"/>
      <c r="H39" s="57"/>
      <c r="I39" s="58">
        <f>I37+I38</f>
        <v>174.46888300799998</v>
      </c>
      <c r="J39" s="59"/>
      <c r="K39" s="60">
        <f t="shared" si="2"/>
        <v>5.0245506047999697</v>
      </c>
      <c r="L39" s="61">
        <f t="shared" si="3"/>
        <v>2.965310514395865E-2</v>
      </c>
    </row>
  </sheetData>
  <mergeCells count="5">
    <mergeCell ref="B1:L1"/>
    <mergeCell ref="B11:B12"/>
    <mergeCell ref="C11:E11"/>
    <mergeCell ref="G11:I11"/>
    <mergeCell ref="K11:L11"/>
  </mergeCells>
  <pageMargins left="0.70866141732283472" right="0.70866141732283472" top="0.74803149606299213" bottom="0.74803149606299213" header="0.31496062992125984" footer="0.31496062992125984"/>
  <pageSetup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33</vt:i4>
      </vt:variant>
    </vt:vector>
  </HeadingPairs>
  <TitlesOfParts>
    <vt:vector size="33" baseType="lpstr">
      <vt:lpstr>Cover</vt:lpstr>
      <vt:lpstr>Rates</vt:lpstr>
      <vt:lpstr>FE - Residential RPP</vt:lpstr>
      <vt:lpstr>FE - Residential RPP (2)</vt:lpstr>
      <vt:lpstr>FE - Residential</vt:lpstr>
      <vt:lpstr>FE - GS &lt; 50 kW RPP</vt:lpstr>
      <vt:lpstr>FE - GS &lt; 50 kW</vt:lpstr>
      <vt:lpstr>FE - GS &gt; 50 kW</vt:lpstr>
      <vt:lpstr>FE - USL</vt:lpstr>
      <vt:lpstr>FE - Sentinel Lgt</vt:lpstr>
      <vt:lpstr>FE - Street Lgt</vt:lpstr>
      <vt:lpstr>EOP - Residential RPP</vt:lpstr>
      <vt:lpstr>EOP - Residential RPP (2)</vt:lpstr>
      <vt:lpstr>EOP - Residential</vt:lpstr>
      <vt:lpstr>EOP - GS &lt; 50 kW RPP</vt:lpstr>
      <vt:lpstr>EOP - GS &lt; 50 kW</vt:lpstr>
      <vt:lpstr>EOP - GS &gt; 50 kW</vt:lpstr>
      <vt:lpstr>EOP - USL</vt:lpstr>
      <vt:lpstr>EOP - Sentinel Lgt</vt:lpstr>
      <vt:lpstr>EOP - Street Lgt</vt:lpstr>
      <vt:lpstr>PC - Residential RPP</vt:lpstr>
      <vt:lpstr>PC - Residential RPP (2)</vt:lpstr>
      <vt:lpstr>PC - Residential</vt:lpstr>
      <vt:lpstr>PC - GS &lt; 50 KW RPP</vt:lpstr>
      <vt:lpstr>PC - GS &lt; 50 KW</vt:lpstr>
      <vt:lpstr>PC - GS &gt; 50 kW</vt:lpstr>
      <vt:lpstr>PC - USL</vt:lpstr>
      <vt:lpstr>PC - Sentinel Lgt</vt:lpstr>
      <vt:lpstr>PC - Street Lgt</vt:lpstr>
      <vt:lpstr>Summary - FE</vt:lpstr>
      <vt:lpstr>Summary - EOP</vt:lpstr>
      <vt:lpstr>Summary - PC</vt:lpstr>
      <vt:lpstr>Sheet1</vt:lpstr>
    </vt:vector>
  </TitlesOfParts>
  <Company>FortisOntario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bradburyd</dc:creator>
  <cp:lastModifiedBy>Bradbury, Doug</cp:lastModifiedBy>
  <cp:lastPrinted>2015-11-25T16:41:30Z</cp:lastPrinted>
  <dcterms:created xsi:type="dcterms:W3CDTF">2010-01-19T01:47:37Z</dcterms:created>
  <dcterms:modified xsi:type="dcterms:W3CDTF">2015-11-26T16:22:25Z</dcterms:modified>
</cp:coreProperties>
</file>