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gulatory\2016 Cost Of Service EB-2015-0061\10_IR Responses\0_Submission\"/>
    </mc:Choice>
  </mc:AlternateContent>
  <bookViews>
    <workbookView xWindow="0" yWindow="0" windowWidth="20460" windowHeight="6525" tabRatio="760"/>
  </bookViews>
  <sheets>
    <sheet name="1. Deferral Continuity" sheetId="2" r:id="rId1"/>
    <sheet name="2. Disposition" sheetId="1" r:id="rId2"/>
    <sheet name="2014 Biling Determinants" sheetId="10" state="hidden" r:id="rId3"/>
    <sheet name="3. 2016 Billing Determinants" sheetId="8" r:id="rId4"/>
    <sheet name="4. Group One" sheetId="3" r:id="rId5"/>
    <sheet name="5. Group Two" sheetId="11" r:id="rId6"/>
    <sheet name="6. LRAM &amp; LRAMVA" sheetId="4" r:id="rId7"/>
    <sheet name="7. Accting Changes" sheetId="5" r:id="rId8"/>
    <sheet name="5a. Stranded Meter" sheetId="12" r:id="rId9"/>
    <sheet name="2012 Alloc" sheetId="9" state="hidden" r:id="rId10"/>
  </sheets>
  <externalReferences>
    <externalReference r:id="rId11"/>
    <externalReference r:id="rId12"/>
  </externalReferences>
  <definedNames>
    <definedName name="CK_DISYR">'[1]3A. CK Calculation'!$I$48</definedName>
    <definedName name="DUT_NRPP">'[2]Allocation Factors'!$F$27</definedName>
    <definedName name="DUT_RPP">'[2]Allocation Factors'!$F$15</definedName>
    <definedName name="NEW_DISYR">'[1]6. NEW Calculations'!$I$34</definedName>
    <definedName name="NEW_NRPP">'[2]Allocation Factors'!$G$27</definedName>
    <definedName name="NEW_RPP">'[2]Allocation Factors'!$G$15</definedName>
    <definedName name="_xlnm.Print_Area" localSheetId="0">'1. Deferral Continuity'!$A$1:$AW$38</definedName>
    <definedName name="_xlnm.Print_Area" localSheetId="1">'2. Disposition'!$A$1:$N$42</definedName>
    <definedName name="_xlnm.Print_Area" localSheetId="3">'3. 2016 Billing Determinants'!$A$1:$F$51</definedName>
    <definedName name="_xlnm.Print_Area" localSheetId="4">'4. Group One'!$A$1:$H$77</definedName>
    <definedName name="_xlnm.Print_Area" localSheetId="5">'5. Group Two'!$A$1:$G$56</definedName>
    <definedName name="_xlnm.Print_Area" localSheetId="8">'5a. Stranded Meter'!$A$1:$E$30</definedName>
    <definedName name="_xlnm.Print_Area" localSheetId="6">'6. LRAM &amp; LRAMVA'!$A$1:$H$27</definedName>
    <definedName name="_xlnm.Print_Area" localSheetId="7">'7. Accting Changes'!$A$1:$D$28</definedName>
    <definedName name="_xlnm.Print_Titles" localSheetId="0">'1. Deferral Continuity'!$A:$B</definedName>
    <definedName name="_xlnm.Print_Titles" localSheetId="3">'3. 2016 Billing Determinants'!$1:$4</definedName>
    <definedName name="_xlnm.Print_Titles" localSheetId="4">'4. Group One'!$1:$4</definedName>
    <definedName name="_xlnm.Print_Titles" localSheetId="5">'5. Group Two'!$1:$4</definedName>
    <definedName name="_xlnm.Print_Titles" localSheetId="8">'5a. Stranded Meter'!$1:$4</definedName>
    <definedName name="SMP_DISYR">'4. Group One'!$H$68</definedName>
    <definedName name="SMP_NRPP">'[2]Allocation Factors'!$E$27</definedName>
    <definedName name="SMP_RPP">'[2]Allocation Factors'!$E$15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2" l="1"/>
  <c r="B20" i="12"/>
  <c r="C21" i="4" l="1"/>
  <c r="I10" i="1"/>
  <c r="H10" i="1"/>
  <c r="A41" i="1" l="1"/>
  <c r="A40" i="1"/>
  <c r="A39" i="1"/>
  <c r="A23" i="1"/>
  <c r="A19" i="1"/>
  <c r="A20" i="1"/>
  <c r="A21" i="1" s="1"/>
  <c r="A22" i="1" s="1"/>
  <c r="A18" i="1"/>
  <c r="I28" i="1" l="1"/>
  <c r="H28" i="1"/>
  <c r="AU37" i="2" l="1"/>
  <c r="AU34" i="2"/>
  <c r="AT23" i="2"/>
  <c r="AU23" i="2"/>
  <c r="AT24" i="2"/>
  <c r="AU24" i="2"/>
  <c r="AT25" i="2"/>
  <c r="AU25" i="2"/>
  <c r="AT26" i="2"/>
  <c r="AU26" i="2"/>
  <c r="AT27" i="2"/>
  <c r="AU27" i="2"/>
  <c r="AT28" i="2"/>
  <c r="AU28" i="2"/>
  <c r="AT29" i="2"/>
  <c r="AU29" i="2"/>
  <c r="AT30" i="2"/>
  <c r="AU30" i="2"/>
  <c r="AT31" i="2"/>
  <c r="AU31" i="2"/>
  <c r="AT32" i="2"/>
  <c r="AU32" i="2"/>
  <c r="AT33" i="2"/>
  <c r="AT35" i="2"/>
  <c r="AU35" i="2"/>
  <c r="AT36" i="2"/>
  <c r="AU36" i="2"/>
  <c r="AU22" i="2"/>
  <c r="AT22" i="2"/>
  <c r="AP23" i="2"/>
  <c r="AQ23" i="2"/>
  <c r="AP24" i="2"/>
  <c r="AQ24" i="2"/>
  <c r="AP25" i="2"/>
  <c r="AQ25" i="2"/>
  <c r="AP26" i="2"/>
  <c r="AQ26" i="2"/>
  <c r="AP27" i="2"/>
  <c r="AQ27" i="2"/>
  <c r="AP28" i="2"/>
  <c r="AQ28" i="2"/>
  <c r="AP29" i="2"/>
  <c r="AQ29" i="2"/>
  <c r="AP30" i="2"/>
  <c r="AQ30" i="2"/>
  <c r="AP31" i="2"/>
  <c r="AQ31" i="2"/>
  <c r="AP32" i="2"/>
  <c r="AQ32" i="2"/>
  <c r="AQ33" i="2"/>
  <c r="AP35" i="2"/>
  <c r="AQ35" i="2"/>
  <c r="AP36" i="2"/>
  <c r="AQ36" i="2"/>
  <c r="AQ22" i="2"/>
  <c r="AP22" i="2"/>
  <c r="AM23" i="2"/>
  <c r="AM24" i="2"/>
  <c r="AM25" i="2"/>
  <c r="AM26" i="2"/>
  <c r="AM27" i="2"/>
  <c r="AM28" i="2"/>
  <c r="AM29" i="2"/>
  <c r="AM30" i="2"/>
  <c r="AM31" i="2"/>
  <c r="AM32" i="2"/>
  <c r="AM35" i="2"/>
  <c r="AM36" i="2"/>
  <c r="AM22" i="2"/>
  <c r="AK23" i="2"/>
  <c r="AL23" i="2"/>
  <c r="AK24" i="2"/>
  <c r="AL24" i="2"/>
  <c r="AK25" i="2"/>
  <c r="AL25" i="2"/>
  <c r="AK26" i="2"/>
  <c r="AL26" i="2"/>
  <c r="AK27" i="2"/>
  <c r="AL27" i="2"/>
  <c r="AK28" i="2"/>
  <c r="AL28" i="2"/>
  <c r="AK29" i="2"/>
  <c r="AL29" i="2"/>
  <c r="AK30" i="2"/>
  <c r="AL30" i="2"/>
  <c r="AK31" i="2"/>
  <c r="AL31" i="2"/>
  <c r="AK32" i="2"/>
  <c r="AL32" i="2"/>
  <c r="AK33" i="2"/>
  <c r="AK35" i="2"/>
  <c r="AL35" i="2"/>
  <c r="AK36" i="2"/>
  <c r="AL36" i="2"/>
  <c r="AK22" i="2"/>
  <c r="AL22" i="2" s="1"/>
  <c r="AG23" i="2"/>
  <c r="AH23" i="2"/>
  <c r="AG24" i="2"/>
  <c r="AH24" i="2"/>
  <c r="AG25" i="2"/>
  <c r="AH25" i="2"/>
  <c r="AG26" i="2"/>
  <c r="AH26" i="2"/>
  <c r="AG27" i="2"/>
  <c r="AH27" i="2"/>
  <c r="AG28" i="2"/>
  <c r="AH28" i="2"/>
  <c r="AG29" i="2"/>
  <c r="AH29" i="2"/>
  <c r="AG30" i="2"/>
  <c r="AH30" i="2"/>
  <c r="AG31" i="2"/>
  <c r="AH31" i="2"/>
  <c r="AG32" i="2"/>
  <c r="AH32" i="2"/>
  <c r="AH33" i="2"/>
  <c r="AG35" i="2"/>
  <c r="AH35" i="2"/>
  <c r="AG36" i="2"/>
  <c r="AH36" i="2"/>
  <c r="AH22" i="2"/>
  <c r="AG22" i="2"/>
  <c r="AD23" i="2"/>
  <c r="AD24" i="2"/>
  <c r="AD25" i="2"/>
  <c r="AD26" i="2"/>
  <c r="AD27" i="2"/>
  <c r="AD28" i="2"/>
  <c r="AD29" i="2"/>
  <c r="AD30" i="2"/>
  <c r="AD31" i="2"/>
  <c r="AD32" i="2"/>
  <c r="AD35" i="2"/>
  <c r="AD36" i="2"/>
  <c r="AD22" i="2"/>
  <c r="AB23" i="2"/>
  <c r="AC23" i="2"/>
  <c r="AB24" i="2"/>
  <c r="AC24" i="2"/>
  <c r="AB25" i="2"/>
  <c r="AC25" i="2"/>
  <c r="AB26" i="2"/>
  <c r="AC26" i="2"/>
  <c r="AB27" i="2"/>
  <c r="AC27" i="2"/>
  <c r="AB28" i="2"/>
  <c r="AC28" i="2"/>
  <c r="AB29" i="2"/>
  <c r="AC29" i="2"/>
  <c r="AB30" i="2"/>
  <c r="AC30" i="2"/>
  <c r="AB31" i="2"/>
  <c r="AC31" i="2"/>
  <c r="AB32" i="2"/>
  <c r="AC32" i="2"/>
  <c r="AB33" i="2"/>
  <c r="AB35" i="2"/>
  <c r="AC35" i="2"/>
  <c r="AB36" i="2"/>
  <c r="AC36" i="2"/>
  <c r="AB22" i="2"/>
  <c r="AC22" i="2" s="1"/>
  <c r="X23" i="2"/>
  <c r="Y23" i="2"/>
  <c r="X24" i="2"/>
  <c r="Y24" i="2"/>
  <c r="X25" i="2"/>
  <c r="Y25" i="2"/>
  <c r="X26" i="2"/>
  <c r="Y26" i="2"/>
  <c r="X27" i="2"/>
  <c r="Y27" i="2"/>
  <c r="X28" i="2"/>
  <c r="Y28" i="2"/>
  <c r="X29" i="2"/>
  <c r="Y29" i="2"/>
  <c r="X30" i="2"/>
  <c r="Y30" i="2"/>
  <c r="X31" i="2"/>
  <c r="Y31" i="2"/>
  <c r="X32" i="2"/>
  <c r="Y32" i="2"/>
  <c r="Y33" i="2"/>
  <c r="X35" i="2"/>
  <c r="Y35" i="2"/>
  <c r="X36" i="2"/>
  <c r="Y36" i="2"/>
  <c r="Y22" i="2"/>
  <c r="X22" i="2"/>
  <c r="U23" i="2"/>
  <c r="U24" i="2"/>
  <c r="U25" i="2"/>
  <c r="U26" i="2"/>
  <c r="U27" i="2"/>
  <c r="U28" i="2"/>
  <c r="U29" i="2"/>
  <c r="U30" i="2"/>
  <c r="U31" i="2"/>
  <c r="U32" i="2"/>
  <c r="U35" i="2"/>
  <c r="U36" i="2"/>
  <c r="U22" i="2"/>
  <c r="S23" i="2"/>
  <c r="T23" i="2"/>
  <c r="S24" i="2"/>
  <c r="T24" i="2"/>
  <c r="S25" i="2"/>
  <c r="T25" i="2"/>
  <c r="S26" i="2"/>
  <c r="T26" i="2"/>
  <c r="S27" i="2"/>
  <c r="T27" i="2"/>
  <c r="S28" i="2"/>
  <c r="T28" i="2"/>
  <c r="S29" i="2"/>
  <c r="T29" i="2"/>
  <c r="S30" i="2"/>
  <c r="T30" i="2"/>
  <c r="S31" i="2"/>
  <c r="T31" i="2"/>
  <c r="S32" i="2"/>
  <c r="T32" i="2"/>
  <c r="S33" i="2"/>
  <c r="S35" i="2"/>
  <c r="T35" i="2"/>
  <c r="S36" i="2"/>
  <c r="T36" i="2"/>
  <c r="S22" i="2"/>
  <c r="T22" i="2" s="1"/>
  <c r="P23" i="2"/>
  <c r="P24" i="2"/>
  <c r="P25" i="2"/>
  <c r="P26" i="2"/>
  <c r="P27" i="2"/>
  <c r="P28" i="2"/>
  <c r="P29" i="2"/>
  <c r="P30" i="2"/>
  <c r="P31" i="2"/>
  <c r="P32" i="2"/>
  <c r="P33" i="2"/>
  <c r="P35" i="2"/>
  <c r="P36" i="2"/>
  <c r="P22" i="2"/>
  <c r="O23" i="2"/>
  <c r="O24" i="2"/>
  <c r="O25" i="2"/>
  <c r="O26" i="2"/>
  <c r="O27" i="2"/>
  <c r="O28" i="2"/>
  <c r="O29" i="2"/>
  <c r="O30" i="2"/>
  <c r="O31" i="2"/>
  <c r="O32" i="2"/>
  <c r="O35" i="2"/>
  <c r="O36" i="2"/>
  <c r="O22" i="2"/>
  <c r="L23" i="2"/>
  <c r="L24" i="2"/>
  <c r="L25" i="2"/>
  <c r="L26" i="2"/>
  <c r="L27" i="2"/>
  <c r="L28" i="2"/>
  <c r="L29" i="2"/>
  <c r="L30" i="2"/>
  <c r="L31" i="2"/>
  <c r="L32" i="2"/>
  <c r="L35" i="2"/>
  <c r="L36" i="2"/>
  <c r="L22" i="2"/>
  <c r="K23" i="2"/>
  <c r="K24" i="2"/>
  <c r="K25" i="2"/>
  <c r="K26" i="2"/>
  <c r="K27" i="2"/>
  <c r="K28" i="2"/>
  <c r="K29" i="2"/>
  <c r="K30" i="2"/>
  <c r="K31" i="2"/>
  <c r="K32" i="2"/>
  <c r="K35" i="2"/>
  <c r="K36" i="2"/>
  <c r="K22" i="2"/>
  <c r="J23" i="2"/>
  <c r="J24" i="2"/>
  <c r="J25" i="2"/>
  <c r="J26" i="2"/>
  <c r="J27" i="2"/>
  <c r="J28" i="2"/>
  <c r="J29" i="2"/>
  <c r="J30" i="2"/>
  <c r="J31" i="2"/>
  <c r="J32" i="2"/>
  <c r="J33" i="2"/>
  <c r="J35" i="2"/>
  <c r="J36" i="2"/>
  <c r="J22" i="2"/>
  <c r="F23" i="2"/>
  <c r="F24" i="2"/>
  <c r="F25" i="2"/>
  <c r="F26" i="2"/>
  <c r="F27" i="2"/>
  <c r="F28" i="2"/>
  <c r="F29" i="2"/>
  <c r="F30" i="2"/>
  <c r="F31" i="2"/>
  <c r="F32" i="2"/>
  <c r="F33" i="2"/>
  <c r="K33" i="2" s="1"/>
  <c r="F35" i="2"/>
  <c r="F36" i="2"/>
  <c r="F22" i="2"/>
  <c r="L33" i="2" l="1"/>
  <c r="O33" i="2" s="1"/>
  <c r="C44" i="11"/>
  <c r="U33" i="2" l="1"/>
  <c r="X33" i="2" s="1"/>
  <c r="T33" i="2"/>
  <c r="D59" i="3"/>
  <c r="B59" i="3"/>
  <c r="B44" i="3"/>
  <c r="AC33" i="2" l="1"/>
  <c r="AD33" i="2"/>
  <c r="AG33" i="2" s="1"/>
  <c r="A20" i="8"/>
  <c r="A21" i="8" s="1"/>
  <c r="A22" i="8" s="1"/>
  <c r="A23" i="8" s="1"/>
  <c r="A24" i="8" s="1"/>
  <c r="A25" i="8" s="1"/>
  <c r="A26" i="8" s="1"/>
  <c r="A27" i="8" s="1"/>
  <c r="A8" i="8"/>
  <c r="A9" i="8" s="1"/>
  <c r="A10" i="8" s="1"/>
  <c r="A11" i="8" s="1"/>
  <c r="A12" i="8" s="1"/>
  <c r="A13" i="8" s="1"/>
  <c r="A14" i="8" s="1"/>
  <c r="A15" i="8" s="1"/>
  <c r="AM33" i="2" l="1"/>
  <c r="AP33" i="2" s="1"/>
  <c r="AU33" i="2" s="1"/>
  <c r="AL33" i="2"/>
  <c r="C27" i="4"/>
  <c r="E27" i="4" l="1"/>
  <c r="D27" i="4"/>
  <c r="F20" i="4"/>
  <c r="F21" i="4"/>
  <c r="F22" i="4"/>
  <c r="F23" i="4"/>
  <c r="F24" i="4"/>
  <c r="F25" i="4"/>
  <c r="F26" i="4"/>
  <c r="F19" i="4"/>
  <c r="H47" i="10"/>
  <c r="B12" i="5" l="1"/>
  <c r="B12" i="4"/>
  <c r="B8" i="5"/>
  <c r="B8" i="4"/>
  <c r="D49" i="8"/>
  <c r="C13" i="5"/>
  <c r="C13" i="4"/>
  <c r="D47" i="8"/>
  <c r="C11" i="5"/>
  <c r="C11" i="4"/>
  <c r="D45" i="8"/>
  <c r="C9" i="5"/>
  <c r="C9" i="4"/>
  <c r="D43" i="8"/>
  <c r="C7" i="5"/>
  <c r="C7" i="4"/>
  <c r="B7" i="5"/>
  <c r="B7" i="4"/>
  <c r="B11" i="5"/>
  <c r="B11" i="4"/>
  <c r="F50" i="8"/>
  <c r="D14" i="4"/>
  <c r="D14" i="5"/>
  <c r="F48" i="8"/>
  <c r="D12" i="5"/>
  <c r="D12" i="4"/>
  <c r="F46" i="8"/>
  <c r="E34" i="8"/>
  <c r="D10" i="4"/>
  <c r="D10" i="5"/>
  <c r="F44" i="8"/>
  <c r="D8" i="5"/>
  <c r="D8" i="4"/>
  <c r="B14" i="5"/>
  <c r="B14" i="4"/>
  <c r="C34" i="8"/>
  <c r="B10" i="5"/>
  <c r="B10" i="4"/>
  <c r="D50" i="8"/>
  <c r="C14" i="4"/>
  <c r="C14" i="5"/>
  <c r="D48" i="8"/>
  <c r="C12" i="5"/>
  <c r="C12" i="4"/>
  <c r="D46" i="8"/>
  <c r="D34" i="8"/>
  <c r="C10" i="4"/>
  <c r="C10" i="5"/>
  <c r="D44" i="8"/>
  <c r="C8" i="5"/>
  <c r="C8" i="4"/>
  <c r="B13" i="4"/>
  <c r="B13" i="5"/>
  <c r="B9" i="4"/>
  <c r="B9" i="5"/>
  <c r="F49" i="8"/>
  <c r="D13" i="5"/>
  <c r="D13" i="4"/>
  <c r="F47" i="8"/>
  <c r="D11" i="4"/>
  <c r="D11" i="5"/>
  <c r="F45" i="8"/>
  <c r="D9" i="5"/>
  <c r="D9" i="4"/>
  <c r="F43" i="8"/>
  <c r="D7" i="4"/>
  <c r="D7" i="5"/>
  <c r="AV42" i="2" l="1"/>
  <c r="AW42" i="2"/>
  <c r="H35" i="1" l="1"/>
  <c r="F27" i="4" l="1"/>
  <c r="L7" i="9" l="1"/>
  <c r="K7" i="9"/>
  <c r="C11" i="3"/>
  <c r="C10" i="12" s="1"/>
  <c r="D11" i="3"/>
  <c r="D10" i="12" s="1"/>
  <c r="B11" i="3"/>
  <c r="B10" i="12" s="1"/>
  <c r="F73" i="10"/>
  <c r="E73" i="10"/>
  <c r="F72" i="10"/>
  <c r="E72" i="10"/>
  <c r="D72" i="10"/>
  <c r="C72" i="10"/>
  <c r="G64" i="10"/>
  <c r="F67" i="10"/>
  <c r="E67" i="10"/>
  <c r="C67" i="10"/>
  <c r="E54" i="10"/>
  <c r="D54" i="10"/>
  <c r="C54" i="10"/>
  <c r="F41" i="10"/>
  <c r="E41" i="10"/>
  <c r="G22" i="10"/>
  <c r="F28" i="10"/>
  <c r="E28" i="10"/>
  <c r="D28" i="10"/>
  <c r="F54" i="10"/>
  <c r="D41" i="10"/>
  <c r="A20" i="10"/>
  <c r="A21" i="10" s="1"/>
  <c r="A22" i="10" s="1"/>
  <c r="A23" i="10" s="1"/>
  <c r="A24" i="10" s="1"/>
  <c r="A25" i="10" s="1"/>
  <c r="A26" i="10" s="1"/>
  <c r="A27" i="10" s="1"/>
  <c r="A28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G14" i="10"/>
  <c r="G25" i="10" l="1"/>
  <c r="G48" i="10"/>
  <c r="G52" i="10"/>
  <c r="G60" i="10"/>
  <c r="G20" i="10"/>
  <c r="G23" i="10"/>
  <c r="G26" i="10"/>
  <c r="H52" i="10" s="1"/>
  <c r="G61" i="10"/>
  <c r="G65" i="10"/>
  <c r="H65" i="10" s="1"/>
  <c r="C15" i="10"/>
  <c r="F15" i="10"/>
  <c r="G21" i="10"/>
  <c r="G24" i="10"/>
  <c r="G32" i="10"/>
  <c r="G33" i="10"/>
  <c r="G34" i="10"/>
  <c r="G35" i="10"/>
  <c r="G36" i="10"/>
  <c r="G38" i="10"/>
  <c r="G39" i="10"/>
  <c r="G40" i="10"/>
  <c r="G46" i="10"/>
  <c r="G47" i="10"/>
  <c r="G49" i="10"/>
  <c r="G50" i="10"/>
  <c r="G51" i="10"/>
  <c r="G53" i="10"/>
  <c r="G59" i="10"/>
  <c r="G62" i="10"/>
  <c r="G63" i="10"/>
  <c r="G66" i="10"/>
  <c r="G10" i="10"/>
  <c r="G58" i="10"/>
  <c r="C41" i="10"/>
  <c r="G9" i="10"/>
  <c r="G6" i="10"/>
  <c r="C28" i="10"/>
  <c r="D15" i="10"/>
  <c r="G7" i="10"/>
  <c r="G8" i="10"/>
  <c r="G27" i="10"/>
  <c r="E15" i="10"/>
  <c r="G11" i="10"/>
  <c r="G12" i="10"/>
  <c r="G13" i="10"/>
  <c r="D67" i="10"/>
  <c r="G37" i="10"/>
  <c r="G19" i="10"/>
  <c r="G45" i="10"/>
  <c r="H60" i="10" l="1"/>
  <c r="H51" i="10"/>
  <c r="H46" i="10"/>
  <c r="H62" i="10"/>
  <c r="G28" i="10"/>
  <c r="H49" i="10"/>
  <c r="G54" i="10"/>
  <c r="H45" i="10"/>
  <c r="G67" i="10"/>
  <c r="G41" i="10"/>
  <c r="H66" i="10"/>
  <c r="H53" i="10"/>
  <c r="G15" i="10"/>
  <c r="C10" i="11" l="1"/>
  <c r="D10" i="11"/>
  <c r="B10" i="11"/>
  <c r="A44" i="8" l="1"/>
  <c r="A45" i="8" s="1"/>
  <c r="A32" i="8"/>
  <c r="A33" i="8" s="1"/>
  <c r="A34" i="8" l="1"/>
  <c r="A35" i="8" s="1"/>
  <c r="A36" i="8" s="1"/>
  <c r="A37" i="8" s="1"/>
  <c r="A38" i="8" s="1"/>
  <c r="A39" i="8" s="1"/>
  <c r="A46" i="8"/>
  <c r="A47" i="8" s="1"/>
  <c r="A48" i="8" s="1"/>
  <c r="A49" i="8" s="1"/>
  <c r="A50" i="8" s="1"/>
  <c r="A51" i="8" s="1"/>
  <c r="C39" i="8"/>
  <c r="D60" i="3" l="1"/>
  <c r="E60" i="3" s="1"/>
  <c r="D62" i="3"/>
  <c r="E62" i="3" s="1"/>
  <c r="D61" i="3"/>
  <c r="E61" i="3" s="1"/>
  <c r="D57" i="3"/>
  <c r="E57" i="3" s="1"/>
  <c r="D56" i="3"/>
  <c r="E56" i="3" s="1"/>
  <c r="D55" i="3"/>
  <c r="C58" i="3"/>
  <c r="C59" i="3"/>
  <c r="E58" i="3"/>
  <c r="E59" i="3"/>
  <c r="B62" i="3"/>
  <c r="C62" i="3" s="1"/>
  <c r="B61" i="3"/>
  <c r="C61" i="3" s="1"/>
  <c r="B60" i="3"/>
  <c r="C60" i="3" s="1"/>
  <c r="B57" i="3"/>
  <c r="C57" i="3" s="1"/>
  <c r="B56" i="3"/>
  <c r="C56" i="3" s="1"/>
  <c r="B55" i="3"/>
  <c r="D44" i="3"/>
  <c r="E44" i="3" s="1"/>
  <c r="D47" i="3"/>
  <c r="E47" i="3" s="1"/>
  <c r="D46" i="3"/>
  <c r="E46" i="3" s="1"/>
  <c r="D45" i="3"/>
  <c r="E45" i="3" s="1"/>
  <c r="D42" i="3"/>
  <c r="D41" i="3"/>
  <c r="E41" i="3" s="1"/>
  <c r="D40" i="3"/>
  <c r="B47" i="3"/>
  <c r="B46" i="3"/>
  <c r="B45" i="3"/>
  <c r="B41" i="3"/>
  <c r="C41" i="3" s="1"/>
  <c r="B42" i="3"/>
  <c r="B40" i="3"/>
  <c r="K23" i="9"/>
  <c r="L23" i="9"/>
  <c r="K24" i="9"/>
  <c r="L24" i="9"/>
  <c r="K25" i="9"/>
  <c r="L25" i="9"/>
  <c r="K26" i="9"/>
  <c r="L26" i="9"/>
  <c r="K27" i="9"/>
  <c r="L27" i="9"/>
  <c r="K28" i="9"/>
  <c r="L28" i="9"/>
  <c r="L22" i="9"/>
  <c r="K22" i="9"/>
  <c r="E55" i="3" l="1"/>
  <c r="E64" i="3" s="1"/>
  <c r="D64" i="3"/>
  <c r="C55" i="3"/>
  <c r="B64" i="3"/>
  <c r="C40" i="3"/>
  <c r="B49" i="3"/>
  <c r="E40" i="3"/>
  <c r="D49" i="3"/>
  <c r="F58" i="3"/>
  <c r="E71" i="3" s="1"/>
  <c r="F71" i="3" s="1"/>
  <c r="F60" i="3"/>
  <c r="F62" i="3"/>
  <c r="F61" i="3"/>
  <c r="F59" i="3"/>
  <c r="E72" i="3" s="1"/>
  <c r="F56" i="3"/>
  <c r="F55" i="3" l="1"/>
  <c r="F40" i="3"/>
  <c r="L6" i="9"/>
  <c r="L9" i="9"/>
  <c r="L10" i="9"/>
  <c r="L11" i="9"/>
  <c r="L12" i="9"/>
  <c r="L13" i="9"/>
  <c r="L5" i="9"/>
  <c r="K6" i="9"/>
  <c r="K9" i="9"/>
  <c r="K10" i="9"/>
  <c r="K11" i="9"/>
  <c r="K12" i="9"/>
  <c r="K13" i="9"/>
  <c r="K5" i="9"/>
  <c r="F41" i="3" l="1"/>
  <c r="C44" i="3"/>
  <c r="F44" i="3" s="1"/>
  <c r="C45" i="3"/>
  <c r="C46" i="3"/>
  <c r="C47" i="3"/>
  <c r="F47" i="3" l="1"/>
  <c r="F46" i="3"/>
  <c r="F45" i="3"/>
  <c r="C27" i="8" l="1"/>
  <c r="B10" i="3"/>
  <c r="C13" i="3" l="1"/>
  <c r="D13" i="3"/>
  <c r="C14" i="3"/>
  <c r="B14" i="3"/>
  <c r="B15" i="3"/>
  <c r="D12" i="11" l="1"/>
  <c r="D12" i="12"/>
  <c r="C13" i="11"/>
  <c r="C13" i="12"/>
  <c r="C12" i="11"/>
  <c r="C12" i="12"/>
  <c r="B14" i="11"/>
  <c r="B14" i="12"/>
  <c r="B13" i="11"/>
  <c r="B13" i="12"/>
  <c r="G22" i="4"/>
  <c r="D10" i="3"/>
  <c r="D9" i="3" s="1"/>
  <c r="D9" i="12" s="1"/>
  <c r="D24" i="12" s="1"/>
  <c r="E27" i="8"/>
  <c r="C10" i="3"/>
  <c r="D27" i="8"/>
  <c r="B9" i="3"/>
  <c r="D12" i="3"/>
  <c r="C15" i="8"/>
  <c r="B7" i="3"/>
  <c r="B12" i="3"/>
  <c r="B8" i="3"/>
  <c r="C12" i="3"/>
  <c r="C8" i="3"/>
  <c r="E15" i="8"/>
  <c r="D7" i="3"/>
  <c r="B13" i="3"/>
  <c r="D14" i="3"/>
  <c r="D8" i="3"/>
  <c r="D15" i="3"/>
  <c r="C15" i="3"/>
  <c r="D15" i="8"/>
  <c r="C7" i="3"/>
  <c r="D8" i="11" l="1"/>
  <c r="D8" i="12"/>
  <c r="C7" i="11"/>
  <c r="C7" i="12"/>
  <c r="D13" i="11"/>
  <c r="D13" i="12"/>
  <c r="C8" i="11"/>
  <c r="C8" i="12"/>
  <c r="D23" i="12" s="1"/>
  <c r="C14" i="11"/>
  <c r="C14" i="12"/>
  <c r="C11" i="11"/>
  <c r="C11" i="12"/>
  <c r="D14" i="11"/>
  <c r="D14" i="12"/>
  <c r="D7" i="11"/>
  <c r="D7" i="12"/>
  <c r="D11" i="11"/>
  <c r="D11" i="12"/>
  <c r="B11" i="11"/>
  <c r="B11" i="12"/>
  <c r="B12" i="11"/>
  <c r="B12" i="12"/>
  <c r="B8" i="11"/>
  <c r="B8" i="12"/>
  <c r="B9" i="11"/>
  <c r="B9" i="12"/>
  <c r="B7" i="11"/>
  <c r="B7" i="12"/>
  <c r="C9" i="3"/>
  <c r="F7" i="3"/>
  <c r="E12" i="3"/>
  <c r="E13" i="3"/>
  <c r="E7" i="3"/>
  <c r="F15" i="3"/>
  <c r="F14" i="3"/>
  <c r="G25" i="4"/>
  <c r="F12" i="3"/>
  <c r="F13" i="3"/>
  <c r="E14" i="3"/>
  <c r="E8" i="3"/>
  <c r="G20" i="4"/>
  <c r="E15" i="3"/>
  <c r="F8" i="3"/>
  <c r="G21" i="4"/>
  <c r="F10" i="3"/>
  <c r="F9" i="3" s="1"/>
  <c r="E10" i="3"/>
  <c r="E9" i="3" s="1"/>
  <c r="B16" i="3"/>
  <c r="D15" i="12" l="1"/>
  <c r="D16" i="12" s="1"/>
  <c r="C43" i="3"/>
  <c r="C9" i="12"/>
  <c r="C15" i="12" s="1"/>
  <c r="C16" i="12" s="1"/>
  <c r="B15" i="11"/>
  <c r="D22" i="12"/>
  <c r="B15" i="12"/>
  <c r="C42" i="3"/>
  <c r="E42" i="3"/>
  <c r="E43" i="3"/>
  <c r="D39" i="8"/>
  <c r="B15" i="5"/>
  <c r="C15" i="5"/>
  <c r="C16" i="5" s="1"/>
  <c r="B15" i="4"/>
  <c r="G19" i="4"/>
  <c r="C15" i="4"/>
  <c r="D15" i="4"/>
  <c r="D9" i="11"/>
  <c r="D15" i="11" s="1"/>
  <c r="D16" i="11" s="1"/>
  <c r="D15" i="5"/>
  <c r="D51" i="8"/>
  <c r="F51" i="8"/>
  <c r="E39" i="8"/>
  <c r="E11" i="3"/>
  <c r="C9" i="11" l="1"/>
  <c r="F42" i="3"/>
  <c r="E16" i="3"/>
  <c r="F11" i="3"/>
  <c r="D16" i="3"/>
  <c r="C16" i="3"/>
  <c r="C15" i="11" l="1"/>
  <c r="C16" i="11" s="1"/>
  <c r="F72" i="3"/>
  <c r="E19" i="3"/>
  <c r="E17" i="3"/>
  <c r="C17" i="3"/>
  <c r="C18" i="3"/>
  <c r="E49" i="3"/>
  <c r="F43" i="3"/>
  <c r="F16" i="3"/>
  <c r="F57" i="3"/>
  <c r="F48" i="3"/>
  <c r="C76" i="3" s="1"/>
  <c r="F49" i="3" l="1"/>
  <c r="F63" i="3"/>
  <c r="F64" i="3" s="1"/>
  <c r="C64" i="3"/>
  <c r="F23" i="1"/>
  <c r="G23" i="1"/>
  <c r="H23" i="1"/>
  <c r="I23" i="1"/>
  <c r="K22" i="1"/>
  <c r="K20" i="1"/>
  <c r="K19" i="1"/>
  <c r="J19" i="1"/>
  <c r="K18" i="1"/>
  <c r="J18" i="1"/>
  <c r="I20" i="1"/>
  <c r="I21" i="1"/>
  <c r="K21" i="1" s="1"/>
  <c r="I22" i="1"/>
  <c r="H21" i="1"/>
  <c r="J21" i="1" s="1"/>
  <c r="H22" i="1"/>
  <c r="J22" i="1" s="1"/>
  <c r="H20" i="1"/>
  <c r="J20" i="1" s="1"/>
  <c r="F41" i="1"/>
  <c r="F42" i="1" s="1"/>
  <c r="G41" i="1"/>
  <c r="G42" i="1" s="1"/>
  <c r="A9" i="1"/>
  <c r="A10" i="1" s="1"/>
  <c r="A11" i="1" s="1"/>
  <c r="A12" i="1" s="1"/>
  <c r="A13" i="1" s="1"/>
  <c r="A14" i="1" s="1"/>
  <c r="A15" i="1" s="1"/>
  <c r="A16" i="1" s="1"/>
  <c r="A17" i="1" s="1"/>
  <c r="A24" i="1" s="1"/>
  <c r="A25" i="1" s="1"/>
  <c r="A26" i="1" s="1"/>
  <c r="A8" i="1"/>
  <c r="N21" i="1" l="1"/>
  <c r="N20" i="1"/>
  <c r="N19" i="1"/>
  <c r="N22" i="1"/>
  <c r="N18" i="1"/>
  <c r="N42" i="2" l="1"/>
  <c r="AA42" i="2"/>
  <c r="AJ42" i="2"/>
  <c r="AE42" i="2"/>
  <c r="Q42" i="2"/>
  <c r="R42" i="2"/>
  <c r="AF42" i="2"/>
  <c r="AO42" i="2"/>
  <c r="M42" i="2"/>
  <c r="W42" i="2"/>
  <c r="AS42" i="2"/>
  <c r="E40" i="1" l="1"/>
  <c r="K40" i="1" l="1"/>
  <c r="D40" i="1" l="1"/>
  <c r="Z42" i="2" l="1"/>
  <c r="V42" i="2" l="1"/>
  <c r="H42" i="2"/>
  <c r="I42" i="2"/>
  <c r="E42" i="2"/>
  <c r="C42" i="2"/>
  <c r="G42" i="2" l="1"/>
  <c r="D42" i="2"/>
  <c r="D39" i="1"/>
  <c r="J39" i="1" s="1"/>
  <c r="D36" i="1"/>
  <c r="E29" i="1"/>
  <c r="M39" i="1" l="1"/>
  <c r="L39" i="1"/>
  <c r="E27" i="1"/>
  <c r="D27" i="1"/>
  <c r="D37" i="1"/>
  <c r="J37" i="1" s="1"/>
  <c r="D34" i="1"/>
  <c r="J34" i="1" s="1"/>
  <c r="E33" i="1"/>
  <c r="K33" i="1" s="1"/>
  <c r="E35" i="1"/>
  <c r="K35" i="1" s="1"/>
  <c r="E34" i="1"/>
  <c r="K34" i="1" s="1"/>
  <c r="K37" i="2"/>
  <c r="D37" i="2"/>
  <c r="E37" i="2"/>
  <c r="G37" i="2"/>
  <c r="H37" i="2"/>
  <c r="I37" i="2"/>
  <c r="M37" i="2"/>
  <c r="N37" i="2"/>
  <c r="Q37" i="2"/>
  <c r="R37" i="2"/>
  <c r="V37" i="2"/>
  <c r="W37" i="2"/>
  <c r="Z37" i="2"/>
  <c r="AA37" i="2"/>
  <c r="AE37" i="2"/>
  <c r="AF37" i="2"/>
  <c r="AJ37" i="2"/>
  <c r="AO37" i="2"/>
  <c r="AS37" i="2"/>
  <c r="AV37" i="2"/>
  <c r="C37" i="2"/>
  <c r="C19" i="2"/>
  <c r="AS19" i="2"/>
  <c r="AO19" i="2"/>
  <c r="AT17" i="2"/>
  <c r="AP17" i="2"/>
  <c r="I19" i="2"/>
  <c r="R19" i="2"/>
  <c r="Q19" i="2"/>
  <c r="Z19" i="2"/>
  <c r="L37" i="1" l="1"/>
  <c r="M37" i="1"/>
  <c r="M34" i="1"/>
  <c r="L34" i="1"/>
  <c r="Z38" i="2"/>
  <c r="F42" i="2"/>
  <c r="K42" i="2"/>
  <c r="J42" i="2"/>
  <c r="C49" i="3"/>
  <c r="D16" i="1"/>
  <c r="AP9" i="2"/>
  <c r="D8" i="1" s="1"/>
  <c r="AP11" i="2"/>
  <c r="E16" i="1"/>
  <c r="K16" i="1" s="1"/>
  <c r="Q38" i="2"/>
  <c r="J37" i="2"/>
  <c r="F37" i="2"/>
  <c r="D31" i="1"/>
  <c r="AT13" i="2"/>
  <c r="AT16" i="2"/>
  <c r="AT12" i="2"/>
  <c r="AP13" i="2"/>
  <c r="AU13" i="2" s="1"/>
  <c r="AW13" i="2" s="1"/>
  <c r="I38" i="2"/>
  <c r="AO38" i="2"/>
  <c r="AS38" i="2"/>
  <c r="C38" i="2"/>
  <c r="E39" i="1"/>
  <c r="K39" i="1" s="1"/>
  <c r="N39" i="1" s="1"/>
  <c r="E34" i="11" s="1"/>
  <c r="R38" i="2"/>
  <c r="AT18" i="2"/>
  <c r="AU17" i="2"/>
  <c r="AW17" i="2" s="1"/>
  <c r="N19" i="2"/>
  <c r="N38" i="2" s="1"/>
  <c r="G19" i="2"/>
  <c r="G38" i="2" s="1"/>
  <c r="AA19" i="2"/>
  <c r="AA38" i="2" s="1"/>
  <c r="AI19" i="2"/>
  <c r="J19" i="2"/>
  <c r="D19" i="2"/>
  <c r="D38" i="2" s="1"/>
  <c r="H19" i="2"/>
  <c r="H38" i="2" s="1"/>
  <c r="E19" i="2"/>
  <c r="E38" i="2" s="1"/>
  <c r="W19" i="2"/>
  <c r="W38" i="2" s="1"/>
  <c r="AF19" i="2"/>
  <c r="AF38" i="2" s="1"/>
  <c r="M19" i="2"/>
  <c r="M38" i="2" s="1"/>
  <c r="V19" i="2"/>
  <c r="V38" i="2" s="1"/>
  <c r="AJ19" i="2"/>
  <c r="AJ38" i="2" s="1"/>
  <c r="F19" i="2"/>
  <c r="N34" i="1" l="1"/>
  <c r="B34" i="11" s="1"/>
  <c r="B42" i="11" s="1"/>
  <c r="E39" i="11"/>
  <c r="E40" i="11"/>
  <c r="E42" i="11"/>
  <c r="E41" i="11"/>
  <c r="E36" i="11"/>
  <c r="E37" i="11"/>
  <c r="E38" i="11"/>
  <c r="B38" i="11"/>
  <c r="B41" i="11"/>
  <c r="B37" i="11"/>
  <c r="B40" i="11"/>
  <c r="L42" i="2"/>
  <c r="P42" i="2"/>
  <c r="AI37" i="2"/>
  <c r="AI42" i="2"/>
  <c r="F38" i="2"/>
  <c r="AI38" i="2"/>
  <c r="D10" i="1"/>
  <c r="E11" i="1"/>
  <c r="K11" i="1" s="1"/>
  <c r="D12" i="1"/>
  <c r="J16" i="1"/>
  <c r="AT9" i="2"/>
  <c r="E15" i="1"/>
  <c r="K15" i="1" s="1"/>
  <c r="AE19" i="2"/>
  <c r="AE38" i="2" s="1"/>
  <c r="E12" i="1"/>
  <c r="K12" i="1" s="1"/>
  <c r="J8" i="1"/>
  <c r="J38" i="2"/>
  <c r="P37" i="2"/>
  <c r="L37" i="2"/>
  <c r="AN42" i="2"/>
  <c r="AW30" i="2"/>
  <c r="D29" i="1"/>
  <c r="AP18" i="2"/>
  <c r="AP14" i="2"/>
  <c r="AP15" i="2"/>
  <c r="K19" i="2"/>
  <c r="K38" i="2" s="1"/>
  <c r="O19" i="2"/>
  <c r="AV19" i="2"/>
  <c r="AV38" i="2" s="1"/>
  <c r="L19" i="2"/>
  <c r="B36" i="11" l="1"/>
  <c r="B39" i="11"/>
  <c r="E44" i="11"/>
  <c r="L38" i="2"/>
  <c r="O42" i="2"/>
  <c r="S42" i="2"/>
  <c r="T42" i="2"/>
  <c r="L16" i="1"/>
  <c r="N16" i="1" s="1"/>
  <c r="M16" i="1"/>
  <c r="AU9" i="2"/>
  <c r="E8" i="1"/>
  <c r="AU18" i="2"/>
  <c r="AW18" i="2" s="1"/>
  <c r="J10" i="1"/>
  <c r="D14" i="1"/>
  <c r="M8" i="1"/>
  <c r="L8" i="1"/>
  <c r="D13" i="1"/>
  <c r="J12" i="1"/>
  <c r="O37" i="2"/>
  <c r="O38" i="2" s="1"/>
  <c r="AW34" i="2"/>
  <c r="D28" i="1"/>
  <c r="Y42" i="2"/>
  <c r="S37" i="2"/>
  <c r="U42" i="2"/>
  <c r="T37" i="2"/>
  <c r="AP16" i="2"/>
  <c r="AP10" i="2"/>
  <c r="D9" i="1" s="1"/>
  <c r="AT14" i="2"/>
  <c r="D33" i="1"/>
  <c r="J33" i="1" s="1"/>
  <c r="AP12" i="2"/>
  <c r="AM19" i="2"/>
  <c r="P19" i="2"/>
  <c r="P38" i="2" s="1"/>
  <c r="U19" i="2"/>
  <c r="B44" i="11" l="1"/>
  <c r="J31" i="1"/>
  <c r="L31" i="1" s="1"/>
  <c r="E28" i="1"/>
  <c r="L33" i="1"/>
  <c r="M33" i="1"/>
  <c r="M31" i="1"/>
  <c r="AR37" i="2"/>
  <c r="AR42" i="2"/>
  <c r="AW9" i="2"/>
  <c r="AT11" i="2"/>
  <c r="AU14" i="2"/>
  <c r="AW14" i="2" s="1"/>
  <c r="E13" i="1"/>
  <c r="K13" i="1" s="1"/>
  <c r="L12" i="1"/>
  <c r="M12" i="1"/>
  <c r="K8" i="1"/>
  <c r="J14" i="1"/>
  <c r="AU16" i="2"/>
  <c r="AW16" i="2" s="1"/>
  <c r="D15" i="1"/>
  <c r="D11" i="1"/>
  <c r="J13" i="1"/>
  <c r="Y37" i="2"/>
  <c r="E31" i="1"/>
  <c r="AC42" i="2"/>
  <c r="U37" i="2"/>
  <c r="U38" i="2" s="1"/>
  <c r="AR19" i="2"/>
  <c r="AT10" i="2"/>
  <c r="AN19" i="2"/>
  <c r="E36" i="1"/>
  <c r="K36" i="1" s="1"/>
  <c r="AT15" i="2"/>
  <c r="AQ19" i="2"/>
  <c r="AU12" i="2"/>
  <c r="AW12" i="2" s="1"/>
  <c r="AP19" i="2"/>
  <c r="X19" i="2"/>
  <c r="T19" i="2"/>
  <c r="T38" i="2" s="1"/>
  <c r="S19" i="2"/>
  <c r="S38" i="2" s="1"/>
  <c r="N33" i="1" l="1"/>
  <c r="G20" i="11" s="1"/>
  <c r="D23" i="1"/>
  <c r="AB42" i="2"/>
  <c r="G24" i="11"/>
  <c r="G26" i="11"/>
  <c r="G27" i="11"/>
  <c r="G25" i="11"/>
  <c r="G28" i="11"/>
  <c r="G22" i="11"/>
  <c r="G23" i="11"/>
  <c r="AR38" i="2"/>
  <c r="K31" i="1"/>
  <c r="N31" i="1" s="1"/>
  <c r="X42" i="2"/>
  <c r="N8" i="1"/>
  <c r="B23" i="3" s="1"/>
  <c r="AU11" i="2"/>
  <c r="AW11" i="2" s="1"/>
  <c r="E10" i="1"/>
  <c r="AU10" i="2"/>
  <c r="E9" i="1"/>
  <c r="L13" i="1"/>
  <c r="M13" i="1"/>
  <c r="L14" i="1"/>
  <c r="M14" i="1"/>
  <c r="N12" i="1"/>
  <c r="E23" i="3" s="1"/>
  <c r="E14" i="1"/>
  <c r="J11" i="1"/>
  <c r="J15" i="1"/>
  <c r="J9" i="1"/>
  <c r="AB37" i="2"/>
  <c r="AC37" i="2"/>
  <c r="AW29" i="2"/>
  <c r="X37" i="2"/>
  <c r="X38" i="2" s="1"/>
  <c r="E37" i="1"/>
  <c r="K37" i="1" s="1"/>
  <c r="N37" i="1" s="1"/>
  <c r="D34" i="11" s="1"/>
  <c r="AU15" i="2"/>
  <c r="AT19" i="2"/>
  <c r="AD19" i="2"/>
  <c r="Y19" i="2"/>
  <c r="Y38" i="2" s="1"/>
  <c r="N13" i="1" l="1"/>
  <c r="F23" i="3" s="1"/>
  <c r="D36" i="11"/>
  <c r="D39" i="11"/>
  <c r="D42" i="11"/>
  <c r="D40" i="11"/>
  <c r="D38" i="11"/>
  <c r="D37" i="11"/>
  <c r="D41" i="11"/>
  <c r="J23" i="1"/>
  <c r="G30" i="11"/>
  <c r="B29" i="3"/>
  <c r="B25" i="3"/>
  <c r="B26" i="3"/>
  <c r="B30" i="3"/>
  <c r="B27" i="3"/>
  <c r="B31" i="3"/>
  <c r="B28" i="3"/>
  <c r="B32" i="3"/>
  <c r="E26" i="3"/>
  <c r="E30" i="3"/>
  <c r="E27" i="3"/>
  <c r="E31" i="3"/>
  <c r="E28" i="3"/>
  <c r="E32" i="3"/>
  <c r="E29" i="3"/>
  <c r="E25" i="3"/>
  <c r="F26" i="3"/>
  <c r="F30" i="3"/>
  <c r="F27" i="3"/>
  <c r="F31" i="3"/>
  <c r="F28" i="3"/>
  <c r="F32" i="3"/>
  <c r="F29" i="3"/>
  <c r="F25" i="3"/>
  <c r="AH42" i="2"/>
  <c r="AD42" i="2"/>
  <c r="E23" i="1"/>
  <c r="AW10" i="2"/>
  <c r="AU19" i="2"/>
  <c r="K14" i="1"/>
  <c r="N14" i="1" s="1"/>
  <c r="G23" i="3" s="1"/>
  <c r="G25" i="3" s="1"/>
  <c r="K10" i="1"/>
  <c r="L9" i="1"/>
  <c r="M9" i="1"/>
  <c r="L11" i="1"/>
  <c r="M11" i="1"/>
  <c r="K9" i="1"/>
  <c r="L15" i="1"/>
  <c r="M15" i="1"/>
  <c r="AD37" i="2"/>
  <c r="AD38" i="2" s="1"/>
  <c r="AH37" i="2"/>
  <c r="AW32" i="2"/>
  <c r="AW15" i="2"/>
  <c r="AC19" i="2"/>
  <c r="AC38" i="2" s="1"/>
  <c r="AB19" i="2"/>
  <c r="AB38" i="2" s="1"/>
  <c r="AG19" i="2"/>
  <c r="D44" i="11" l="1"/>
  <c r="K23" i="1"/>
  <c r="C71" i="3"/>
  <c r="D71" i="3" s="1"/>
  <c r="F34" i="3"/>
  <c r="L23" i="1"/>
  <c r="E34" i="3"/>
  <c r="G32" i="3"/>
  <c r="G30" i="3"/>
  <c r="G26" i="3"/>
  <c r="G31" i="3"/>
  <c r="G27" i="3"/>
  <c r="G29" i="3"/>
  <c r="B34" i="3"/>
  <c r="AL42" i="2"/>
  <c r="AG42" i="2"/>
  <c r="AK42" i="2"/>
  <c r="M23" i="1"/>
  <c r="N15" i="1"/>
  <c r="H23" i="3" s="1"/>
  <c r="H25" i="3" s="1"/>
  <c r="N10" i="1"/>
  <c r="N11" i="1"/>
  <c r="D23" i="3" s="1"/>
  <c r="D25" i="3" s="1"/>
  <c r="N9" i="1"/>
  <c r="C23" i="3" s="1"/>
  <c r="C25" i="3" s="1"/>
  <c r="AL37" i="2"/>
  <c r="AG37" i="2"/>
  <c r="AG38" i="2" s="1"/>
  <c r="AK37" i="2"/>
  <c r="AW33" i="2"/>
  <c r="E30" i="1"/>
  <c r="K30" i="1" s="1"/>
  <c r="AH19" i="2"/>
  <c r="AH38" i="2" s="1"/>
  <c r="G34" i="3" l="1"/>
  <c r="C26" i="3"/>
  <c r="D76" i="3"/>
  <c r="D31" i="3"/>
  <c r="C74" i="3" s="1"/>
  <c r="D74" i="3" s="1"/>
  <c r="D30" i="3"/>
  <c r="C73" i="3" s="1"/>
  <c r="D73" i="3" s="1"/>
  <c r="D26" i="3"/>
  <c r="D29" i="3"/>
  <c r="C72" i="3" s="1"/>
  <c r="D72" i="3" s="1"/>
  <c r="D32" i="3"/>
  <c r="C75" i="3" s="1"/>
  <c r="D75" i="3" s="1"/>
  <c r="D27" i="3"/>
  <c r="C70" i="3" s="1"/>
  <c r="D70" i="3" s="1"/>
  <c r="H26" i="3"/>
  <c r="E69" i="3" s="1"/>
  <c r="F69" i="3" s="1"/>
  <c r="E76" i="3"/>
  <c r="F76" i="3" s="1"/>
  <c r="H30" i="3"/>
  <c r="E73" i="3" s="1"/>
  <c r="F73" i="3" s="1"/>
  <c r="H31" i="3"/>
  <c r="E74" i="3" s="1"/>
  <c r="F74" i="3" s="1"/>
  <c r="H32" i="3"/>
  <c r="E75" i="3" s="1"/>
  <c r="F75" i="3" s="1"/>
  <c r="H27" i="3"/>
  <c r="E70" i="3" s="1"/>
  <c r="F70" i="3" s="1"/>
  <c r="K28" i="1"/>
  <c r="AM42" i="2"/>
  <c r="AQ42" i="2"/>
  <c r="N23" i="1"/>
  <c r="D26" i="1"/>
  <c r="E26" i="1"/>
  <c r="AK19" i="2"/>
  <c r="AK38" i="2" s="1"/>
  <c r="J28" i="1" l="1"/>
  <c r="D30" i="1"/>
  <c r="J30" i="1" s="1"/>
  <c r="D34" i="3"/>
  <c r="C69" i="3"/>
  <c r="D69" i="3" s="1"/>
  <c r="E68" i="3"/>
  <c r="H34" i="3"/>
  <c r="C34" i="3"/>
  <c r="C68" i="3"/>
  <c r="N28" i="1"/>
  <c r="K29" i="1"/>
  <c r="K27" i="1"/>
  <c r="J29" i="1"/>
  <c r="M29" i="1" s="1"/>
  <c r="J27" i="1"/>
  <c r="AP42" i="2"/>
  <c r="I26" i="1"/>
  <c r="I41" i="1" s="1"/>
  <c r="I42" i="1" s="1"/>
  <c r="AU42" i="2"/>
  <c r="AT42" i="2"/>
  <c r="AU21" i="2"/>
  <c r="AW21" i="2" s="1"/>
  <c r="AL19" i="2"/>
  <c r="AL38" i="2" s="1"/>
  <c r="AW19" i="2"/>
  <c r="M30" i="1" l="1"/>
  <c r="L30" i="1"/>
  <c r="D68" i="3"/>
  <c r="C77" i="3"/>
  <c r="F68" i="3"/>
  <c r="E77" i="3"/>
  <c r="L29" i="1"/>
  <c r="L27" i="1"/>
  <c r="M27" i="1"/>
  <c r="K26" i="1"/>
  <c r="N29" i="1"/>
  <c r="H26" i="1"/>
  <c r="J26" i="1" s="1"/>
  <c r="AN37" i="2"/>
  <c r="AN38" i="2" s="1"/>
  <c r="D35" i="1"/>
  <c r="J35" i="1" s="1"/>
  <c r="N35" i="1" s="1"/>
  <c r="C34" i="11" s="1"/>
  <c r="N30" i="1" l="1"/>
  <c r="C20" i="11" s="1"/>
  <c r="C24" i="11" s="1"/>
  <c r="C28" i="11"/>
  <c r="C26" i="11"/>
  <c r="C25" i="11"/>
  <c r="H77" i="3"/>
  <c r="N27" i="1"/>
  <c r="E20" i="11" s="1"/>
  <c r="D20" i="11"/>
  <c r="L26" i="1"/>
  <c r="M26" i="1"/>
  <c r="C27" i="11" l="1"/>
  <c r="C22" i="11"/>
  <c r="C23" i="11"/>
  <c r="E24" i="11"/>
  <c r="E25" i="11"/>
  <c r="E26" i="11"/>
  <c r="E28" i="11"/>
  <c r="E22" i="11"/>
  <c r="E23" i="11"/>
  <c r="E27" i="11"/>
  <c r="D28" i="11"/>
  <c r="D27" i="11"/>
  <c r="D26" i="11"/>
  <c r="D23" i="11"/>
  <c r="D25" i="11"/>
  <c r="D22" i="11"/>
  <c r="D24" i="11"/>
  <c r="B20" i="11"/>
  <c r="N26" i="1"/>
  <c r="AW31" i="2"/>
  <c r="C30" i="11" l="1"/>
  <c r="B24" i="11"/>
  <c r="B25" i="11"/>
  <c r="B27" i="11"/>
  <c r="B26" i="11"/>
  <c r="B22" i="11"/>
  <c r="B28" i="11"/>
  <c r="B23" i="11"/>
  <c r="E30" i="11"/>
  <c r="D30" i="11"/>
  <c r="B30" i="11" l="1"/>
  <c r="AM37" i="2"/>
  <c r="AM38" i="2" s="1"/>
  <c r="D32" i="1" l="1"/>
  <c r="J32" i="1" l="1"/>
  <c r="D41" i="1"/>
  <c r="D42" i="1" s="1"/>
  <c r="AP37" i="2"/>
  <c r="AP38" i="2" s="1"/>
  <c r="L32" i="1" l="1"/>
  <c r="M32" i="1"/>
  <c r="AQ37" i="2"/>
  <c r="AQ38" i="2" s="1"/>
  <c r="E32" i="1" l="1"/>
  <c r="AU38" i="2"/>
  <c r="K32" i="1" l="1"/>
  <c r="E41" i="1"/>
  <c r="E42" i="1" s="1"/>
  <c r="AT37" i="2"/>
  <c r="AT38" i="2" s="1"/>
  <c r="AW28" i="2"/>
  <c r="AW37" i="2" s="1"/>
  <c r="AW38" i="2" s="1"/>
  <c r="K41" i="1" l="1"/>
  <c r="K42" i="1" s="1"/>
  <c r="N32" i="1"/>
  <c r="F20" i="11" s="1"/>
  <c r="F24" i="11" l="1"/>
  <c r="F25" i="11"/>
  <c r="F26" i="11"/>
  <c r="F27" i="11"/>
  <c r="F28" i="11"/>
  <c r="F22" i="11"/>
  <c r="F23" i="11"/>
  <c r="J36" i="1"/>
  <c r="F30" i="11" l="1"/>
  <c r="N36" i="1"/>
  <c r="B24" i="5" l="1"/>
  <c r="D24" i="5" s="1"/>
  <c r="B20" i="5"/>
  <c r="D20" i="5" s="1"/>
  <c r="B23" i="5"/>
  <c r="D23" i="5" s="1"/>
  <c r="B21" i="5"/>
  <c r="D21" i="5" s="1"/>
  <c r="B26" i="5"/>
  <c r="D26" i="5" s="1"/>
  <c r="B22" i="5"/>
  <c r="D22" i="5" s="1"/>
  <c r="B25" i="5"/>
  <c r="D25" i="5" s="1"/>
  <c r="D27" i="5"/>
  <c r="B28" i="5" l="1"/>
  <c r="C55" i="11" l="1"/>
  <c r="D55" i="11" s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42" i="1" s="1"/>
  <c r="H41" i="1" l="1"/>
  <c r="H42" i="1" s="1"/>
  <c r="J40" i="1"/>
  <c r="J41" i="1" l="1"/>
  <c r="J42" i="1" s="1"/>
  <c r="L40" i="1"/>
  <c r="M40" i="1"/>
  <c r="M41" i="1" s="1"/>
  <c r="M42" i="1" s="1"/>
  <c r="N40" i="1" l="1"/>
  <c r="L41" i="1"/>
  <c r="L42" i="1" s="1"/>
  <c r="N41" i="1" l="1"/>
  <c r="N42" i="1" s="1"/>
  <c r="F34" i="11"/>
  <c r="F36" i="11" l="1"/>
  <c r="F38" i="11"/>
  <c r="F41" i="11"/>
  <c r="G34" i="11"/>
  <c r="F37" i="11"/>
  <c r="F39" i="11"/>
  <c r="F40" i="11"/>
  <c r="F42" i="11"/>
  <c r="G42" i="11" l="1"/>
  <c r="C54" i="11" s="1"/>
  <c r="D54" i="11" s="1"/>
  <c r="G41" i="11"/>
  <c r="C53" i="11" s="1"/>
  <c r="D53" i="11" s="1"/>
  <c r="G38" i="11"/>
  <c r="C50" i="11" s="1"/>
  <c r="D50" i="11" s="1"/>
  <c r="G36" i="11"/>
  <c r="G40" i="11"/>
  <c r="C52" i="11" s="1"/>
  <c r="D52" i="11" s="1"/>
  <c r="G39" i="11"/>
  <c r="C51" i="11" s="1"/>
  <c r="D51" i="11" s="1"/>
  <c r="G37" i="11"/>
  <c r="C49" i="11" s="1"/>
  <c r="D49" i="11" s="1"/>
  <c r="F44" i="11"/>
  <c r="C48" i="11" l="1"/>
  <c r="G44" i="11"/>
  <c r="D48" i="11" l="1"/>
  <c r="C56" i="11"/>
</calcChain>
</file>

<file path=xl/sharedStrings.xml><?xml version="1.0" encoding="utf-8"?>
<sst xmlns="http://schemas.openxmlformats.org/spreadsheetml/2006/main" count="696" uniqueCount="185">
  <si>
    <t>GROUP ONE</t>
  </si>
  <si>
    <t>Low Voltage</t>
  </si>
  <si>
    <t>Smart Metering Entity Charge</t>
  </si>
  <si>
    <t>LRAMVA</t>
  </si>
  <si>
    <t>RSVA Wholesale Market</t>
  </si>
  <si>
    <t>RSVA Network</t>
  </si>
  <si>
    <t>RSVA Connection</t>
  </si>
  <si>
    <t>RSVA Power</t>
  </si>
  <si>
    <t>RSVA Global</t>
  </si>
  <si>
    <t>Disposition and Recovery of Regulatory Assets</t>
  </si>
  <si>
    <t>Subtotal</t>
  </si>
  <si>
    <t>GROUP TWO</t>
  </si>
  <si>
    <t>Other Regulatory Assets</t>
  </si>
  <si>
    <t>RCVA Retail</t>
  </si>
  <si>
    <t>Smart Grid Capital</t>
  </si>
  <si>
    <t>RCVA STR</t>
  </si>
  <si>
    <t>Smart Meter Capital and Recovery Offset</t>
  </si>
  <si>
    <t>CGAAP Accounting Changes</t>
  </si>
  <si>
    <t>RSVA One Time</t>
  </si>
  <si>
    <t>PILs &amp; Tax Variance</t>
  </si>
  <si>
    <t>GRAND TOTAL</t>
  </si>
  <si>
    <t>USoA</t>
  </si>
  <si>
    <t>Description</t>
  </si>
  <si>
    <t>RRR 2.1.7</t>
  </si>
  <si>
    <t>Variance</t>
  </si>
  <si>
    <t>Principal</t>
  </si>
  <si>
    <t>Interest</t>
  </si>
  <si>
    <t xml:space="preserve">Total </t>
  </si>
  <si>
    <t>Opening Balance</t>
  </si>
  <si>
    <t>Transactions</t>
  </si>
  <si>
    <t>BA</t>
  </si>
  <si>
    <t>Closing Balance</t>
  </si>
  <si>
    <t>Total</t>
  </si>
  <si>
    <t>Grand Total</t>
  </si>
  <si>
    <t>Entegrus Powerlines Inc.</t>
  </si>
  <si>
    <t>Rate Class</t>
  </si>
  <si>
    <t>Customer Numbers</t>
  </si>
  <si>
    <t>Total 
kWh</t>
  </si>
  <si>
    <t>Total 
kW</t>
  </si>
  <si>
    <t>Non-RPP 
kWh</t>
  </si>
  <si>
    <t>Non-RPP 
kW</t>
  </si>
  <si>
    <t>Residential</t>
  </si>
  <si>
    <t>General Service &lt;50</t>
  </si>
  <si>
    <t>General Service &gt;50</t>
  </si>
  <si>
    <t>Unmetered Scattered Load Connections</t>
  </si>
  <si>
    <t>Sentinel Lighting Connections</t>
  </si>
  <si>
    <t>Street Lighting Connections</t>
  </si>
  <si>
    <t>Allocation of Deferral Balances</t>
  </si>
  <si>
    <t>Deferral Acct</t>
  </si>
  <si>
    <t>Total Claim Per Board Model:</t>
  </si>
  <si>
    <t>Allocation Notes:</t>
  </si>
  <si>
    <t>Total kWh</t>
  </si>
  <si>
    <t>Res &amp; GS&lt;50 Customer No.</t>
  </si>
  <si>
    <t>Large Use - Class A</t>
  </si>
  <si>
    <t>Application</t>
  </si>
  <si>
    <t>Residual Balance</t>
  </si>
  <si>
    <t>Original Alloc</t>
  </si>
  <si>
    <t>Alloc Balance</t>
  </si>
  <si>
    <t>Rate Rider Recovery Period</t>
  </si>
  <si>
    <t>Calculation of Rate Riders</t>
  </si>
  <si>
    <t>Billing Unit</t>
  </si>
  <si>
    <t>Group One Disp Total $</t>
  </si>
  <si>
    <t>Group One Rate Rider</t>
  </si>
  <si>
    <t>Non-RPP Rate Rider</t>
  </si>
  <si>
    <t>kWh</t>
  </si>
  <si>
    <t>kW</t>
  </si>
  <si>
    <t>Notes:</t>
  </si>
  <si>
    <t>Balance for Disposition</t>
  </si>
  <si>
    <t>Total Claim</t>
  </si>
  <si>
    <t>LRAM</t>
  </si>
  <si>
    <t>HST Savings</t>
  </si>
  <si>
    <t>CK</t>
  </si>
  <si>
    <t>2010 Rebasing</t>
  </si>
  <si>
    <t>Line No.</t>
  </si>
  <si>
    <t>Complete 2013 &amp; Prior</t>
  </si>
  <si>
    <t>Complete 2014</t>
  </si>
  <si>
    <t>Complete 2015</t>
  </si>
  <si>
    <t>Complete 2016</t>
  </si>
  <si>
    <t>Complete 2017</t>
  </si>
  <si>
    <t>2015 Disposition
(EB-2014-0064)</t>
  </si>
  <si>
    <t>Ending Balance 
December 31, 2014</t>
  </si>
  <si>
    <t>Interest 
Jan-Dec 2015</t>
  </si>
  <si>
    <t>Interest 
Jan-Apr 2016</t>
  </si>
  <si>
    <t>Shared Tax Savings</t>
  </si>
  <si>
    <t>Billing Determinants [Load Forecast]</t>
  </si>
  <si>
    <t>Intermediate</t>
  </si>
  <si>
    <t>Embedded Distribution</t>
  </si>
  <si>
    <t>OEB Cost Assessment</t>
  </si>
  <si>
    <t>Pension Contributions</t>
  </si>
  <si>
    <t>One-Time Incremental IFRS Transition Costs</t>
  </si>
  <si>
    <t>Incremental Capital Contribution (HONI)</t>
  </si>
  <si>
    <t>Large User</t>
  </si>
  <si>
    <t xml:space="preserve">Line No. </t>
  </si>
  <si>
    <t>Wholesale Market Participants</t>
  </si>
  <si>
    <t>Non-RPP kW</t>
  </si>
  <si>
    <t>Large Use</t>
  </si>
  <si>
    <t>General Service &gt;50 - WMP</t>
  </si>
  <si>
    <t>Total kWh Excluding WMP</t>
  </si>
  <si>
    <t>Total Non-RPP kWh Excluding  WMP &amp; Class A</t>
  </si>
  <si>
    <t>Allocation of Residual Balances, Account 1595 - Group One</t>
  </si>
  <si>
    <t>EB-2012-0119 - CK</t>
  </si>
  <si>
    <t>EB-2012-0119 - SMP</t>
  </si>
  <si>
    <t xml:space="preserve"> Balance of Accounts Allocated by kWh/kW (RPP) or Distribution Revenue</t>
  </si>
  <si>
    <t>Deferral/Variance Account Rate Rider</t>
  </si>
  <si>
    <t>Allocation of Balance in Account 1588 Global Adjustment Sub-Account</t>
  </si>
  <si>
    <t>Billed kWh or Estimated kW for Non-RPP Customers</t>
  </si>
  <si>
    <t>Global Adjustment Rate Rider</t>
  </si>
  <si>
    <t>Unit</t>
  </si>
  <si>
    <t>Billed kWh</t>
  </si>
  <si>
    <t>Billed kW        or kVA</t>
  </si>
  <si>
    <t>$/kWh</t>
  </si>
  <si>
    <t>General Service Less Than 50 kW</t>
  </si>
  <si>
    <t>General Service 50 to 999 kW</t>
  </si>
  <si>
    <t>$/kW</t>
  </si>
  <si>
    <t>General Service Intermediate 1,000 To 4,999 kW</t>
  </si>
  <si>
    <t>Intermediate With Self Generation</t>
  </si>
  <si>
    <t>Unmetered Scattered Load</t>
  </si>
  <si>
    <t>Standby Power</t>
  </si>
  <si>
    <t>Sentinel Lighting</t>
  </si>
  <si>
    <t>Street Lighting</t>
  </si>
  <si>
    <t>MicroFit</t>
  </si>
  <si>
    <t>General Service 50 to 4,999 kW</t>
  </si>
  <si>
    <t>CKH</t>
  </si>
  <si>
    <t>SMP</t>
  </si>
  <si>
    <t>Allocation of Residual Balances, Account 1595 - Non-RPP</t>
  </si>
  <si>
    <t>Class A Customers</t>
  </si>
  <si>
    <t>NON-RPP</t>
  </si>
  <si>
    <t xml:space="preserve">Entegrus Powerlines Inc. </t>
  </si>
  <si>
    <t>Reconciliation of 2014 Billing Determinants</t>
  </si>
  <si>
    <t>Customers/Connections</t>
  </si>
  <si>
    <t>Dutton</t>
  </si>
  <si>
    <t>Newbury</t>
  </si>
  <si>
    <t>Intermediate with Self Generation</t>
  </si>
  <si>
    <t>TOTAL</t>
  </si>
  <si>
    <r>
      <t xml:space="preserve">Total kWh 
</t>
    </r>
    <r>
      <rPr>
        <b/>
        <sz val="8"/>
        <color theme="1"/>
        <rFont val="Calibri"/>
        <family val="2"/>
        <scheme val="minor"/>
      </rPr>
      <t>(Excluding Losses)</t>
    </r>
  </si>
  <si>
    <t>Total kW</t>
  </si>
  <si>
    <r>
      <t xml:space="preserve">Non-RPP kWh 
</t>
    </r>
    <r>
      <rPr>
        <b/>
        <sz val="9"/>
        <color theme="1"/>
        <rFont val="Calibri"/>
        <family val="2"/>
        <scheme val="minor"/>
      </rPr>
      <t>(Excluding Losses)</t>
    </r>
  </si>
  <si>
    <t>Class A Customer - 2014 Actuals</t>
  </si>
  <si>
    <t>Meridian (LU)</t>
  </si>
  <si>
    <t>AutoLiv (GS&gt;50)</t>
  </si>
  <si>
    <t>Wabtec (GS&gt;50)</t>
  </si>
  <si>
    <t>% of kWh</t>
  </si>
  <si>
    <t>% of kW</t>
  </si>
  <si>
    <t>Non-RPP Excluding WMP &amp; Class A</t>
  </si>
  <si>
    <t>Balance</t>
  </si>
  <si>
    <t>Allocated Balance</t>
  </si>
  <si>
    <t>2016 Load Forecast [Including WMP]</t>
  </si>
  <si>
    <t>Customer</t>
  </si>
  <si>
    <t>Actual</t>
  </si>
  <si>
    <t>Timing Adjustments</t>
  </si>
  <si>
    <t>Percent of 2014 kW</t>
  </si>
  <si>
    <t>Percent of 
2014 kWh</t>
  </si>
  <si>
    <t>2016 
Non-RPP kWh</t>
  </si>
  <si>
    <t>2016 
Non-RPP kW</t>
  </si>
  <si>
    <t>Total Excuding Embedded Distributor</t>
  </si>
  <si>
    <t>Embedded Distributor</t>
  </si>
  <si>
    <t>Total Excluding Embedded Distributor &amp; WMP</t>
  </si>
  <si>
    <t>Balanced:</t>
  </si>
  <si>
    <t>Total Excluding Embedded Distributor, 
WMP &amp; Class A</t>
  </si>
  <si>
    <t>Total Excluding Embedded Distributor</t>
  </si>
  <si>
    <t>1508 - Pension</t>
  </si>
  <si>
    <t>1508 - OEB Cost</t>
  </si>
  <si>
    <t>1508 - ICC (HONI)</t>
  </si>
  <si>
    <t>1508 - One-Time IFRS</t>
  </si>
  <si>
    <t>Total Claim:</t>
  </si>
  <si>
    <t>Embedded Distributtor</t>
  </si>
  <si>
    <t>CK 
LRAMVA</t>
  </si>
  <si>
    <t>SMP 
LRAMVA</t>
  </si>
  <si>
    <t>SMP 
LRAM</t>
  </si>
  <si>
    <t>IFRS Rate Rider</t>
  </si>
  <si>
    <t>2016 Cost of Service Application, EB-2015-0061</t>
  </si>
  <si>
    <t>Deferral/Variance Account Continuity Schedule</t>
  </si>
  <si>
    <t>Calculation of Rate Rider for the Disposition of Accounting Changes under CGAAP</t>
  </si>
  <si>
    <t>Proposed Disposition</t>
  </si>
  <si>
    <t>2016 Billing Determinants</t>
  </si>
  <si>
    <t>Proposed Group One Disposition</t>
  </si>
  <si>
    <t>Proposed Group Two Disposition</t>
  </si>
  <si>
    <t>Allocation of Deferral Balances, Section 1:</t>
  </si>
  <si>
    <t>Allocation of Deferral Balances, Section 2:</t>
  </si>
  <si>
    <t>Proposed LRAMVA &amp; LRAM Disposition</t>
  </si>
  <si>
    <t>Calculation of Rate Rider</t>
  </si>
  <si>
    <t>Updated LRAM/ LRAMVA Rate Rider (Nov12)</t>
  </si>
  <si>
    <t>Rate Rider Per Application (Aug28)</t>
  </si>
  <si>
    <t>Response to 9-EnergyProbe-46, Standalone Stranded Meter Rate Rider</t>
  </si>
  <si>
    <t>Calculation of Stranded Meter Rate 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</si>
</sst>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00%"/>
    <numFmt numFmtId="167" formatCode="0.0%"/>
    <numFmt numFmtId="168" formatCode="_-* #,##0_-;\-* #,##0_-;_-* &quot;-&quot;??_-;_-@_-"/>
    <numFmt numFmtId="169" formatCode="&quot;$&quot;#,##0.0000"/>
    <numFmt numFmtId="170" formatCode="_(* #,##0.00000_);_(* \(#,##0.00000\);_(* &quot;-&quot;??_);_(@_)"/>
    <numFmt numFmtId="171" formatCode="&quot;$&quot;#,##0"/>
    <numFmt numFmtId="172" formatCode="&quot;$&quot;#,##0.0000000000000"/>
  </numFmts>
  <fonts count="16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</borders>
  <cellStyleXfs count="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04">
    <xf numFmtId="0" fontId="0" fillId="0" borderId="0" xfId="0"/>
    <xf numFmtId="0" fontId="1" fillId="2" borderId="2" xfId="0" applyFont="1" applyFill="1" applyBorder="1"/>
    <xf numFmtId="0" fontId="0" fillId="0" borderId="4" xfId="0" applyBorder="1"/>
    <xf numFmtId="0" fontId="0" fillId="0" borderId="6" xfId="0" applyBorder="1"/>
    <xf numFmtId="0" fontId="1" fillId="3" borderId="8" xfId="0" applyFont="1" applyFill="1" applyBorder="1"/>
    <xf numFmtId="0" fontId="4" fillId="0" borderId="11" xfId="1" applyFont="1" applyBorder="1"/>
    <xf numFmtId="0" fontId="3" fillId="0" borderId="11" xfId="1" applyBorder="1"/>
    <xf numFmtId="0" fontId="3" fillId="0" borderId="0" xfId="1" applyBorder="1"/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3" fillId="0" borderId="0" xfId="1" applyBorder="1" applyAlignment="1">
      <alignment vertical="center"/>
    </xf>
    <xf numFmtId="0" fontId="3" fillId="0" borderId="4" xfId="1" applyBorder="1"/>
    <xf numFmtId="164" fontId="3" fillId="0" borderId="4" xfId="1" applyNumberFormat="1" applyFill="1" applyBorder="1"/>
    <xf numFmtId="164" fontId="5" fillId="3" borderId="4" xfId="1" applyNumberFormat="1" applyFont="1" applyFill="1" applyBorder="1" applyAlignment="1">
      <alignment vertical="center"/>
    </xf>
    <xf numFmtId="0" fontId="6" fillId="2" borderId="4" xfId="1" applyFont="1" applyFill="1" applyBorder="1"/>
    <xf numFmtId="0" fontId="4" fillId="0" borderId="0" xfId="1" applyFont="1" applyBorder="1"/>
    <xf numFmtId="165" fontId="4" fillId="0" borderId="0" xfId="2" applyNumberFormat="1" applyFont="1" applyBorder="1"/>
    <xf numFmtId="0" fontId="3" fillId="0" borderId="0" xfId="1"/>
    <xf numFmtId="165" fontId="4" fillId="0" borderId="11" xfId="2" applyNumberFormat="1" applyFont="1" applyBorder="1"/>
    <xf numFmtId="165" fontId="0" fillId="0" borderId="0" xfId="2" applyNumberFormat="1" applyFont="1"/>
    <xf numFmtId="0" fontId="5" fillId="2" borderId="13" xfId="1" applyFont="1" applyFill="1" applyBorder="1" applyAlignment="1"/>
    <xf numFmtId="0" fontId="5" fillId="2" borderId="12" xfId="1" applyFont="1" applyFill="1" applyBorder="1" applyAlignment="1"/>
    <xf numFmtId="0" fontId="5" fillId="2" borderId="14" xfId="1" applyFont="1" applyFill="1" applyBorder="1" applyAlignment="1"/>
    <xf numFmtId="0" fontId="5" fillId="3" borderId="15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165" fontId="5" fillId="3" borderId="8" xfId="2" applyNumberFormat="1" applyFont="1" applyFill="1" applyBorder="1" applyAlignment="1">
      <alignment horizontal="center" vertical="center" wrapText="1"/>
    </xf>
    <xf numFmtId="165" fontId="5" fillId="3" borderId="16" xfId="2" applyNumberFormat="1" applyFont="1" applyFill="1" applyBorder="1" applyAlignment="1">
      <alignment horizontal="center" vertical="center" wrapText="1"/>
    </xf>
    <xf numFmtId="0" fontId="3" fillId="0" borderId="17" xfId="1" applyBorder="1"/>
    <xf numFmtId="0" fontId="3" fillId="0" borderId="21" xfId="1" applyBorder="1"/>
    <xf numFmtId="166" fontId="0" fillId="0" borderId="0" xfId="3" applyNumberFormat="1" applyFont="1"/>
    <xf numFmtId="0" fontId="5" fillId="0" borderId="15" xfId="1" applyFont="1" applyBorder="1"/>
    <xf numFmtId="165" fontId="5" fillId="0" borderId="8" xfId="2" applyNumberFormat="1" applyFont="1" applyBorder="1"/>
    <xf numFmtId="165" fontId="5" fillId="0" borderId="16" xfId="2" applyNumberFormat="1" applyFont="1" applyBorder="1"/>
    <xf numFmtId="0" fontId="5" fillId="0" borderId="0" xfId="1" applyFont="1" applyBorder="1"/>
    <xf numFmtId="165" fontId="5" fillId="0" borderId="0" xfId="2" applyNumberFormat="1" applyFont="1" applyBorder="1"/>
    <xf numFmtId="0" fontId="5" fillId="3" borderId="24" xfId="1" applyFont="1" applyFill="1" applyBorder="1" applyAlignment="1">
      <alignment horizontal="right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right" vertical="center" wrapText="1"/>
    </xf>
    <xf numFmtId="164" fontId="5" fillId="5" borderId="4" xfId="1" applyNumberFormat="1" applyFont="1" applyFill="1" applyBorder="1"/>
    <xf numFmtId="164" fontId="5" fillId="5" borderId="22" xfId="1" applyNumberFormat="1" applyFont="1" applyFill="1" applyBorder="1"/>
    <xf numFmtId="0" fontId="5" fillId="3" borderId="26" xfId="1" applyFont="1" applyFill="1" applyBorder="1" applyAlignment="1">
      <alignment horizontal="right" vertical="top" wrapText="1"/>
    </xf>
    <xf numFmtId="164" fontId="7" fillId="5" borderId="27" xfId="1" applyNumberFormat="1" applyFont="1" applyFill="1" applyBorder="1" applyAlignment="1">
      <alignment vertical="top" wrapText="1"/>
    </xf>
    <xf numFmtId="164" fontId="7" fillId="5" borderId="28" xfId="1" applyNumberFormat="1" applyFont="1" applyFill="1" applyBorder="1" applyAlignment="1">
      <alignment vertical="top" wrapText="1"/>
    </xf>
    <xf numFmtId="0" fontId="8" fillId="0" borderId="0" xfId="1" applyFont="1" applyAlignment="1">
      <alignment vertical="top" wrapText="1"/>
    </xf>
    <xf numFmtId="164" fontId="3" fillId="0" borderId="19" xfId="1" applyNumberFormat="1" applyBorder="1"/>
    <xf numFmtId="164" fontId="3" fillId="0" borderId="20" xfId="1" applyNumberFormat="1" applyBorder="1"/>
    <xf numFmtId="164" fontId="3" fillId="0" borderId="4" xfId="1" applyNumberFormat="1" applyBorder="1"/>
    <xf numFmtId="164" fontId="5" fillId="0" borderId="8" xfId="1" applyNumberFormat="1" applyFont="1" applyBorder="1"/>
    <xf numFmtId="164" fontId="5" fillId="0" borderId="16" xfId="1" applyNumberFormat="1" applyFont="1" applyBorder="1"/>
    <xf numFmtId="0" fontId="5" fillId="3" borderId="21" xfId="1" applyFont="1" applyFill="1" applyBorder="1" applyAlignment="1">
      <alignment horizontal="right" vertical="center"/>
    </xf>
    <xf numFmtId="0" fontId="5" fillId="3" borderId="26" xfId="1" applyFont="1" applyFill="1" applyBorder="1" applyAlignment="1">
      <alignment horizontal="center" vertical="center" wrapText="1"/>
    </xf>
    <xf numFmtId="165" fontId="5" fillId="3" borderId="27" xfId="2" applyNumberFormat="1" applyFont="1" applyFill="1" applyBorder="1" applyAlignment="1">
      <alignment horizontal="center" vertical="center"/>
    </xf>
    <xf numFmtId="10" fontId="0" fillId="5" borderId="19" xfId="3" applyNumberFormat="1" applyFont="1" applyFill="1" applyBorder="1"/>
    <xf numFmtId="164" fontId="0" fillId="0" borderId="19" xfId="2" applyNumberFormat="1" applyFont="1" applyBorder="1"/>
    <xf numFmtId="10" fontId="0" fillId="5" borderId="4" xfId="3" applyNumberFormat="1" applyFont="1" applyFill="1" applyBorder="1"/>
    <xf numFmtId="164" fontId="3" fillId="0" borderId="0" xfId="1" applyNumberFormat="1"/>
    <xf numFmtId="10" fontId="0" fillId="5" borderId="6" xfId="3" applyNumberFormat="1" applyFont="1" applyFill="1" applyBorder="1"/>
    <xf numFmtId="164" fontId="5" fillId="0" borderId="8" xfId="2" applyNumberFormat="1" applyFont="1" applyBorder="1"/>
    <xf numFmtId="43" fontId="3" fillId="0" borderId="0" xfId="1" applyNumberFormat="1"/>
    <xf numFmtId="165" fontId="5" fillId="3" borderId="29" xfId="2" applyNumberFormat="1" applyFont="1" applyFill="1" applyBorder="1" applyAlignment="1">
      <alignment horizontal="center" vertical="center"/>
    </xf>
    <xf numFmtId="165" fontId="5" fillId="3" borderId="15" xfId="2" applyNumberFormat="1" applyFont="1" applyFill="1" applyBorder="1" applyAlignment="1">
      <alignment horizontal="center" vertical="center" wrapText="1"/>
    </xf>
    <xf numFmtId="165" fontId="0" fillId="0" borderId="30" xfId="2" applyNumberFormat="1" applyFont="1" applyBorder="1"/>
    <xf numFmtId="164" fontId="0" fillId="0" borderId="17" xfId="2" applyNumberFormat="1" applyFont="1" applyBorder="1"/>
    <xf numFmtId="165" fontId="0" fillId="0" borderId="31" xfId="2" applyNumberFormat="1" applyFont="1" applyBorder="1"/>
    <xf numFmtId="165" fontId="5" fillId="0" borderId="29" xfId="2" applyNumberFormat="1" applyFont="1" applyBorder="1"/>
    <xf numFmtId="164" fontId="5" fillId="0" borderId="15" xfId="2" applyNumberFormat="1" applyFont="1" applyBorder="1"/>
    <xf numFmtId="164" fontId="5" fillId="0" borderId="16" xfId="2" applyNumberFormat="1" applyFont="1" applyBorder="1"/>
    <xf numFmtId="0" fontId="5" fillId="0" borderId="16" xfId="1" applyFont="1" applyBorder="1"/>
    <xf numFmtId="164" fontId="0" fillId="0" borderId="0" xfId="2" applyNumberFormat="1" applyFont="1"/>
    <xf numFmtId="0" fontId="9" fillId="0" borderId="0" xfId="1" applyFont="1"/>
    <xf numFmtId="0" fontId="6" fillId="2" borderId="31" xfId="1" applyFont="1" applyFill="1" applyBorder="1"/>
    <xf numFmtId="0" fontId="0" fillId="0" borderId="31" xfId="0" applyBorder="1"/>
    <xf numFmtId="0" fontId="5" fillId="3" borderId="31" xfId="1" applyFont="1" applyFill="1" applyBorder="1" applyAlignment="1">
      <alignment vertical="center"/>
    </xf>
    <xf numFmtId="0" fontId="6" fillId="2" borderId="3" xfId="1" applyFont="1" applyFill="1" applyBorder="1"/>
    <xf numFmtId="164" fontId="3" fillId="0" borderId="3" xfId="1" applyNumberFormat="1" applyFill="1" applyBorder="1"/>
    <xf numFmtId="164" fontId="5" fillId="3" borderId="3" xfId="1" applyNumberFormat="1" applyFont="1" applyFill="1" applyBorder="1" applyAlignment="1">
      <alignment vertical="center"/>
    </xf>
    <xf numFmtId="0" fontId="6" fillId="2" borderId="21" xfId="1" applyFont="1" applyFill="1" applyBorder="1"/>
    <xf numFmtId="0" fontId="6" fillId="2" borderId="22" xfId="1" applyFont="1" applyFill="1" applyBorder="1"/>
    <xf numFmtId="164" fontId="3" fillId="0" borderId="21" xfId="1" applyNumberFormat="1" applyFill="1" applyBorder="1"/>
    <xf numFmtId="164" fontId="3" fillId="0" borderId="22" xfId="1" applyNumberFormat="1" applyFill="1" applyBorder="1"/>
    <xf numFmtId="164" fontId="5" fillId="3" borderId="21" xfId="1" applyNumberFormat="1" applyFont="1" applyFill="1" applyBorder="1" applyAlignment="1">
      <alignment vertical="center"/>
    </xf>
    <xf numFmtId="164" fontId="5" fillId="3" borderId="22" xfId="1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164" fontId="0" fillId="0" borderId="0" xfId="0" applyNumberFormat="1"/>
    <xf numFmtId="164" fontId="1" fillId="3" borderId="8" xfId="0" applyNumberFormat="1" applyFont="1" applyFill="1" applyBorder="1"/>
    <xf numFmtId="0" fontId="0" fillId="0" borderId="31" xfId="0" applyBorder="1" applyAlignment="1">
      <alignment horizontal="left" indent="2"/>
    </xf>
    <xf numFmtId="0" fontId="5" fillId="3" borderId="21" xfId="1" applyFont="1" applyFill="1" applyBorder="1" applyAlignment="1">
      <alignment vertical="center"/>
    </xf>
    <xf numFmtId="0" fontId="0" fillId="0" borderId="21" xfId="0" applyBorder="1"/>
    <xf numFmtId="0" fontId="6" fillId="2" borderId="17" xfId="1" applyFont="1" applyFill="1" applyBorder="1"/>
    <xf numFmtId="0" fontId="6" fillId="2" borderId="30" xfId="1" applyFont="1" applyFill="1" applyBorder="1"/>
    <xf numFmtId="0" fontId="6" fillId="2" borderId="19" xfId="1" applyFont="1" applyFill="1" applyBorder="1"/>
    <xf numFmtId="0" fontId="6" fillId="2" borderId="20" xfId="1" applyFont="1" applyFill="1" applyBorder="1"/>
    <xf numFmtId="0" fontId="6" fillId="2" borderId="18" xfId="1" applyFont="1" applyFill="1" applyBorder="1"/>
    <xf numFmtId="0" fontId="5" fillId="3" borderId="27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vertical="center"/>
    </xf>
    <xf numFmtId="0" fontId="5" fillId="3" borderId="32" xfId="1" applyFont="1" applyFill="1" applyBorder="1" applyAlignment="1">
      <alignment vertical="center"/>
    </xf>
    <xf numFmtId="164" fontId="5" fillId="3" borderId="23" xfId="1" applyNumberFormat="1" applyFont="1" applyFill="1" applyBorder="1" applyAlignment="1">
      <alignment vertical="center"/>
    </xf>
    <xf numFmtId="164" fontId="5" fillId="3" borderId="6" xfId="1" applyNumberFormat="1" applyFont="1" applyFill="1" applyBorder="1" applyAlignment="1">
      <alignment vertical="center"/>
    </xf>
    <xf numFmtId="164" fontId="5" fillId="3" borderId="39" xfId="1" applyNumberFormat="1" applyFont="1" applyFill="1" applyBorder="1" applyAlignment="1">
      <alignment vertical="center"/>
    </xf>
    <xf numFmtId="164" fontId="5" fillId="3" borderId="5" xfId="1" applyNumberFormat="1" applyFont="1" applyFill="1" applyBorder="1" applyAlignment="1">
      <alignment vertical="center"/>
    </xf>
    <xf numFmtId="0" fontId="5" fillId="4" borderId="15" xfId="1" applyFont="1" applyFill="1" applyBorder="1" applyAlignment="1">
      <alignment vertical="center"/>
    </xf>
    <xf numFmtId="0" fontId="5" fillId="4" borderId="29" xfId="1" applyFont="1" applyFill="1" applyBorder="1" applyAlignment="1">
      <alignment vertical="center"/>
    </xf>
    <xf numFmtId="164" fontId="5" fillId="4" borderId="15" xfId="1" applyNumberFormat="1" applyFont="1" applyFill="1" applyBorder="1" applyAlignment="1">
      <alignment vertical="center"/>
    </xf>
    <xf numFmtId="164" fontId="5" fillId="4" borderId="8" xfId="1" applyNumberFormat="1" applyFont="1" applyFill="1" applyBorder="1" applyAlignment="1">
      <alignment vertical="center"/>
    </xf>
    <xf numFmtId="164" fontId="5" fillId="4" borderId="16" xfId="1" applyNumberFormat="1" applyFont="1" applyFill="1" applyBorder="1" applyAlignment="1">
      <alignment vertical="center"/>
    </xf>
    <xf numFmtId="164" fontId="5" fillId="4" borderId="7" xfId="1" applyNumberFormat="1" applyFont="1" applyFill="1" applyBorder="1" applyAlignment="1">
      <alignment vertical="center"/>
    </xf>
    <xf numFmtId="0" fontId="5" fillId="2" borderId="4" xfId="1" applyFont="1" applyFill="1" applyBorder="1" applyAlignment="1"/>
    <xf numFmtId="167" fontId="0" fillId="0" borderId="0" xfId="5" applyNumberFormat="1" applyFont="1"/>
    <xf numFmtId="165" fontId="0" fillId="0" borderId="0" xfId="4" applyNumberFormat="1" applyFont="1"/>
    <xf numFmtId="0" fontId="1" fillId="0" borderId="0" xfId="0" applyFont="1"/>
    <xf numFmtId="0" fontId="11" fillId="0" borderId="21" xfId="1" applyFont="1" applyBorder="1"/>
    <xf numFmtId="0" fontId="12" fillId="0" borderId="21" xfId="1" applyFont="1" applyBorder="1"/>
    <xf numFmtId="0" fontId="0" fillId="6" borderId="0" xfId="0" applyFill="1"/>
    <xf numFmtId="164" fontId="5" fillId="0" borderId="0" xfId="2" applyNumberFormat="1" applyFont="1" applyBorder="1"/>
    <xf numFmtId="164" fontId="5" fillId="0" borderId="0" xfId="1" applyNumberFormat="1" applyFont="1" applyBorder="1"/>
    <xf numFmtId="164" fontId="3" fillId="0" borderId="20" xfId="1" applyNumberFormat="1" applyFill="1" applyBorder="1"/>
    <xf numFmtId="164" fontId="0" fillId="0" borderId="19" xfId="2" applyNumberFormat="1" applyFont="1" applyFill="1" applyBorder="1"/>
    <xf numFmtId="0" fontId="5" fillId="2" borderId="6" xfId="1" applyFont="1" applyFill="1" applyBorder="1" applyAlignment="1"/>
    <xf numFmtId="0" fontId="3" fillId="0" borderId="19" xfId="1" applyBorder="1"/>
    <xf numFmtId="0" fontId="5" fillId="3" borderId="8" xfId="1" applyFont="1" applyFill="1" applyBorder="1" applyAlignment="1">
      <alignment horizontal="center" vertical="center" wrapText="1"/>
    </xf>
    <xf numFmtId="0" fontId="3" fillId="0" borderId="6" xfId="1" applyBorder="1"/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165" fontId="0" fillId="0" borderId="19" xfId="2" applyNumberFormat="1" applyFont="1" applyFill="1" applyBorder="1"/>
    <xf numFmtId="165" fontId="0" fillId="0" borderId="20" xfId="2" applyNumberFormat="1" applyFont="1" applyFill="1" applyBorder="1"/>
    <xf numFmtId="165" fontId="0" fillId="0" borderId="4" xfId="2" applyNumberFormat="1" applyFont="1" applyFill="1" applyBorder="1"/>
    <xf numFmtId="165" fontId="0" fillId="0" borderId="22" xfId="2" applyNumberFormat="1" applyFont="1" applyFill="1" applyBorder="1"/>
    <xf numFmtId="165" fontId="0" fillId="0" borderId="6" xfId="2" applyNumberFormat="1" applyFont="1" applyFill="1" applyBorder="1"/>
    <xf numFmtId="165" fontId="0" fillId="0" borderId="39" xfId="2" applyNumberFormat="1" applyFont="1" applyFill="1" applyBorder="1"/>
    <xf numFmtId="165" fontId="0" fillId="0" borderId="18" xfId="2" applyNumberFormat="1" applyFont="1" applyFill="1" applyBorder="1"/>
    <xf numFmtId="0" fontId="3" fillId="0" borderId="26" xfId="1" applyBorder="1"/>
    <xf numFmtId="165" fontId="0" fillId="0" borderId="9" xfId="2" applyNumberFormat="1" applyFont="1" applyFill="1" applyBorder="1"/>
    <xf numFmtId="165" fontId="0" fillId="0" borderId="10" xfId="2" applyNumberFormat="1" applyFont="1" applyFill="1" applyBorder="1"/>
    <xf numFmtId="165" fontId="0" fillId="0" borderId="28" xfId="2" applyNumberFormat="1" applyFont="1" applyFill="1" applyBorder="1"/>
    <xf numFmtId="0" fontId="5" fillId="4" borderId="15" xfId="1" applyFont="1" applyFill="1" applyBorder="1"/>
    <xf numFmtId="165" fontId="5" fillId="4" borderId="7" xfId="1" applyNumberFormat="1" applyFont="1" applyFill="1" applyBorder="1"/>
    <xf numFmtId="165" fontId="5" fillId="4" borderId="8" xfId="2" applyNumberFormat="1" applyFont="1" applyFill="1" applyBorder="1"/>
    <xf numFmtId="165" fontId="5" fillId="4" borderId="16" xfId="2" applyNumberFormat="1" applyFont="1" applyFill="1" applyBorder="1"/>
    <xf numFmtId="0" fontId="4" fillId="0" borderId="0" xfId="0" applyFont="1"/>
    <xf numFmtId="0" fontId="4" fillId="0" borderId="11" xfId="0" applyFont="1" applyBorder="1"/>
    <xf numFmtId="0" fontId="0" fillId="0" borderId="11" xfId="0" applyBorder="1"/>
    <xf numFmtId="0" fontId="5" fillId="3" borderId="1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0" borderId="19" xfId="0" applyBorder="1"/>
    <xf numFmtId="168" fontId="0" fillId="8" borderId="19" xfId="4" applyNumberFormat="1" applyFont="1" applyFill="1" applyBorder="1"/>
    <xf numFmtId="168" fontId="0" fillId="0" borderId="20" xfId="4" applyNumberFormat="1" applyFont="1" applyBorder="1"/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68" fontId="5" fillId="0" borderId="8" xfId="0" applyNumberFormat="1" applyFont="1" applyBorder="1"/>
    <xf numFmtId="168" fontId="5" fillId="0" borderId="16" xfId="0" applyNumberFormat="1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/>
    <xf numFmtId="168" fontId="5" fillId="0" borderId="12" xfId="0" applyNumberFormat="1" applyFont="1" applyBorder="1"/>
    <xf numFmtId="168" fontId="5" fillId="0" borderId="8" xfId="4" applyNumberFormat="1" applyFont="1" applyBorder="1"/>
    <xf numFmtId="168" fontId="5" fillId="0" borderId="16" xfId="4" applyNumberFormat="1" applyFont="1" applyBorder="1"/>
    <xf numFmtId="0" fontId="0" fillId="0" borderId="40" xfId="0" applyBorder="1"/>
    <xf numFmtId="0" fontId="0" fillId="0" borderId="35" xfId="0" applyBorder="1"/>
    <xf numFmtId="168" fontId="0" fillId="0" borderId="35" xfId="4" applyNumberFormat="1" applyFont="1" applyBorder="1"/>
    <xf numFmtId="168" fontId="0" fillId="0" borderId="41" xfId="4" applyNumberFormat="1" applyFont="1" applyBorder="1"/>
    <xf numFmtId="10" fontId="0" fillId="0" borderId="0" xfId="5" applyNumberFormat="1" applyFont="1"/>
    <xf numFmtId="165" fontId="1" fillId="0" borderId="42" xfId="4" applyNumberFormat="1" applyFont="1" applyBorder="1"/>
    <xf numFmtId="165" fontId="0" fillId="0" borderId="22" xfId="4" applyNumberFormat="1" applyFont="1" applyFill="1" applyBorder="1"/>
    <xf numFmtId="167" fontId="5" fillId="0" borderId="8" xfId="5" applyNumberFormat="1" applyFont="1" applyBorder="1"/>
    <xf numFmtId="0" fontId="4" fillId="0" borderId="0" xfId="0" applyFont="1" applyBorder="1"/>
    <xf numFmtId="0" fontId="5" fillId="2" borderId="13" xfId="0" applyFont="1" applyFill="1" applyBorder="1" applyAlignment="1"/>
    <xf numFmtId="0" fontId="5" fillId="2" borderId="12" xfId="0" applyFont="1" applyFill="1" applyBorder="1" applyAlignment="1"/>
    <xf numFmtId="0" fontId="5" fillId="2" borderId="14" xfId="0" applyFont="1" applyFill="1" applyBorder="1" applyAlignment="1"/>
    <xf numFmtId="0" fontId="5" fillId="3" borderId="7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23" xfId="0" applyBorder="1"/>
    <xf numFmtId="0" fontId="5" fillId="0" borderId="15" xfId="0" applyFont="1" applyBorder="1"/>
    <xf numFmtId="165" fontId="5" fillId="0" borderId="7" xfId="2" applyNumberFormat="1" applyFont="1" applyBorder="1"/>
    <xf numFmtId="165" fontId="5" fillId="3" borderId="8" xfId="2" applyNumberFormat="1" applyFont="1" applyFill="1" applyBorder="1" applyAlignment="1">
      <alignment horizontal="center" vertical="center"/>
    </xf>
    <xf numFmtId="165" fontId="0" fillId="0" borderId="19" xfId="2" applyNumberFormat="1" applyFont="1" applyBorder="1"/>
    <xf numFmtId="165" fontId="0" fillId="0" borderId="4" xfId="2" applyNumberFormat="1" applyFont="1" applyBorder="1"/>
    <xf numFmtId="164" fontId="0" fillId="0" borderId="18" xfId="2" applyNumberFormat="1" applyFont="1" applyFill="1" applyBorder="1"/>
    <xf numFmtId="165" fontId="0" fillId="0" borderId="6" xfId="2" applyNumberFormat="1" applyFont="1" applyBorder="1"/>
    <xf numFmtId="164" fontId="5" fillId="0" borderId="7" xfId="2" applyNumberFormat="1" applyFont="1" applyBorder="1"/>
    <xf numFmtId="0" fontId="5" fillId="3" borderId="25" xfId="1" applyFont="1" applyFill="1" applyBorder="1" applyAlignment="1">
      <alignment horizontal="center" vertical="center" wrapText="1"/>
    </xf>
    <xf numFmtId="164" fontId="3" fillId="0" borderId="0" xfId="1" applyNumberFormat="1" applyBorder="1"/>
    <xf numFmtId="164" fontId="0" fillId="0" borderId="18" xfId="2" applyNumberFormat="1" applyFont="1" applyBorder="1"/>
    <xf numFmtId="164" fontId="0" fillId="0" borderId="33" xfId="2" applyNumberFormat="1" applyFont="1" applyBorder="1"/>
    <xf numFmtId="0" fontId="5" fillId="3" borderId="26" xfId="1" applyFont="1" applyFill="1" applyBorder="1" applyAlignment="1">
      <alignment horizontal="right" vertical="center" wrapText="1"/>
    </xf>
    <xf numFmtId="170" fontId="0" fillId="0" borderId="0" xfId="0" applyNumberFormat="1"/>
    <xf numFmtId="171" fontId="3" fillId="0" borderId="22" xfId="1" applyNumberFormat="1" applyFill="1" applyBorder="1"/>
    <xf numFmtId="171" fontId="5" fillId="3" borderId="22" xfId="1" applyNumberFormat="1" applyFont="1" applyFill="1" applyBorder="1" applyAlignment="1">
      <alignment vertical="center"/>
    </xf>
    <xf numFmtId="171" fontId="6" fillId="2" borderId="22" xfId="1" applyNumberFormat="1" applyFont="1" applyFill="1" applyBorder="1"/>
    <xf numFmtId="171" fontId="5" fillId="3" borderId="39" xfId="1" applyNumberFormat="1" applyFont="1" applyFill="1" applyBorder="1" applyAlignment="1">
      <alignment vertical="center"/>
    </xf>
    <xf numFmtId="171" fontId="5" fillId="4" borderId="16" xfId="1" applyNumberFormat="1" applyFont="1" applyFill="1" applyBorder="1" applyAlignment="1">
      <alignment vertical="center"/>
    </xf>
    <xf numFmtId="171" fontId="3" fillId="0" borderId="0" xfId="1" applyNumberFormat="1" applyBorder="1"/>
    <xf numFmtId="0" fontId="1" fillId="0" borderId="15" xfId="0" applyFont="1" applyBorder="1" applyAlignment="1">
      <alignment horizontal="center"/>
    </xf>
    <xf numFmtId="0" fontId="5" fillId="0" borderId="8" xfId="1" applyFont="1" applyBorder="1"/>
    <xf numFmtId="165" fontId="5" fillId="0" borderId="8" xfId="1" applyNumberFormat="1" applyFont="1" applyBorder="1"/>
    <xf numFmtId="165" fontId="5" fillId="0" borderId="16" xfId="1" applyNumberFormat="1" applyFont="1" applyBorder="1"/>
    <xf numFmtId="0" fontId="0" fillId="0" borderId="15" xfId="0" applyFill="1" applyBorder="1" applyAlignment="1">
      <alignment horizontal="center"/>
    </xf>
    <xf numFmtId="0" fontId="5" fillId="0" borderId="8" xfId="1" applyFont="1" applyFill="1" applyBorder="1"/>
    <xf numFmtId="165" fontId="5" fillId="0" borderId="8" xfId="1" applyNumberFormat="1" applyFont="1" applyFill="1" applyBorder="1"/>
    <xf numFmtId="165" fontId="5" fillId="0" borderId="16" xfId="1" applyNumberFormat="1" applyFont="1" applyFill="1" applyBorder="1"/>
    <xf numFmtId="0" fontId="1" fillId="0" borderId="15" xfId="0" applyFont="1" applyFill="1" applyBorder="1" applyAlignment="1">
      <alignment horizontal="center"/>
    </xf>
    <xf numFmtId="10" fontId="3" fillId="0" borderId="19" xfId="5" applyNumberFormat="1" applyFont="1" applyBorder="1"/>
    <xf numFmtId="10" fontId="3" fillId="0" borderId="34" xfId="5" applyNumberFormat="1" applyFont="1" applyBorder="1"/>
    <xf numFmtId="10" fontId="0" fillId="0" borderId="19" xfId="5" applyNumberFormat="1" applyFont="1" applyFill="1" applyBorder="1"/>
    <xf numFmtId="0" fontId="3" fillId="0" borderId="26" xfId="1" applyBorder="1" applyAlignment="1">
      <alignment wrapText="1"/>
    </xf>
    <xf numFmtId="165" fontId="0" fillId="0" borderId="10" xfId="2" applyNumberFormat="1" applyFont="1" applyFill="1" applyBorder="1" applyAlignment="1">
      <alignment horizontal="right" vertical="center"/>
    </xf>
    <xf numFmtId="0" fontId="5" fillId="3" borderId="43" xfId="1" applyFont="1" applyFill="1" applyBorder="1" applyAlignment="1">
      <alignment horizontal="center" vertical="center" wrapText="1"/>
    </xf>
    <xf numFmtId="172" fontId="3" fillId="0" borderId="0" xfId="1" applyNumberFormat="1"/>
    <xf numFmtId="169" fontId="0" fillId="4" borderId="20" xfId="2" applyNumberFormat="1" applyFont="1" applyFill="1" applyBorder="1"/>
    <xf numFmtId="169" fontId="0" fillId="4" borderId="25" xfId="2" applyNumberFormat="1" applyFont="1" applyFill="1" applyBorder="1"/>
    <xf numFmtId="165" fontId="0" fillId="0" borderId="46" xfId="2" applyNumberFormat="1" applyFont="1" applyFill="1" applyBorder="1"/>
    <xf numFmtId="165" fontId="0" fillId="0" borderId="41" xfId="2" applyNumberFormat="1" applyFont="1" applyFill="1" applyBorder="1"/>
    <xf numFmtId="164" fontId="0" fillId="4" borderId="20" xfId="2" applyNumberFormat="1" applyFont="1" applyFill="1" applyBorder="1"/>
    <xf numFmtId="0" fontId="14" fillId="3" borderId="44" xfId="1" applyFont="1" applyFill="1" applyBorder="1" applyAlignment="1">
      <alignment horizontal="center" vertical="center" wrapText="1"/>
    </xf>
    <xf numFmtId="165" fontId="0" fillId="4" borderId="20" xfId="2" applyNumberFormat="1" applyFont="1" applyFill="1" applyBorder="1"/>
    <xf numFmtId="165" fontId="5" fillId="3" borderId="7" xfId="2" applyNumberFormat="1" applyFont="1" applyFill="1" applyBorder="1" applyAlignment="1">
      <alignment horizontal="center" vertical="center" wrapText="1"/>
    </xf>
    <xf numFmtId="0" fontId="0" fillId="0" borderId="26" xfId="0" applyBorder="1"/>
    <xf numFmtId="165" fontId="0" fillId="0" borderId="47" xfId="2" applyNumberFormat="1" applyFont="1" applyFill="1" applyBorder="1"/>
    <xf numFmtId="165" fontId="0" fillId="0" borderId="19" xfId="2" applyNumberFormat="1" applyFont="1" applyBorder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165" fontId="0" fillId="0" borderId="4" xfId="2" applyNumberFormat="1" applyFont="1" applyFill="1" applyBorder="1" applyAlignment="1">
      <alignment horizontal="center"/>
    </xf>
    <xf numFmtId="165" fontId="0" fillId="0" borderId="6" xfId="2" applyNumberFormat="1" applyFont="1" applyBorder="1" applyAlignment="1">
      <alignment horizontal="center"/>
    </xf>
    <xf numFmtId="0" fontId="15" fillId="0" borderId="0" xfId="1" applyFont="1" applyBorder="1"/>
    <xf numFmtId="0" fontId="15" fillId="0" borderId="11" xfId="1" applyFont="1" applyBorder="1"/>
    <xf numFmtId="0" fontId="0" fillId="0" borderId="0" xfId="0" applyAlignment="1">
      <alignment horizontal="center"/>
    </xf>
    <xf numFmtId="0" fontId="15" fillId="0" borderId="0" xfId="1" applyFont="1" applyBorder="1" applyAlignment="1">
      <alignment horizontal="left"/>
    </xf>
    <xf numFmtId="0" fontId="15" fillId="0" borderId="11" xfId="1" applyFont="1" applyBorder="1" applyAlignment="1">
      <alignment horizontal="left"/>
    </xf>
    <xf numFmtId="164" fontId="0" fillId="0" borderId="4" xfId="0" applyNumberFormat="1" applyBorder="1"/>
    <xf numFmtId="164" fontId="0" fillId="0" borderId="4" xfId="0" applyNumberFormat="1" applyFill="1" applyBorder="1"/>
    <xf numFmtId="0" fontId="0" fillId="0" borderId="4" xfId="0" applyBorder="1" applyAlignment="1">
      <alignment horizontal="left" indent="2"/>
    </xf>
    <xf numFmtId="0" fontId="1" fillId="3" borderId="2" xfId="0" applyFont="1" applyFill="1" applyBorder="1" applyAlignment="1">
      <alignment horizontal="center" vertical="center" wrapText="1"/>
    </xf>
    <xf numFmtId="164" fontId="0" fillId="0" borderId="22" xfId="0" applyNumberFormat="1" applyBorder="1"/>
    <xf numFmtId="164" fontId="0" fillId="0" borderId="22" xfId="0" applyNumberFormat="1" applyFont="1" applyBorder="1"/>
    <xf numFmtId="0" fontId="1" fillId="3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/>
    </xf>
    <xf numFmtId="0" fontId="2" fillId="2" borderId="2" xfId="0" applyFont="1" applyFill="1" applyBorder="1"/>
    <xf numFmtId="0" fontId="1" fillId="2" borderId="25" xfId="0" applyFont="1" applyFill="1" applyBorder="1"/>
    <xf numFmtId="0" fontId="0" fillId="0" borderId="6" xfId="0" applyBorder="1" applyAlignment="1">
      <alignment horizontal="left" indent="2"/>
    </xf>
    <xf numFmtId="164" fontId="0" fillId="0" borderId="6" xfId="0" applyNumberFormat="1" applyBorder="1"/>
    <xf numFmtId="164" fontId="0" fillId="0" borderId="39" xfId="0" applyNumberFormat="1" applyBorder="1"/>
    <xf numFmtId="0" fontId="1" fillId="3" borderId="15" xfId="0" applyFont="1" applyFill="1" applyBorder="1" applyAlignment="1">
      <alignment horizontal="center"/>
    </xf>
    <xf numFmtId="164" fontId="1" fillId="3" borderId="16" xfId="0" applyNumberFormat="1" applyFont="1" applyFill="1" applyBorder="1"/>
    <xf numFmtId="164" fontId="0" fillId="0" borderId="6" xfId="0" applyNumberFormat="1" applyFill="1" applyBorder="1"/>
    <xf numFmtId="164" fontId="0" fillId="0" borderId="39" xfId="0" applyNumberFormat="1" applyFont="1" applyBorder="1"/>
    <xf numFmtId="0" fontId="1" fillId="4" borderId="4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vertical="center"/>
    </xf>
    <xf numFmtId="164" fontId="1" fillId="4" borderId="10" xfId="0" applyNumberFormat="1" applyFont="1" applyFill="1" applyBorder="1" applyAlignment="1">
      <alignment vertical="center"/>
    </xf>
    <xf numFmtId="164" fontId="1" fillId="4" borderId="47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4" fillId="0" borderId="0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169" fontId="0" fillId="9" borderId="20" xfId="2" applyNumberFormat="1" applyFont="1" applyFill="1" applyBorder="1"/>
    <xf numFmtId="165" fontId="0" fillId="9" borderId="20" xfId="2" applyNumberFormat="1" applyFont="1" applyFill="1" applyBorder="1"/>
    <xf numFmtId="165" fontId="14" fillId="3" borderId="16" xfId="2" applyNumberFormat="1" applyFont="1" applyFill="1" applyBorder="1" applyAlignment="1">
      <alignment horizontal="center" vertical="center" wrapText="1"/>
    </xf>
    <xf numFmtId="0" fontId="5" fillId="3" borderId="36" xfId="1" applyFont="1" applyFill="1" applyBorder="1" applyAlignment="1">
      <alignment horizontal="center" vertical="center" wrapText="1"/>
    </xf>
    <xf numFmtId="164" fontId="5" fillId="5" borderId="31" xfId="1" applyNumberFormat="1" applyFont="1" applyFill="1" applyBorder="1"/>
    <xf numFmtId="164" fontId="7" fillId="5" borderId="37" xfId="1" applyNumberFormat="1" applyFont="1" applyFill="1" applyBorder="1" applyAlignment="1">
      <alignment vertical="top" wrapText="1"/>
    </xf>
    <xf numFmtId="164" fontId="3" fillId="0" borderId="30" xfId="1" applyNumberFormat="1" applyBorder="1"/>
    <xf numFmtId="164" fontId="5" fillId="0" borderId="29" xfId="1" applyNumberFormat="1" applyFont="1" applyBorder="1"/>
    <xf numFmtId="165" fontId="0" fillId="0" borderId="51" xfId="2" applyNumberFormat="1" applyFont="1" applyBorder="1"/>
    <xf numFmtId="165" fontId="0" fillId="0" borderId="52" xfId="2" applyNumberFormat="1" applyFont="1" applyBorder="1"/>
    <xf numFmtId="165" fontId="5" fillId="0" borderId="13" xfId="2" applyNumberFormat="1" applyFont="1" applyBorder="1"/>
    <xf numFmtId="0" fontId="5" fillId="3" borderId="1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38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4" fillId="3" borderId="24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5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36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5" fillId="3" borderId="37" xfId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 wrapText="1"/>
    </xf>
    <xf numFmtId="0" fontId="3" fillId="0" borderId="0" xfId="1" applyAlignment="1">
      <alignment horizontal="left" vertical="top" wrapText="1"/>
    </xf>
    <xf numFmtId="165" fontId="5" fillId="5" borderId="2" xfId="2" applyNumberFormat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164" fontId="5" fillId="5" borderId="4" xfId="2" applyNumberFormat="1" applyFont="1" applyFill="1" applyBorder="1" applyAlignment="1">
      <alignment horizontal="right" vertical="center"/>
    </xf>
    <xf numFmtId="0" fontId="3" fillId="5" borderId="44" xfId="1" applyFill="1" applyBorder="1" applyAlignment="1">
      <alignment horizontal="center" vertical="center"/>
    </xf>
    <xf numFmtId="0" fontId="3" fillId="5" borderId="45" xfId="1" applyFill="1" applyBorder="1" applyAlignment="1">
      <alignment horizontal="center" vertical="center"/>
    </xf>
    <xf numFmtId="165" fontId="5" fillId="3" borderId="53" xfId="2" applyNumberFormat="1" applyFont="1" applyFill="1" applyBorder="1" applyAlignment="1">
      <alignment horizontal="center" vertical="center"/>
    </xf>
    <xf numFmtId="165" fontId="5" fillId="3" borderId="54" xfId="2" applyNumberFormat="1" applyFont="1" applyFill="1" applyBorder="1" applyAlignment="1">
      <alignment horizontal="center" vertical="center"/>
    </xf>
    <xf numFmtId="165" fontId="5" fillId="3" borderId="48" xfId="2" applyNumberFormat="1" applyFont="1" applyFill="1" applyBorder="1" applyAlignment="1">
      <alignment horizontal="center" vertical="center"/>
    </xf>
    <xf numFmtId="165" fontId="5" fillId="3" borderId="50" xfId="2" applyNumberFormat="1" applyFont="1" applyFill="1" applyBorder="1" applyAlignment="1">
      <alignment horizontal="center" vertical="center" wrapText="1"/>
    </xf>
    <xf numFmtId="165" fontId="5" fillId="3" borderId="49" xfId="2" applyNumberFormat="1" applyFont="1" applyFill="1" applyBorder="1" applyAlignment="1">
      <alignment horizontal="center" vertical="center" wrapText="1"/>
    </xf>
    <xf numFmtId="165" fontId="5" fillId="3" borderId="41" xfId="2" applyNumberFormat="1" applyFont="1" applyFill="1" applyBorder="1" applyAlignment="1">
      <alignment horizontal="center" vertical="center" wrapText="1"/>
    </xf>
  </cellXfs>
  <cellStyles count="6">
    <cellStyle name="Comma" xfId="4" builtinId="3"/>
    <cellStyle name="Comma 2" xfId="2"/>
    <cellStyle name="Normal" xfId="0" builtinId="0"/>
    <cellStyle name="Normal 2" xfId="1"/>
    <cellStyle name="Percent" xfId="5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4/IRM%202015%20Rates%20Application%20-%20EB-2014-0064/01_Application/Deferral%20Continuity%20Support/Entegrus_DVADisposition_20141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4/IRM%202015%20Rates%20Application%20-%20EB-2014-0064/01_Application/Deferral%20Continuity%20Support/2013%20YE%20Deferral%20Continuity%20Schedule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Balances for Disposition"/>
      <sheetName val="2. Threshold Test"/>
      <sheetName val="3A. CK Calculation"/>
      <sheetName val="3B. CK Calculation"/>
      <sheetName val="4. SMP Calculation"/>
      <sheetName val="5. DUT Calculation"/>
      <sheetName val="6. NEW Calculations"/>
      <sheetName val="7. CK LRAM"/>
      <sheetName val="8. SMP LRAM"/>
    </sheetNames>
    <sheetDataSet>
      <sheetData sheetId="0"/>
      <sheetData sheetId="1"/>
      <sheetData sheetId="2">
        <row r="48">
          <cell r="I48">
            <v>1</v>
          </cell>
        </row>
      </sheetData>
      <sheetData sheetId="3"/>
      <sheetData sheetId="4"/>
      <sheetData sheetId="5"/>
      <sheetData sheetId="6">
        <row r="34">
          <cell r="I34">
            <v>2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 for App"/>
      <sheetName val="1595 for App CK"/>
      <sheetName val="1595 for App SMP"/>
      <sheetName val="1595 for App New"/>
      <sheetName val="EPI Deferral Cont"/>
      <sheetName val="SMP, DUT, NEW Deferral Cont"/>
      <sheetName val="1595 Cont"/>
      <sheetName val="1595 Allocation"/>
      <sheetName val="1595- CK 2010"/>
      <sheetName val="2014Disp"/>
      <sheetName val="2013 RRR Detail"/>
      <sheetName val="2013 RRR Submission"/>
      <sheetName val="Allocation Factors"/>
      <sheetName val="2013 RRR 2.1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E15">
            <v>0.94795808281123406</v>
          </cell>
          <cell r="F15">
            <v>3.6431782421198322E-2</v>
          </cell>
          <cell r="G15">
            <v>1.5610134767567603E-2</v>
          </cell>
        </row>
        <row r="27">
          <cell r="E27">
            <v>0.978051811077018</v>
          </cell>
          <cell r="F27">
            <v>9.9221671863525436E-3</v>
          </cell>
          <cell r="G27">
            <v>1.2026021736629502E-2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2"/>
  <sheetViews>
    <sheetView tabSelected="1" zoomScale="110" zoomScaleNormal="110" workbookViewId="0">
      <pane xSplit="2" ySplit="7" topLeftCell="C8" activePane="bottomRight" state="frozen"/>
      <selection activeCell="N22" sqref="N22"/>
      <selection pane="topRight" activeCell="N22" sqref="N22"/>
      <selection pane="bottomLeft" activeCell="N22" sqref="N22"/>
      <selection pane="bottomRight" activeCell="E23" sqref="E23"/>
    </sheetView>
  </sheetViews>
  <sheetFormatPr defaultRowHeight="15" x14ac:dyDescent="0.25"/>
  <cols>
    <col min="1" max="1" width="7.85546875" style="7" customWidth="1"/>
    <col min="2" max="2" width="43.28515625" style="7" bestFit="1" customWidth="1"/>
    <col min="3" max="48" width="13.7109375" style="7" customWidth="1"/>
    <col min="49" max="49" width="10.85546875" style="7" customWidth="1"/>
    <col min="50" max="50" width="12" style="7" bestFit="1" customWidth="1"/>
    <col min="51" max="16384" width="9.140625" style="7"/>
  </cols>
  <sheetData>
    <row r="1" spans="1:49" ht="21" x14ac:dyDescent="0.35">
      <c r="A1" s="223" t="s">
        <v>34</v>
      </c>
    </row>
    <row r="2" spans="1:49" ht="21" x14ac:dyDescent="0.35">
      <c r="A2" s="223" t="s">
        <v>170</v>
      </c>
    </row>
    <row r="3" spans="1:49" ht="21.75" thickBot="1" x14ac:dyDescent="0.4">
      <c r="A3" s="224" t="s">
        <v>171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5" spans="1:49" s="8" customFormat="1" ht="18.75" customHeight="1" x14ac:dyDescent="0.25">
      <c r="A5" s="277" t="s">
        <v>21</v>
      </c>
      <c r="B5" s="279" t="s">
        <v>22</v>
      </c>
      <c r="C5" s="274">
        <v>2010</v>
      </c>
      <c r="D5" s="275"/>
      <c r="E5" s="275"/>
      <c r="F5" s="275"/>
      <c r="G5" s="275"/>
      <c r="H5" s="275"/>
      <c r="I5" s="275"/>
      <c r="J5" s="275"/>
      <c r="K5" s="276"/>
      <c r="L5" s="274">
        <v>2011</v>
      </c>
      <c r="M5" s="275"/>
      <c r="N5" s="275"/>
      <c r="O5" s="275"/>
      <c r="P5" s="275"/>
      <c r="Q5" s="275"/>
      <c r="R5" s="275"/>
      <c r="S5" s="275"/>
      <c r="T5" s="276"/>
      <c r="U5" s="274">
        <v>2012</v>
      </c>
      <c r="V5" s="275"/>
      <c r="W5" s="275"/>
      <c r="X5" s="275"/>
      <c r="Y5" s="275"/>
      <c r="Z5" s="275"/>
      <c r="AA5" s="275"/>
      <c r="AB5" s="275"/>
      <c r="AC5" s="276"/>
      <c r="AD5" s="274">
        <v>2013</v>
      </c>
      <c r="AE5" s="275"/>
      <c r="AF5" s="275"/>
      <c r="AG5" s="275"/>
      <c r="AH5" s="275"/>
      <c r="AI5" s="275"/>
      <c r="AJ5" s="275"/>
      <c r="AK5" s="275"/>
      <c r="AL5" s="276"/>
      <c r="AM5" s="274">
        <v>2014</v>
      </c>
      <c r="AN5" s="275"/>
      <c r="AO5" s="275"/>
      <c r="AP5" s="275"/>
      <c r="AQ5" s="275"/>
      <c r="AR5" s="275"/>
      <c r="AS5" s="275"/>
      <c r="AT5" s="275"/>
      <c r="AU5" s="276"/>
      <c r="AV5" s="264" t="s">
        <v>23</v>
      </c>
      <c r="AW5" s="267" t="s">
        <v>24</v>
      </c>
    </row>
    <row r="6" spans="1:49" s="9" customFormat="1" ht="15" customHeight="1" x14ac:dyDescent="0.25">
      <c r="A6" s="270"/>
      <c r="B6" s="280"/>
      <c r="C6" s="270" t="s">
        <v>25</v>
      </c>
      <c r="D6" s="271"/>
      <c r="E6" s="271"/>
      <c r="F6" s="271"/>
      <c r="G6" s="271" t="s">
        <v>26</v>
      </c>
      <c r="H6" s="271"/>
      <c r="I6" s="271"/>
      <c r="J6" s="271"/>
      <c r="K6" s="272" t="s">
        <v>27</v>
      </c>
      <c r="L6" s="270" t="s">
        <v>25</v>
      </c>
      <c r="M6" s="271"/>
      <c r="N6" s="271"/>
      <c r="O6" s="271"/>
      <c r="P6" s="271" t="s">
        <v>26</v>
      </c>
      <c r="Q6" s="271"/>
      <c r="R6" s="271"/>
      <c r="S6" s="271"/>
      <c r="T6" s="272" t="s">
        <v>27</v>
      </c>
      <c r="U6" s="270" t="s">
        <v>25</v>
      </c>
      <c r="V6" s="271"/>
      <c r="W6" s="271"/>
      <c r="X6" s="271"/>
      <c r="Y6" s="271" t="s">
        <v>26</v>
      </c>
      <c r="Z6" s="271"/>
      <c r="AA6" s="271"/>
      <c r="AB6" s="271"/>
      <c r="AC6" s="272" t="s">
        <v>27</v>
      </c>
      <c r="AD6" s="270" t="s">
        <v>25</v>
      </c>
      <c r="AE6" s="271"/>
      <c r="AF6" s="271"/>
      <c r="AG6" s="271"/>
      <c r="AH6" s="271" t="s">
        <v>26</v>
      </c>
      <c r="AI6" s="271"/>
      <c r="AJ6" s="271"/>
      <c r="AK6" s="271"/>
      <c r="AL6" s="272" t="s">
        <v>27</v>
      </c>
      <c r="AM6" s="270" t="s">
        <v>25</v>
      </c>
      <c r="AN6" s="271"/>
      <c r="AO6" s="271"/>
      <c r="AP6" s="271"/>
      <c r="AQ6" s="271" t="s">
        <v>26</v>
      </c>
      <c r="AR6" s="271"/>
      <c r="AS6" s="271"/>
      <c r="AT6" s="271"/>
      <c r="AU6" s="272" t="s">
        <v>27</v>
      </c>
      <c r="AV6" s="265"/>
      <c r="AW6" s="268"/>
    </row>
    <row r="7" spans="1:49" s="9" customFormat="1" ht="30" x14ac:dyDescent="0.25">
      <c r="A7" s="278"/>
      <c r="B7" s="281"/>
      <c r="C7" s="51" t="s">
        <v>28</v>
      </c>
      <c r="D7" s="94" t="s">
        <v>29</v>
      </c>
      <c r="E7" s="94" t="s">
        <v>30</v>
      </c>
      <c r="F7" s="94" t="s">
        <v>31</v>
      </c>
      <c r="G7" s="94" t="s">
        <v>28</v>
      </c>
      <c r="H7" s="94" t="s">
        <v>29</v>
      </c>
      <c r="I7" s="94" t="s">
        <v>30</v>
      </c>
      <c r="J7" s="94" t="s">
        <v>31</v>
      </c>
      <c r="K7" s="273"/>
      <c r="L7" s="51" t="s">
        <v>28</v>
      </c>
      <c r="M7" s="94" t="s">
        <v>29</v>
      </c>
      <c r="N7" s="94" t="s">
        <v>30</v>
      </c>
      <c r="O7" s="94" t="s">
        <v>31</v>
      </c>
      <c r="P7" s="94" t="s">
        <v>28</v>
      </c>
      <c r="Q7" s="94" t="s">
        <v>29</v>
      </c>
      <c r="R7" s="94" t="s">
        <v>30</v>
      </c>
      <c r="S7" s="94" t="s">
        <v>31</v>
      </c>
      <c r="T7" s="273"/>
      <c r="U7" s="51" t="s">
        <v>28</v>
      </c>
      <c r="V7" s="94" t="s">
        <v>29</v>
      </c>
      <c r="W7" s="94" t="s">
        <v>30</v>
      </c>
      <c r="X7" s="94" t="s">
        <v>31</v>
      </c>
      <c r="Y7" s="94" t="s">
        <v>28</v>
      </c>
      <c r="Z7" s="94" t="s">
        <v>29</v>
      </c>
      <c r="AA7" s="94" t="s">
        <v>30</v>
      </c>
      <c r="AB7" s="94" t="s">
        <v>31</v>
      </c>
      <c r="AC7" s="273"/>
      <c r="AD7" s="51" t="s">
        <v>28</v>
      </c>
      <c r="AE7" s="94" t="s">
        <v>29</v>
      </c>
      <c r="AF7" s="94" t="s">
        <v>30</v>
      </c>
      <c r="AG7" s="94" t="s">
        <v>31</v>
      </c>
      <c r="AH7" s="94" t="s">
        <v>28</v>
      </c>
      <c r="AI7" s="94" t="s">
        <v>29</v>
      </c>
      <c r="AJ7" s="94" t="s">
        <v>30</v>
      </c>
      <c r="AK7" s="94" t="s">
        <v>31</v>
      </c>
      <c r="AL7" s="273"/>
      <c r="AM7" s="51" t="s">
        <v>28</v>
      </c>
      <c r="AN7" s="94" t="s">
        <v>29</v>
      </c>
      <c r="AO7" s="94" t="s">
        <v>30</v>
      </c>
      <c r="AP7" s="94" t="s">
        <v>31</v>
      </c>
      <c r="AQ7" s="94" t="s">
        <v>28</v>
      </c>
      <c r="AR7" s="94" t="s">
        <v>29</v>
      </c>
      <c r="AS7" s="94" t="s">
        <v>30</v>
      </c>
      <c r="AT7" s="94" t="s">
        <v>31</v>
      </c>
      <c r="AU7" s="273"/>
      <c r="AV7" s="266"/>
      <c r="AW7" s="269"/>
    </row>
    <row r="8" spans="1:49" ht="18.75" x14ac:dyDescent="0.3">
      <c r="A8" s="89" t="s">
        <v>0</v>
      </c>
      <c r="B8" s="90"/>
      <c r="C8" s="89"/>
      <c r="D8" s="91"/>
      <c r="E8" s="91"/>
      <c r="F8" s="91"/>
      <c r="G8" s="91"/>
      <c r="H8" s="91"/>
      <c r="I8" s="91"/>
      <c r="J8" s="91"/>
      <c r="K8" s="92"/>
      <c r="L8" s="89"/>
      <c r="M8" s="91"/>
      <c r="N8" s="91"/>
      <c r="O8" s="91"/>
      <c r="P8" s="91"/>
      <c r="Q8" s="91"/>
      <c r="R8" s="91"/>
      <c r="S8" s="91"/>
      <c r="T8" s="92"/>
      <c r="U8" s="89"/>
      <c r="V8" s="91"/>
      <c r="W8" s="91"/>
      <c r="X8" s="91"/>
      <c r="Y8" s="91"/>
      <c r="Z8" s="91"/>
      <c r="AA8" s="91"/>
      <c r="AB8" s="91"/>
      <c r="AC8" s="92"/>
      <c r="AD8" s="89"/>
      <c r="AE8" s="91"/>
      <c r="AF8" s="91"/>
      <c r="AG8" s="91"/>
      <c r="AH8" s="91"/>
      <c r="AI8" s="91"/>
      <c r="AJ8" s="91"/>
      <c r="AK8" s="91"/>
      <c r="AL8" s="92"/>
      <c r="AM8" s="89"/>
      <c r="AN8" s="91"/>
      <c r="AO8" s="91"/>
      <c r="AP8" s="91"/>
      <c r="AQ8" s="91"/>
      <c r="AR8" s="91"/>
      <c r="AS8" s="91"/>
      <c r="AT8" s="91"/>
      <c r="AU8" s="92"/>
      <c r="AV8" s="93"/>
      <c r="AW8" s="92"/>
    </row>
    <row r="9" spans="1:49" x14ac:dyDescent="0.25">
      <c r="A9" s="28">
        <v>1550</v>
      </c>
      <c r="B9" s="72" t="s">
        <v>1</v>
      </c>
      <c r="C9" s="79"/>
      <c r="D9" s="12"/>
      <c r="E9" s="12"/>
      <c r="F9" s="12"/>
      <c r="G9" s="12"/>
      <c r="H9" s="12"/>
      <c r="I9" s="12"/>
      <c r="J9" s="12"/>
      <c r="K9" s="80"/>
      <c r="L9" s="79"/>
      <c r="M9" s="12"/>
      <c r="N9" s="12"/>
      <c r="O9" s="12"/>
      <c r="P9" s="12"/>
      <c r="Q9" s="12"/>
      <c r="R9" s="12"/>
      <c r="S9" s="12"/>
      <c r="T9" s="80"/>
      <c r="U9" s="79"/>
      <c r="V9" s="12"/>
      <c r="W9" s="12"/>
      <c r="X9" s="12"/>
      <c r="Y9" s="12"/>
      <c r="Z9" s="12"/>
      <c r="AA9" s="12"/>
      <c r="AB9" s="12"/>
      <c r="AC9" s="80"/>
      <c r="AD9" s="79"/>
      <c r="AE9" s="12"/>
      <c r="AF9" s="12"/>
      <c r="AG9" s="12"/>
      <c r="AH9" s="12"/>
      <c r="AI9" s="12"/>
      <c r="AJ9" s="12"/>
      <c r="AK9" s="12"/>
      <c r="AL9" s="80"/>
      <c r="AM9" s="79">
        <v>795920.37</v>
      </c>
      <c r="AN9" s="12">
        <v>316173.87000000005</v>
      </c>
      <c r="AO9" s="12">
        <v>193841.81</v>
      </c>
      <c r="AP9" s="12">
        <f t="shared" ref="AP9:AP18" si="0">AM9+AN9-AO9</f>
        <v>918252.42999999993</v>
      </c>
      <c r="AQ9" s="12">
        <v>14654.432868575339</v>
      </c>
      <c r="AR9" s="12">
        <v>11910.403443424664</v>
      </c>
      <c r="AS9" s="12">
        <v>7146.8663120000028</v>
      </c>
      <c r="AT9" s="12">
        <f>AQ9+AR9-AS9</f>
        <v>19417.97</v>
      </c>
      <c r="AU9" s="80">
        <f>AP9+AT9</f>
        <v>937670.39999999991</v>
      </c>
      <c r="AV9" s="75">
        <v>937670.4</v>
      </c>
      <c r="AW9" s="187">
        <f>AV9-AU9</f>
        <v>0</v>
      </c>
    </row>
    <row r="10" spans="1:49" x14ac:dyDescent="0.25">
      <c r="A10" s="28">
        <v>1551</v>
      </c>
      <c r="B10" s="72" t="s">
        <v>2</v>
      </c>
      <c r="C10" s="79"/>
      <c r="D10" s="12"/>
      <c r="E10" s="12"/>
      <c r="F10" s="12"/>
      <c r="G10" s="12"/>
      <c r="H10" s="12"/>
      <c r="I10" s="12"/>
      <c r="J10" s="12"/>
      <c r="K10" s="80"/>
      <c r="L10" s="79"/>
      <c r="M10" s="12"/>
      <c r="N10" s="12"/>
      <c r="O10" s="12"/>
      <c r="P10" s="12"/>
      <c r="Q10" s="12"/>
      <c r="R10" s="12"/>
      <c r="S10" s="12"/>
      <c r="T10" s="80"/>
      <c r="U10" s="79"/>
      <c r="V10" s="12"/>
      <c r="W10" s="12"/>
      <c r="X10" s="12"/>
      <c r="Y10" s="12"/>
      <c r="Z10" s="12"/>
      <c r="AA10" s="12"/>
      <c r="AB10" s="12"/>
      <c r="AC10" s="80"/>
      <c r="AD10" s="79"/>
      <c r="AE10" s="12"/>
      <c r="AF10" s="12"/>
      <c r="AG10" s="12"/>
      <c r="AH10" s="12"/>
      <c r="AI10" s="12"/>
      <c r="AJ10" s="12"/>
      <c r="AK10" s="12"/>
      <c r="AL10" s="80"/>
      <c r="AM10" s="79">
        <v>28530.87</v>
      </c>
      <c r="AN10" s="12">
        <v>-3200.6699999999983</v>
      </c>
      <c r="AO10" s="12">
        <v>0</v>
      </c>
      <c r="AP10" s="12">
        <f t="shared" si="0"/>
        <v>25330.2</v>
      </c>
      <c r="AQ10" s="12">
        <v>-11.169999999999996</v>
      </c>
      <c r="AR10" s="12">
        <v>-10.710000000000003</v>
      </c>
      <c r="AS10" s="12">
        <v>0</v>
      </c>
      <c r="AT10" s="12">
        <f t="shared" ref="AT10:AT18" si="1">AQ10+AR10-AS10</f>
        <v>-21.88</v>
      </c>
      <c r="AU10" s="80">
        <f t="shared" ref="AU10:AU18" si="2">AP10+AT10</f>
        <v>25308.32</v>
      </c>
      <c r="AV10" s="75">
        <v>25308.319999999996</v>
      </c>
      <c r="AW10" s="187">
        <f t="shared" ref="AW10:AW18" si="3">AV10-AU10</f>
        <v>0</v>
      </c>
    </row>
    <row r="11" spans="1:49" x14ac:dyDescent="0.25">
      <c r="A11" s="28">
        <v>1568</v>
      </c>
      <c r="B11" s="72" t="s">
        <v>3</v>
      </c>
      <c r="C11" s="79"/>
      <c r="D11" s="12"/>
      <c r="E11" s="12"/>
      <c r="F11" s="12"/>
      <c r="G11" s="12"/>
      <c r="H11" s="12"/>
      <c r="I11" s="12"/>
      <c r="J11" s="12"/>
      <c r="K11" s="80"/>
      <c r="L11" s="79"/>
      <c r="M11" s="12"/>
      <c r="N11" s="12"/>
      <c r="O11" s="12"/>
      <c r="P11" s="12"/>
      <c r="Q11" s="12"/>
      <c r="R11" s="12"/>
      <c r="S11" s="12"/>
      <c r="T11" s="80"/>
      <c r="U11" s="79"/>
      <c r="V11" s="12"/>
      <c r="W11" s="12"/>
      <c r="X11" s="12"/>
      <c r="Y11" s="12"/>
      <c r="Z11" s="12"/>
      <c r="AA11" s="12"/>
      <c r="AB11" s="12"/>
      <c r="AC11" s="80"/>
      <c r="AD11" s="79"/>
      <c r="AE11" s="12"/>
      <c r="AF11" s="12"/>
      <c r="AG11" s="12"/>
      <c r="AH11" s="12"/>
      <c r="AI11" s="12"/>
      <c r="AJ11" s="12"/>
      <c r="AK11" s="12"/>
      <c r="AL11" s="80"/>
      <c r="AM11" s="79">
        <v>0</v>
      </c>
      <c r="AN11" s="12">
        <v>370620.34</v>
      </c>
      <c r="AO11" s="12">
        <v>100310</v>
      </c>
      <c r="AP11" s="12">
        <f t="shared" si="0"/>
        <v>270310.34000000003</v>
      </c>
      <c r="AQ11" s="12">
        <v>0</v>
      </c>
      <c r="AR11" s="12">
        <v>2761.46</v>
      </c>
      <c r="AS11" s="12"/>
      <c r="AT11" s="12">
        <f>AQ11+AR11-AS11</f>
        <v>2761.46</v>
      </c>
      <c r="AU11" s="80">
        <f>AP11+AT11</f>
        <v>273071.80000000005</v>
      </c>
      <c r="AV11" s="75">
        <v>273071.80000000005</v>
      </c>
      <c r="AW11" s="187">
        <f t="shared" si="3"/>
        <v>0</v>
      </c>
    </row>
    <row r="12" spans="1:49" x14ac:dyDescent="0.25">
      <c r="A12" s="28">
        <v>1580</v>
      </c>
      <c r="B12" s="72" t="s">
        <v>4</v>
      </c>
      <c r="C12" s="79"/>
      <c r="D12" s="12"/>
      <c r="E12" s="12"/>
      <c r="F12" s="12"/>
      <c r="G12" s="12"/>
      <c r="H12" s="12"/>
      <c r="I12" s="12"/>
      <c r="J12" s="12"/>
      <c r="K12" s="80"/>
      <c r="L12" s="79"/>
      <c r="M12" s="12"/>
      <c r="N12" s="12"/>
      <c r="O12" s="12"/>
      <c r="P12" s="12"/>
      <c r="Q12" s="12"/>
      <c r="R12" s="12"/>
      <c r="S12" s="12"/>
      <c r="T12" s="80"/>
      <c r="U12" s="79"/>
      <c r="V12" s="12"/>
      <c r="W12" s="12"/>
      <c r="X12" s="12"/>
      <c r="Y12" s="12"/>
      <c r="Z12" s="12"/>
      <c r="AA12" s="12"/>
      <c r="AB12" s="12"/>
      <c r="AC12" s="80"/>
      <c r="AD12" s="79"/>
      <c r="AE12" s="12"/>
      <c r="AF12" s="12"/>
      <c r="AG12" s="12"/>
      <c r="AH12" s="12"/>
      <c r="AI12" s="12"/>
      <c r="AJ12" s="12"/>
      <c r="AK12" s="12"/>
      <c r="AL12" s="80"/>
      <c r="AM12" s="79">
        <v>-1433056.21</v>
      </c>
      <c r="AN12" s="12">
        <v>-60007.39000000013</v>
      </c>
      <c r="AO12" s="12">
        <v>-219117.23000000007</v>
      </c>
      <c r="AP12" s="12">
        <f t="shared" si="0"/>
        <v>-1273946.3700000001</v>
      </c>
      <c r="AQ12" s="12">
        <v>-28305.93</v>
      </c>
      <c r="AR12" s="12">
        <v>-13082.618647999989</v>
      </c>
      <c r="AS12" s="12">
        <v>-6364.3586479999876</v>
      </c>
      <c r="AT12" s="12">
        <f t="shared" si="1"/>
        <v>-35024.19</v>
      </c>
      <c r="AU12" s="80">
        <f t="shared" si="2"/>
        <v>-1308970.56</v>
      </c>
      <c r="AV12" s="75">
        <v>-1308970.5599999998</v>
      </c>
      <c r="AW12" s="187">
        <f t="shared" si="3"/>
        <v>0</v>
      </c>
    </row>
    <row r="13" spans="1:49" x14ac:dyDescent="0.25">
      <c r="A13" s="28">
        <v>1584</v>
      </c>
      <c r="B13" s="72" t="s">
        <v>5</v>
      </c>
      <c r="C13" s="79"/>
      <c r="D13" s="12"/>
      <c r="E13" s="12"/>
      <c r="F13" s="12"/>
      <c r="G13" s="12"/>
      <c r="H13" s="12"/>
      <c r="I13" s="12"/>
      <c r="J13" s="12"/>
      <c r="K13" s="80"/>
      <c r="L13" s="79"/>
      <c r="M13" s="12"/>
      <c r="N13" s="12"/>
      <c r="O13" s="12"/>
      <c r="P13" s="12"/>
      <c r="Q13" s="12"/>
      <c r="R13" s="12"/>
      <c r="S13" s="12"/>
      <c r="T13" s="80"/>
      <c r="U13" s="79"/>
      <c r="V13" s="12"/>
      <c r="W13" s="12"/>
      <c r="X13" s="12"/>
      <c r="Y13" s="12"/>
      <c r="Z13" s="12"/>
      <c r="AA13" s="12"/>
      <c r="AB13" s="12"/>
      <c r="AC13" s="80"/>
      <c r="AD13" s="79"/>
      <c r="AE13" s="12"/>
      <c r="AF13" s="12"/>
      <c r="AG13" s="12"/>
      <c r="AH13" s="12"/>
      <c r="AI13" s="12"/>
      <c r="AJ13" s="12"/>
      <c r="AK13" s="12"/>
      <c r="AL13" s="80"/>
      <c r="AM13" s="79">
        <v>283726.91000000003</v>
      </c>
      <c r="AN13" s="12">
        <v>25955.640000000014</v>
      </c>
      <c r="AO13" s="12">
        <v>-52223.479999999996</v>
      </c>
      <c r="AP13" s="12">
        <f t="shared" si="0"/>
        <v>361906.03</v>
      </c>
      <c r="AQ13" s="12">
        <v>4140.2400000000034</v>
      </c>
      <c r="AR13" s="12">
        <v>6985.8706039999961</v>
      </c>
      <c r="AS13" s="12">
        <v>-763.55939600000045</v>
      </c>
      <c r="AT13" s="12">
        <f t="shared" si="1"/>
        <v>11889.67</v>
      </c>
      <c r="AU13" s="80">
        <f t="shared" si="2"/>
        <v>373795.7</v>
      </c>
      <c r="AV13" s="75">
        <v>373795.69999999984</v>
      </c>
      <c r="AW13" s="187">
        <f t="shared" si="3"/>
        <v>0</v>
      </c>
    </row>
    <row r="14" spans="1:49" x14ac:dyDescent="0.25">
      <c r="A14" s="28">
        <v>1586</v>
      </c>
      <c r="B14" s="72" t="s">
        <v>6</v>
      </c>
      <c r="C14" s="79"/>
      <c r="D14" s="12"/>
      <c r="E14" s="12"/>
      <c r="F14" s="12"/>
      <c r="G14" s="12"/>
      <c r="H14" s="12"/>
      <c r="I14" s="12"/>
      <c r="J14" s="12"/>
      <c r="K14" s="80"/>
      <c r="L14" s="79"/>
      <c r="M14" s="12"/>
      <c r="N14" s="12"/>
      <c r="O14" s="12"/>
      <c r="P14" s="12"/>
      <c r="Q14" s="12"/>
      <c r="R14" s="12"/>
      <c r="S14" s="12"/>
      <c r="T14" s="80"/>
      <c r="U14" s="79"/>
      <c r="V14" s="12"/>
      <c r="W14" s="12"/>
      <c r="X14" s="12"/>
      <c r="Y14" s="12"/>
      <c r="Z14" s="12"/>
      <c r="AA14" s="12"/>
      <c r="AB14" s="12"/>
      <c r="AC14" s="80"/>
      <c r="AD14" s="79"/>
      <c r="AE14" s="12"/>
      <c r="AF14" s="12"/>
      <c r="AG14" s="12"/>
      <c r="AH14" s="12"/>
      <c r="AI14" s="12"/>
      <c r="AJ14" s="12"/>
      <c r="AK14" s="12"/>
      <c r="AL14" s="80"/>
      <c r="AM14" s="79">
        <v>1139670.4839999999</v>
      </c>
      <c r="AN14" s="12">
        <v>677058.90599999996</v>
      </c>
      <c r="AO14" s="12">
        <v>9335.2000000000135</v>
      </c>
      <c r="AP14" s="12">
        <f t="shared" si="0"/>
        <v>1807394.19</v>
      </c>
      <c r="AQ14" s="12">
        <v>14249.804524000003</v>
      </c>
      <c r="AR14" s="12">
        <v>20995.119919999994</v>
      </c>
      <c r="AS14" s="12">
        <v>199.23444399999485</v>
      </c>
      <c r="AT14" s="12">
        <f t="shared" si="1"/>
        <v>35045.69</v>
      </c>
      <c r="AU14" s="80">
        <f t="shared" si="2"/>
        <v>1842439.88</v>
      </c>
      <c r="AV14" s="75">
        <v>1842439.8800000001</v>
      </c>
      <c r="AW14" s="187">
        <f t="shared" si="3"/>
        <v>0</v>
      </c>
    </row>
    <row r="15" spans="1:49" x14ac:dyDescent="0.25">
      <c r="A15" s="28">
        <v>1588</v>
      </c>
      <c r="B15" s="72" t="s">
        <v>7</v>
      </c>
      <c r="C15" s="79"/>
      <c r="D15" s="12"/>
      <c r="E15" s="12"/>
      <c r="F15" s="12"/>
      <c r="G15" s="12"/>
      <c r="H15" s="12"/>
      <c r="I15" s="12"/>
      <c r="J15" s="12"/>
      <c r="K15" s="80"/>
      <c r="L15" s="79"/>
      <c r="M15" s="12"/>
      <c r="N15" s="12"/>
      <c r="O15" s="12"/>
      <c r="P15" s="12"/>
      <c r="Q15" s="12"/>
      <c r="R15" s="12"/>
      <c r="S15" s="12"/>
      <c r="T15" s="80"/>
      <c r="U15" s="79"/>
      <c r="V15" s="12"/>
      <c r="W15" s="12"/>
      <c r="X15" s="12"/>
      <c r="Y15" s="12"/>
      <c r="Z15" s="12"/>
      <c r="AA15" s="12"/>
      <c r="AB15" s="12"/>
      <c r="AC15" s="80"/>
      <c r="AD15" s="79"/>
      <c r="AE15" s="12"/>
      <c r="AF15" s="12"/>
      <c r="AG15" s="12"/>
      <c r="AH15" s="12"/>
      <c r="AI15" s="12"/>
      <c r="AJ15" s="12"/>
      <c r="AK15" s="12"/>
      <c r="AL15" s="80"/>
      <c r="AM15" s="79">
        <v>827485.24000000034</v>
      </c>
      <c r="AN15" s="12">
        <v>378536.62999999954</v>
      </c>
      <c r="AO15" s="12">
        <v>-66869.08</v>
      </c>
      <c r="AP15" s="12">
        <f t="shared" si="0"/>
        <v>1272890.95</v>
      </c>
      <c r="AQ15" s="12">
        <v>14483.974900000005</v>
      </c>
      <c r="AR15" s="12">
        <v>24750.236032000019</v>
      </c>
      <c r="AS15" s="12">
        <v>145.42093200002529</v>
      </c>
      <c r="AT15" s="12">
        <f t="shared" si="1"/>
        <v>39088.79</v>
      </c>
      <c r="AU15" s="80">
        <f t="shared" si="2"/>
        <v>1311979.74</v>
      </c>
      <c r="AV15" s="75">
        <v>1311979.7399999998</v>
      </c>
      <c r="AW15" s="187">
        <f t="shared" si="3"/>
        <v>0</v>
      </c>
    </row>
    <row r="16" spans="1:49" x14ac:dyDescent="0.25">
      <c r="A16" s="28">
        <v>1589</v>
      </c>
      <c r="B16" s="72" t="s">
        <v>8</v>
      </c>
      <c r="C16" s="79"/>
      <c r="D16" s="12"/>
      <c r="E16" s="12"/>
      <c r="F16" s="12"/>
      <c r="G16" s="12"/>
      <c r="H16" s="12"/>
      <c r="I16" s="12"/>
      <c r="J16" s="12"/>
      <c r="K16" s="80"/>
      <c r="L16" s="79"/>
      <c r="M16" s="12"/>
      <c r="N16" s="12"/>
      <c r="O16" s="12"/>
      <c r="P16" s="12"/>
      <c r="Q16" s="12"/>
      <c r="R16" s="12"/>
      <c r="S16" s="12"/>
      <c r="T16" s="80"/>
      <c r="U16" s="79"/>
      <c r="V16" s="12"/>
      <c r="W16" s="12"/>
      <c r="X16" s="12"/>
      <c r="Y16" s="12"/>
      <c r="Z16" s="12"/>
      <c r="AA16" s="12"/>
      <c r="AB16" s="12"/>
      <c r="AC16" s="80"/>
      <c r="AD16" s="79"/>
      <c r="AE16" s="12"/>
      <c r="AF16" s="12"/>
      <c r="AG16" s="12"/>
      <c r="AH16" s="12"/>
      <c r="AI16" s="12"/>
      <c r="AJ16" s="12"/>
      <c r="AK16" s="12"/>
      <c r="AL16" s="80"/>
      <c r="AM16" s="79">
        <v>298643.72000000067</v>
      </c>
      <c r="AN16" s="12">
        <v>1761559.6599999992</v>
      </c>
      <c r="AO16" s="12">
        <v>-142122.63</v>
      </c>
      <c r="AP16" s="12">
        <f t="shared" si="0"/>
        <v>2202326.0099999998</v>
      </c>
      <c r="AQ16" s="12">
        <v>1454.9696679999979</v>
      </c>
      <c r="AR16" s="12">
        <v>25274.616451999987</v>
      </c>
      <c r="AS16" s="12">
        <v>-5350.3538800000124</v>
      </c>
      <c r="AT16" s="12">
        <f t="shared" si="1"/>
        <v>32079.94</v>
      </c>
      <c r="AU16" s="80">
        <f t="shared" si="2"/>
        <v>2234405.9499999997</v>
      </c>
      <c r="AV16" s="75">
        <v>2234405.9500000002</v>
      </c>
      <c r="AW16" s="187">
        <f t="shared" si="3"/>
        <v>0</v>
      </c>
    </row>
    <row r="17" spans="1:50" x14ac:dyDescent="0.25">
      <c r="A17" s="28">
        <v>1590</v>
      </c>
      <c r="B17" s="72" t="s">
        <v>9</v>
      </c>
      <c r="C17" s="79"/>
      <c r="D17" s="12"/>
      <c r="E17" s="12"/>
      <c r="F17" s="12"/>
      <c r="G17" s="12"/>
      <c r="H17" s="12"/>
      <c r="I17" s="12"/>
      <c r="J17" s="12"/>
      <c r="K17" s="80"/>
      <c r="L17" s="79"/>
      <c r="M17" s="12"/>
      <c r="N17" s="12"/>
      <c r="O17" s="12"/>
      <c r="P17" s="12"/>
      <c r="Q17" s="12"/>
      <c r="R17" s="12"/>
      <c r="S17" s="12"/>
      <c r="T17" s="80"/>
      <c r="U17" s="79"/>
      <c r="V17" s="12"/>
      <c r="W17" s="12"/>
      <c r="X17" s="12"/>
      <c r="Y17" s="12"/>
      <c r="Z17" s="12"/>
      <c r="AA17" s="12"/>
      <c r="AB17" s="12"/>
      <c r="AC17" s="80"/>
      <c r="AD17" s="79"/>
      <c r="AE17" s="12"/>
      <c r="AF17" s="12"/>
      <c r="AG17" s="12"/>
      <c r="AH17" s="12"/>
      <c r="AI17" s="12"/>
      <c r="AJ17" s="12"/>
      <c r="AK17" s="12"/>
      <c r="AL17" s="80"/>
      <c r="AM17" s="79">
        <v>35541.480000000018</v>
      </c>
      <c r="AN17" s="12"/>
      <c r="AO17" s="12">
        <v>6491.0299999999897</v>
      </c>
      <c r="AP17" s="12">
        <f t="shared" si="0"/>
        <v>29050.450000000026</v>
      </c>
      <c r="AQ17" s="12">
        <v>0</v>
      </c>
      <c r="AR17" s="12"/>
      <c r="AS17" s="12">
        <v>0</v>
      </c>
      <c r="AT17" s="12">
        <f t="shared" si="1"/>
        <v>0</v>
      </c>
      <c r="AU17" s="80">
        <f t="shared" si="2"/>
        <v>29050.450000000026</v>
      </c>
      <c r="AV17" s="75">
        <v>29050.45</v>
      </c>
      <c r="AW17" s="187">
        <f t="shared" si="3"/>
        <v>0</v>
      </c>
    </row>
    <row r="18" spans="1:50" x14ac:dyDescent="0.25">
      <c r="A18" s="28">
        <v>1595</v>
      </c>
      <c r="B18" s="72" t="s">
        <v>9</v>
      </c>
      <c r="C18" s="79"/>
      <c r="D18" s="12"/>
      <c r="E18" s="12"/>
      <c r="F18" s="12"/>
      <c r="G18" s="12"/>
      <c r="H18" s="12"/>
      <c r="I18" s="12"/>
      <c r="J18" s="12"/>
      <c r="K18" s="80"/>
      <c r="L18" s="79"/>
      <c r="M18" s="12"/>
      <c r="N18" s="12"/>
      <c r="O18" s="12"/>
      <c r="P18" s="12"/>
      <c r="Q18" s="12"/>
      <c r="R18" s="12"/>
      <c r="S18" s="12"/>
      <c r="T18" s="80"/>
      <c r="U18" s="79"/>
      <c r="V18" s="12"/>
      <c r="W18" s="12"/>
      <c r="X18" s="12"/>
      <c r="Y18" s="12"/>
      <c r="Z18" s="12"/>
      <c r="AA18" s="12"/>
      <c r="AB18" s="12"/>
      <c r="AC18" s="80"/>
      <c r="AD18" s="79"/>
      <c r="AE18" s="12"/>
      <c r="AF18" s="12"/>
      <c r="AG18" s="12"/>
      <c r="AH18" s="12"/>
      <c r="AI18" s="12"/>
      <c r="AJ18" s="12"/>
      <c r="AK18" s="12"/>
      <c r="AL18" s="80"/>
      <c r="AM18" s="79">
        <v>466184.57000000007</v>
      </c>
      <c r="AN18" s="12">
        <v>-1074951.2000000002</v>
      </c>
      <c r="AO18" s="12">
        <v>-181073.24999999997</v>
      </c>
      <c r="AP18" s="12">
        <f t="shared" si="0"/>
        <v>-427693.38000000012</v>
      </c>
      <c r="AQ18" s="12">
        <v>0</v>
      </c>
      <c r="AR18" s="12"/>
      <c r="AS18" s="12"/>
      <c r="AT18" s="12">
        <f t="shared" si="1"/>
        <v>0</v>
      </c>
      <c r="AU18" s="80">
        <f t="shared" si="2"/>
        <v>-427693.38000000012</v>
      </c>
      <c r="AV18" s="75">
        <v>-427693.38000000018</v>
      </c>
      <c r="AW18" s="187">
        <f t="shared" si="3"/>
        <v>0</v>
      </c>
      <c r="AX18" s="182"/>
    </row>
    <row r="19" spans="1:50" s="10" customFormat="1" x14ac:dyDescent="0.25">
      <c r="A19" s="87"/>
      <c r="B19" s="73" t="s">
        <v>10</v>
      </c>
      <c r="C19" s="81">
        <f t="shared" ref="C19:AW19" si="4">SUM(C9:C18)</f>
        <v>0</v>
      </c>
      <c r="D19" s="13">
        <f t="shared" si="4"/>
        <v>0</v>
      </c>
      <c r="E19" s="13">
        <f t="shared" si="4"/>
        <v>0</v>
      </c>
      <c r="F19" s="13">
        <f t="shared" si="4"/>
        <v>0</v>
      </c>
      <c r="G19" s="13">
        <f t="shared" si="4"/>
        <v>0</v>
      </c>
      <c r="H19" s="13">
        <f t="shared" si="4"/>
        <v>0</v>
      </c>
      <c r="I19" s="13">
        <f t="shared" si="4"/>
        <v>0</v>
      </c>
      <c r="J19" s="13">
        <f t="shared" si="4"/>
        <v>0</v>
      </c>
      <c r="K19" s="82">
        <f t="shared" si="4"/>
        <v>0</v>
      </c>
      <c r="L19" s="81">
        <f t="shared" si="4"/>
        <v>0</v>
      </c>
      <c r="M19" s="13">
        <f t="shared" si="4"/>
        <v>0</v>
      </c>
      <c r="N19" s="13">
        <f t="shared" si="4"/>
        <v>0</v>
      </c>
      <c r="O19" s="13">
        <f t="shared" si="4"/>
        <v>0</v>
      </c>
      <c r="P19" s="13">
        <f t="shared" si="4"/>
        <v>0</v>
      </c>
      <c r="Q19" s="13">
        <f t="shared" si="4"/>
        <v>0</v>
      </c>
      <c r="R19" s="13">
        <f t="shared" si="4"/>
        <v>0</v>
      </c>
      <c r="S19" s="13">
        <f t="shared" si="4"/>
        <v>0</v>
      </c>
      <c r="T19" s="82">
        <f t="shared" si="4"/>
        <v>0</v>
      </c>
      <c r="U19" s="81">
        <f t="shared" si="4"/>
        <v>0</v>
      </c>
      <c r="V19" s="13">
        <f t="shared" si="4"/>
        <v>0</v>
      </c>
      <c r="W19" s="13">
        <f t="shared" si="4"/>
        <v>0</v>
      </c>
      <c r="X19" s="13">
        <f t="shared" si="4"/>
        <v>0</v>
      </c>
      <c r="Y19" s="13">
        <f t="shared" si="4"/>
        <v>0</v>
      </c>
      <c r="Z19" s="13">
        <f t="shared" si="4"/>
        <v>0</v>
      </c>
      <c r="AA19" s="13">
        <f t="shared" si="4"/>
        <v>0</v>
      </c>
      <c r="AB19" s="13">
        <f t="shared" si="4"/>
        <v>0</v>
      </c>
      <c r="AC19" s="82">
        <f t="shared" si="4"/>
        <v>0</v>
      </c>
      <c r="AD19" s="81">
        <f t="shared" si="4"/>
        <v>0</v>
      </c>
      <c r="AE19" s="13">
        <f t="shared" si="4"/>
        <v>0</v>
      </c>
      <c r="AF19" s="13">
        <f t="shared" si="4"/>
        <v>0</v>
      </c>
      <c r="AG19" s="13">
        <f t="shared" si="4"/>
        <v>0</v>
      </c>
      <c r="AH19" s="13">
        <f t="shared" si="4"/>
        <v>0</v>
      </c>
      <c r="AI19" s="13">
        <f t="shared" si="4"/>
        <v>0</v>
      </c>
      <c r="AJ19" s="13">
        <f t="shared" si="4"/>
        <v>0</v>
      </c>
      <c r="AK19" s="13">
        <f t="shared" si="4"/>
        <v>0</v>
      </c>
      <c r="AL19" s="82">
        <f t="shared" si="4"/>
        <v>0</v>
      </c>
      <c r="AM19" s="81">
        <f t="shared" si="4"/>
        <v>2442647.4340000013</v>
      </c>
      <c r="AN19" s="13">
        <f t="shared" si="4"/>
        <v>2391745.7859999985</v>
      </c>
      <c r="AO19" s="13">
        <f t="shared" si="4"/>
        <v>-351427.63</v>
      </c>
      <c r="AP19" s="13">
        <f t="shared" si="4"/>
        <v>5185820.8499999996</v>
      </c>
      <c r="AQ19" s="13">
        <f t="shared" si="4"/>
        <v>20666.321960575347</v>
      </c>
      <c r="AR19" s="13">
        <f t="shared" si="4"/>
        <v>79584.377803424664</v>
      </c>
      <c r="AS19" s="13">
        <f t="shared" si="4"/>
        <v>-4986.7502359999771</v>
      </c>
      <c r="AT19" s="13">
        <f t="shared" si="4"/>
        <v>105237.45000000001</v>
      </c>
      <c r="AU19" s="82">
        <f>SUM(AU9:AU18)</f>
        <v>5291058.3000000007</v>
      </c>
      <c r="AV19" s="76">
        <f t="shared" si="4"/>
        <v>5291058.3000000007</v>
      </c>
      <c r="AW19" s="188">
        <f t="shared" si="4"/>
        <v>0</v>
      </c>
    </row>
    <row r="20" spans="1:50" ht="18.75" x14ac:dyDescent="0.3">
      <c r="A20" s="77" t="s">
        <v>11</v>
      </c>
      <c r="B20" s="71"/>
      <c r="C20" s="77"/>
      <c r="D20" s="14"/>
      <c r="E20" s="14"/>
      <c r="F20" s="14"/>
      <c r="G20" s="14"/>
      <c r="H20" s="14"/>
      <c r="I20" s="14"/>
      <c r="J20" s="14"/>
      <c r="K20" s="78"/>
      <c r="L20" s="77"/>
      <c r="M20" s="14"/>
      <c r="N20" s="14"/>
      <c r="O20" s="14"/>
      <c r="P20" s="14"/>
      <c r="Q20" s="14"/>
      <c r="R20" s="14"/>
      <c r="S20" s="14"/>
      <c r="T20" s="78"/>
      <c r="U20" s="77"/>
      <c r="V20" s="14"/>
      <c r="W20" s="14"/>
      <c r="X20" s="14"/>
      <c r="Y20" s="14"/>
      <c r="Z20" s="14"/>
      <c r="AA20" s="14"/>
      <c r="AB20" s="14"/>
      <c r="AC20" s="78"/>
      <c r="AD20" s="77"/>
      <c r="AE20" s="14"/>
      <c r="AF20" s="14"/>
      <c r="AG20" s="14"/>
      <c r="AH20" s="14"/>
      <c r="AI20" s="14"/>
      <c r="AJ20" s="14"/>
      <c r="AK20" s="14"/>
      <c r="AL20" s="78"/>
      <c r="AM20" s="77"/>
      <c r="AN20" s="14"/>
      <c r="AO20" s="14"/>
      <c r="AP20" s="14"/>
      <c r="AQ20" s="14"/>
      <c r="AR20" s="14"/>
      <c r="AS20" s="14"/>
      <c r="AT20" s="14"/>
      <c r="AU20" s="78"/>
      <c r="AV20" s="74"/>
      <c r="AW20" s="189"/>
    </row>
    <row r="21" spans="1:50" x14ac:dyDescent="0.25">
      <c r="A21" s="88">
        <v>1508</v>
      </c>
      <c r="B21" s="72" t="s">
        <v>12</v>
      </c>
      <c r="C21" s="79"/>
      <c r="D21" s="12"/>
      <c r="E21" s="12"/>
      <c r="F21" s="12"/>
      <c r="G21" s="12"/>
      <c r="H21" s="12"/>
      <c r="I21" s="12"/>
      <c r="J21" s="12"/>
      <c r="K21" s="80"/>
      <c r="L21" s="79"/>
      <c r="M21" s="12"/>
      <c r="N21" s="12"/>
      <c r="O21" s="12"/>
      <c r="P21" s="12"/>
      <c r="Q21" s="12"/>
      <c r="R21" s="12"/>
      <c r="S21" s="12"/>
      <c r="T21" s="80"/>
      <c r="U21" s="79"/>
      <c r="V21" s="12"/>
      <c r="W21" s="12"/>
      <c r="X21" s="12"/>
      <c r="Y21" s="12"/>
      <c r="Z21" s="12"/>
      <c r="AA21" s="12"/>
      <c r="AB21" s="12"/>
      <c r="AC21" s="80"/>
      <c r="AD21" s="79"/>
      <c r="AE21" s="12"/>
      <c r="AF21" s="12"/>
      <c r="AG21" s="12"/>
      <c r="AH21" s="12"/>
      <c r="AI21" s="12"/>
      <c r="AJ21" s="12"/>
      <c r="AK21" s="12"/>
      <c r="AL21" s="80"/>
      <c r="AM21" s="79"/>
      <c r="AN21" s="12"/>
      <c r="AO21" s="12"/>
      <c r="AP21" s="12"/>
      <c r="AQ21" s="12"/>
      <c r="AR21" s="12"/>
      <c r="AS21" s="12"/>
      <c r="AT21" s="12"/>
      <c r="AU21" s="80">
        <f>SUM(AU22:AU27)</f>
        <v>656625.12</v>
      </c>
      <c r="AV21" s="75">
        <v>656625.13000000059</v>
      </c>
      <c r="AW21" s="187">
        <f>AV21-AU21</f>
        <v>1.0000000591389835E-2</v>
      </c>
    </row>
    <row r="22" spans="1:50" x14ac:dyDescent="0.25">
      <c r="A22" s="88"/>
      <c r="B22" s="86" t="s">
        <v>72</v>
      </c>
      <c r="C22" s="79">
        <v>173245.41</v>
      </c>
      <c r="D22" s="12">
        <v>70113.080000000045</v>
      </c>
      <c r="E22" s="12">
        <v>10326.41</v>
      </c>
      <c r="F22" s="12">
        <f>C22+D22-E22</f>
        <v>233032.08000000005</v>
      </c>
      <c r="G22" s="12">
        <v>477.77</v>
      </c>
      <c r="H22" s="12">
        <v>1322.0699999999997</v>
      </c>
      <c r="I22" s="12">
        <v>174.96000000000004</v>
      </c>
      <c r="J22" s="12">
        <f>G22+H22-I22</f>
        <v>1624.8799999999997</v>
      </c>
      <c r="K22" s="80">
        <f>F22+J22</f>
        <v>234656.96000000005</v>
      </c>
      <c r="L22" s="79">
        <f>F22</f>
        <v>233032.08000000005</v>
      </c>
      <c r="M22" s="12">
        <v>-70800</v>
      </c>
      <c r="N22" s="12">
        <v>0</v>
      </c>
      <c r="O22" s="12">
        <f>L22+M22-N22</f>
        <v>162232.08000000005</v>
      </c>
      <c r="P22" s="12">
        <f>J22</f>
        <v>1624.8799999999997</v>
      </c>
      <c r="Q22" s="12">
        <v>0</v>
      </c>
      <c r="R22" s="12">
        <v>0</v>
      </c>
      <c r="S22" s="12">
        <f>P22+Q22-R22</f>
        <v>1624.8799999999997</v>
      </c>
      <c r="T22" s="80">
        <f>O22+S22</f>
        <v>163856.96000000005</v>
      </c>
      <c r="U22" s="79">
        <f>O22</f>
        <v>162232.08000000005</v>
      </c>
      <c r="V22" s="12">
        <v>-36715.119999999981</v>
      </c>
      <c r="W22" s="12">
        <v>0</v>
      </c>
      <c r="X22" s="12">
        <f>U22+V22-W22</f>
        <v>125516.96000000006</v>
      </c>
      <c r="Y22" s="12">
        <f>S22</f>
        <v>1624.8799999999997</v>
      </c>
      <c r="Z22" s="12">
        <v>-1624.88</v>
      </c>
      <c r="AA22" s="12">
        <v>0</v>
      </c>
      <c r="AB22" s="12">
        <f>Y22+Z22-AA22</f>
        <v>-4.5474735088646412E-13</v>
      </c>
      <c r="AC22" s="80">
        <f>X22+AB22</f>
        <v>125516.96000000006</v>
      </c>
      <c r="AD22" s="79">
        <f>X22</f>
        <v>125516.96000000006</v>
      </c>
      <c r="AE22" s="12">
        <v>-38340</v>
      </c>
      <c r="AF22" s="12">
        <v>0</v>
      </c>
      <c r="AG22" s="12">
        <f>AD22+AE22-AF22</f>
        <v>87176.960000000065</v>
      </c>
      <c r="AH22" s="12">
        <f>AB22</f>
        <v>-4.5474735088646412E-13</v>
      </c>
      <c r="AI22" s="12">
        <v>0</v>
      </c>
      <c r="AJ22" s="12">
        <v>0</v>
      </c>
      <c r="AK22" s="12">
        <f>AH22+AI22-AJ22</f>
        <v>-4.5474735088646412E-13</v>
      </c>
      <c r="AL22" s="80">
        <f>AG22+AK22</f>
        <v>87176.960000000065</v>
      </c>
      <c r="AM22" s="79">
        <f>AG22</f>
        <v>87176.960000000065</v>
      </c>
      <c r="AN22" s="12">
        <v>-38340</v>
      </c>
      <c r="AO22" s="12">
        <v>0</v>
      </c>
      <c r="AP22" s="12">
        <f>AM22+AN22-AO22</f>
        <v>48836.960000000065</v>
      </c>
      <c r="AQ22" s="12">
        <f>AK22</f>
        <v>-4.5474735088646412E-13</v>
      </c>
      <c r="AR22" s="12">
        <v>0</v>
      </c>
      <c r="AS22" s="12">
        <v>0</v>
      </c>
      <c r="AT22" s="12">
        <f>AQ22+AR22-AS22</f>
        <v>-4.5474735088646412E-13</v>
      </c>
      <c r="AU22" s="80">
        <f>AP22+AT22</f>
        <v>48836.960000000065</v>
      </c>
      <c r="AV22" s="75"/>
      <c r="AW22" s="187"/>
    </row>
    <row r="23" spans="1:50" x14ac:dyDescent="0.25">
      <c r="A23" s="88"/>
      <c r="B23" s="86" t="s">
        <v>90</v>
      </c>
      <c r="C23" s="79">
        <v>0</v>
      </c>
      <c r="D23" s="12">
        <v>0</v>
      </c>
      <c r="E23" s="12">
        <v>0</v>
      </c>
      <c r="F23" s="12">
        <f t="shared" ref="F23:F36" si="5">C23+D23-E23</f>
        <v>0</v>
      </c>
      <c r="G23" s="12">
        <v>0</v>
      </c>
      <c r="H23" s="12">
        <v>0</v>
      </c>
      <c r="I23" s="12">
        <v>0</v>
      </c>
      <c r="J23" s="12">
        <f t="shared" ref="J23:J36" si="6">G23+H23-I23</f>
        <v>0</v>
      </c>
      <c r="K23" s="80">
        <f t="shared" ref="K23:K36" si="7">F23+J23</f>
        <v>0</v>
      </c>
      <c r="L23" s="79">
        <f t="shared" ref="L23:L36" si="8">F23</f>
        <v>0</v>
      </c>
      <c r="M23" s="12">
        <v>0</v>
      </c>
      <c r="N23" s="12">
        <v>0</v>
      </c>
      <c r="O23" s="12">
        <f t="shared" ref="O23:O36" si="9">L23+M23-N23</f>
        <v>0</v>
      </c>
      <c r="P23" s="12">
        <f t="shared" ref="P23:P36" si="10">J23</f>
        <v>0</v>
      </c>
      <c r="Q23" s="12">
        <v>0</v>
      </c>
      <c r="R23" s="12">
        <v>0</v>
      </c>
      <c r="S23" s="12">
        <f t="shared" ref="S23:S36" si="11">P23+Q23-R23</f>
        <v>0</v>
      </c>
      <c r="T23" s="80">
        <f t="shared" ref="T23:T36" si="12">O23+S23</f>
        <v>0</v>
      </c>
      <c r="U23" s="79">
        <f t="shared" ref="U23:U36" si="13">O23</f>
        <v>0</v>
      </c>
      <c r="V23" s="12">
        <v>0</v>
      </c>
      <c r="W23" s="12">
        <v>0</v>
      </c>
      <c r="X23" s="12">
        <f t="shared" ref="X23:X36" si="14">U23+V23-W23</f>
        <v>0</v>
      </c>
      <c r="Y23" s="12">
        <f t="shared" ref="Y23:Y36" si="15">S23</f>
        <v>0</v>
      </c>
      <c r="Z23" s="12">
        <v>0</v>
      </c>
      <c r="AA23" s="12">
        <v>0</v>
      </c>
      <c r="AB23" s="12">
        <f t="shared" ref="AB23:AB36" si="16">Y23+Z23-AA23</f>
        <v>0</v>
      </c>
      <c r="AC23" s="80">
        <f t="shared" ref="AC23:AC36" si="17">X23+AB23</f>
        <v>0</v>
      </c>
      <c r="AD23" s="79">
        <f t="shared" ref="AD23:AD36" si="18">X23</f>
        <v>0</v>
      </c>
      <c r="AE23" s="12">
        <v>7875.33</v>
      </c>
      <c r="AF23" s="12">
        <v>0</v>
      </c>
      <c r="AG23" s="12">
        <f t="shared" ref="AG23:AG36" si="19">AD23+AE23-AF23</f>
        <v>7875.33</v>
      </c>
      <c r="AH23" s="12">
        <f t="shared" ref="AH23:AH36" si="20">AB23</f>
        <v>0</v>
      </c>
      <c r="AI23" s="12">
        <v>29.990000000000002</v>
      </c>
      <c r="AJ23" s="12">
        <v>0</v>
      </c>
      <c r="AK23" s="12">
        <f t="shared" ref="AK23:AK36" si="21">AH23+AI23-AJ23</f>
        <v>29.990000000000002</v>
      </c>
      <c r="AL23" s="80">
        <f t="shared" ref="AL23:AL36" si="22">AG23+AK23</f>
        <v>7905.32</v>
      </c>
      <c r="AM23" s="79">
        <f t="shared" ref="AM23:AM36" si="23">AG23</f>
        <v>7875.33</v>
      </c>
      <c r="AN23" s="12">
        <v>8318.83</v>
      </c>
      <c r="AO23" s="12">
        <v>0</v>
      </c>
      <c r="AP23" s="12">
        <f t="shared" ref="AP23:AP36" si="24">AM23+AN23-AO23</f>
        <v>16194.16</v>
      </c>
      <c r="AQ23" s="12">
        <f t="shared" ref="AQ23:AQ36" si="25">AK23</f>
        <v>29.990000000000002</v>
      </c>
      <c r="AR23" s="12">
        <v>149.72</v>
      </c>
      <c r="AS23" s="12">
        <v>0</v>
      </c>
      <c r="AT23" s="12">
        <f t="shared" ref="AT23:AT36" si="26">AQ23+AR23-AS23</f>
        <v>179.71</v>
      </c>
      <c r="AU23" s="80">
        <f t="shared" ref="AU23:AU36" si="27">AP23+AT23</f>
        <v>16373.869999999999</v>
      </c>
      <c r="AV23" s="75"/>
      <c r="AW23" s="187"/>
    </row>
    <row r="24" spans="1:50" x14ac:dyDescent="0.25">
      <c r="A24" s="88"/>
      <c r="B24" s="86" t="s">
        <v>69</v>
      </c>
      <c r="C24" s="79">
        <v>102282</v>
      </c>
      <c r="D24" s="12">
        <v>-20000</v>
      </c>
      <c r="E24" s="12">
        <v>0</v>
      </c>
      <c r="F24" s="12">
        <f t="shared" si="5"/>
        <v>82282</v>
      </c>
      <c r="G24" s="12">
        <v>1018</v>
      </c>
      <c r="H24" s="12">
        <v>815.70000000000027</v>
      </c>
      <c r="I24" s="12">
        <v>0</v>
      </c>
      <c r="J24" s="12">
        <f t="shared" si="6"/>
        <v>1833.7000000000003</v>
      </c>
      <c r="K24" s="80">
        <f t="shared" si="7"/>
        <v>84115.7</v>
      </c>
      <c r="L24" s="79">
        <f t="shared" si="8"/>
        <v>82282</v>
      </c>
      <c r="M24" s="12">
        <v>-73880.300000000163</v>
      </c>
      <c r="N24" s="12">
        <v>0</v>
      </c>
      <c r="O24" s="12">
        <f t="shared" si="9"/>
        <v>8401.699999999837</v>
      </c>
      <c r="P24" s="12">
        <f t="shared" si="10"/>
        <v>1833.7000000000003</v>
      </c>
      <c r="Q24" s="12">
        <v>-1330.2700000000004</v>
      </c>
      <c r="R24" s="12">
        <v>0</v>
      </c>
      <c r="S24" s="12">
        <f t="shared" si="11"/>
        <v>503.42999999999984</v>
      </c>
      <c r="T24" s="80">
        <f t="shared" si="12"/>
        <v>8905.1299999998373</v>
      </c>
      <c r="U24" s="79">
        <f t="shared" si="13"/>
        <v>8401.699999999837</v>
      </c>
      <c r="V24" s="12">
        <v>-4794.0399999998363</v>
      </c>
      <c r="W24" s="12">
        <v>0</v>
      </c>
      <c r="X24" s="12">
        <f t="shared" si="14"/>
        <v>3607.6600000000008</v>
      </c>
      <c r="Y24" s="12">
        <f t="shared" si="15"/>
        <v>503.42999999999984</v>
      </c>
      <c r="Z24" s="12">
        <v>-286.95999999999981</v>
      </c>
      <c r="AA24" s="12">
        <v>0</v>
      </c>
      <c r="AB24" s="12">
        <f t="shared" si="16"/>
        <v>216.47000000000003</v>
      </c>
      <c r="AC24" s="80">
        <f t="shared" si="17"/>
        <v>3824.130000000001</v>
      </c>
      <c r="AD24" s="79">
        <f t="shared" si="18"/>
        <v>3607.6600000000008</v>
      </c>
      <c r="AE24" s="12">
        <v>52342.34</v>
      </c>
      <c r="AF24" s="12">
        <v>0</v>
      </c>
      <c r="AG24" s="12">
        <f t="shared" si="19"/>
        <v>55950</v>
      </c>
      <c r="AH24" s="12">
        <f t="shared" si="20"/>
        <v>216.47000000000003</v>
      </c>
      <c r="AI24" s="12">
        <v>-216.47000000000003</v>
      </c>
      <c r="AJ24" s="12">
        <v>0</v>
      </c>
      <c r="AK24" s="12">
        <f t="shared" si="21"/>
        <v>0</v>
      </c>
      <c r="AL24" s="80">
        <f t="shared" si="22"/>
        <v>55950</v>
      </c>
      <c r="AM24" s="79">
        <f t="shared" si="23"/>
        <v>55950</v>
      </c>
      <c r="AN24" s="12">
        <v>-38260</v>
      </c>
      <c r="AO24" s="12">
        <v>0</v>
      </c>
      <c r="AP24" s="12">
        <f t="shared" si="24"/>
        <v>17690</v>
      </c>
      <c r="AQ24" s="12">
        <f t="shared" si="25"/>
        <v>0</v>
      </c>
      <c r="AR24" s="12">
        <v>438.44</v>
      </c>
      <c r="AS24" s="12">
        <v>0</v>
      </c>
      <c r="AT24" s="12">
        <f t="shared" si="26"/>
        <v>438.44</v>
      </c>
      <c r="AU24" s="80">
        <f t="shared" si="27"/>
        <v>18128.439999999999</v>
      </c>
      <c r="AV24" s="75"/>
      <c r="AW24" s="187"/>
    </row>
    <row r="25" spans="1:50" x14ac:dyDescent="0.25">
      <c r="A25" s="88"/>
      <c r="B25" s="86" t="s">
        <v>87</v>
      </c>
      <c r="C25" s="79">
        <v>26833.690000000002</v>
      </c>
      <c r="D25" s="12">
        <v>0</v>
      </c>
      <c r="E25" s="12">
        <v>0</v>
      </c>
      <c r="F25" s="12">
        <f t="shared" si="5"/>
        <v>26833.690000000002</v>
      </c>
      <c r="G25" s="12">
        <v>1722.1899999999998</v>
      </c>
      <c r="H25" s="12">
        <v>214.02000000000157</v>
      </c>
      <c r="I25" s="12">
        <v>0</v>
      </c>
      <c r="J25" s="12">
        <f t="shared" si="6"/>
        <v>1936.2100000000014</v>
      </c>
      <c r="K25" s="80">
        <f t="shared" si="7"/>
        <v>28769.900000000005</v>
      </c>
      <c r="L25" s="79">
        <f t="shared" si="8"/>
        <v>26833.690000000002</v>
      </c>
      <c r="M25" s="12">
        <v>-2.2737367544323206E-12</v>
      </c>
      <c r="N25" s="12">
        <v>0</v>
      </c>
      <c r="O25" s="12">
        <f t="shared" si="9"/>
        <v>26833.69</v>
      </c>
      <c r="P25" s="12">
        <f t="shared" si="10"/>
        <v>1936.2100000000014</v>
      </c>
      <c r="Q25" s="12">
        <v>394.32000000000005</v>
      </c>
      <c r="R25" s="12">
        <v>0</v>
      </c>
      <c r="S25" s="12">
        <f t="shared" si="11"/>
        <v>2330.5300000000016</v>
      </c>
      <c r="T25" s="80">
        <f t="shared" si="12"/>
        <v>29164.22</v>
      </c>
      <c r="U25" s="79">
        <f t="shared" si="13"/>
        <v>26833.69</v>
      </c>
      <c r="V25" s="12">
        <v>0</v>
      </c>
      <c r="W25" s="12">
        <v>0</v>
      </c>
      <c r="X25" s="12">
        <f t="shared" si="14"/>
        <v>26833.69</v>
      </c>
      <c r="Y25" s="12">
        <f t="shared" si="15"/>
        <v>2330.5300000000016</v>
      </c>
      <c r="Z25" s="12">
        <v>394.3199999999988</v>
      </c>
      <c r="AA25" s="12">
        <v>0</v>
      </c>
      <c r="AB25" s="12">
        <f t="shared" si="16"/>
        <v>2724.8500000000004</v>
      </c>
      <c r="AC25" s="80">
        <f t="shared" si="17"/>
        <v>29558.54</v>
      </c>
      <c r="AD25" s="79">
        <f t="shared" si="18"/>
        <v>26833.69</v>
      </c>
      <c r="AE25" s="12">
        <v>-9358.73</v>
      </c>
      <c r="AF25" s="12">
        <v>0</v>
      </c>
      <c r="AG25" s="12">
        <f t="shared" si="19"/>
        <v>17474.96</v>
      </c>
      <c r="AH25" s="12">
        <f t="shared" si="20"/>
        <v>2724.8500000000004</v>
      </c>
      <c r="AI25" s="12">
        <v>-320.6200000000008</v>
      </c>
      <c r="AJ25" s="12">
        <v>0</v>
      </c>
      <c r="AK25" s="12">
        <f t="shared" si="21"/>
        <v>2404.2299999999996</v>
      </c>
      <c r="AL25" s="80">
        <f t="shared" si="22"/>
        <v>19879.189999999999</v>
      </c>
      <c r="AM25" s="79">
        <f t="shared" si="23"/>
        <v>17474.96</v>
      </c>
      <c r="AN25" s="12">
        <v>0</v>
      </c>
      <c r="AO25" s="12">
        <v>0</v>
      </c>
      <c r="AP25" s="12">
        <f t="shared" si="24"/>
        <v>17474.96</v>
      </c>
      <c r="AQ25" s="12">
        <f t="shared" si="25"/>
        <v>2404.2299999999996</v>
      </c>
      <c r="AR25" s="12">
        <v>256.80000000000064</v>
      </c>
      <c r="AS25" s="12">
        <v>0</v>
      </c>
      <c r="AT25" s="12">
        <f t="shared" si="26"/>
        <v>2661.03</v>
      </c>
      <c r="AU25" s="80">
        <f t="shared" si="27"/>
        <v>20135.989999999998</v>
      </c>
      <c r="AV25" s="75"/>
      <c r="AW25" s="187"/>
    </row>
    <row r="26" spans="1:50" x14ac:dyDescent="0.25">
      <c r="A26" s="88"/>
      <c r="B26" s="86" t="s">
        <v>89</v>
      </c>
      <c r="C26" s="79">
        <v>131430.89000000001</v>
      </c>
      <c r="D26" s="12">
        <v>118500.00000000001</v>
      </c>
      <c r="E26" s="12">
        <v>0</v>
      </c>
      <c r="F26" s="12">
        <f t="shared" si="5"/>
        <v>249930.89</v>
      </c>
      <c r="G26" s="12">
        <v>429.12</v>
      </c>
      <c r="H26" s="12">
        <v>1629.3899999999999</v>
      </c>
      <c r="I26" s="12">
        <v>0</v>
      </c>
      <c r="J26" s="12">
        <f t="shared" si="6"/>
        <v>2058.5099999999998</v>
      </c>
      <c r="K26" s="80">
        <f t="shared" si="7"/>
        <v>251989.40000000002</v>
      </c>
      <c r="L26" s="79">
        <f t="shared" si="8"/>
        <v>249930.89</v>
      </c>
      <c r="M26" s="12">
        <v>121477.44</v>
      </c>
      <c r="N26" s="12">
        <v>0</v>
      </c>
      <c r="O26" s="12">
        <f t="shared" si="9"/>
        <v>371408.33</v>
      </c>
      <c r="P26" s="12">
        <f t="shared" si="10"/>
        <v>2058.5099999999998</v>
      </c>
      <c r="Q26" s="12">
        <v>4554.0700000000006</v>
      </c>
      <c r="R26" s="12">
        <v>0</v>
      </c>
      <c r="S26" s="12">
        <f t="shared" si="11"/>
        <v>6612.58</v>
      </c>
      <c r="T26" s="80">
        <f t="shared" si="12"/>
        <v>378020.91000000003</v>
      </c>
      <c r="U26" s="79">
        <f t="shared" si="13"/>
        <v>371408.33</v>
      </c>
      <c r="V26" s="12">
        <v>76593.440000000002</v>
      </c>
      <c r="W26" s="12">
        <v>0</v>
      </c>
      <c r="X26" s="12">
        <f t="shared" si="14"/>
        <v>448001.77</v>
      </c>
      <c r="Y26" s="12">
        <f t="shared" si="15"/>
        <v>6612.58</v>
      </c>
      <c r="Z26" s="12">
        <v>5978.67</v>
      </c>
      <c r="AA26" s="12">
        <v>0</v>
      </c>
      <c r="AB26" s="12">
        <f t="shared" si="16"/>
        <v>12591.25</v>
      </c>
      <c r="AC26" s="80">
        <f t="shared" si="17"/>
        <v>460593.02</v>
      </c>
      <c r="AD26" s="79">
        <f t="shared" si="18"/>
        <v>448001.77</v>
      </c>
      <c r="AE26" s="12">
        <v>27389.56</v>
      </c>
      <c r="AF26" s="12">
        <v>0</v>
      </c>
      <c r="AG26" s="12">
        <f t="shared" si="19"/>
        <v>475391.33</v>
      </c>
      <c r="AH26" s="12">
        <f t="shared" si="20"/>
        <v>12591.25</v>
      </c>
      <c r="AI26" s="12">
        <v>6832.25</v>
      </c>
      <c r="AJ26" s="12">
        <v>0</v>
      </c>
      <c r="AK26" s="12">
        <f t="shared" si="21"/>
        <v>19423.5</v>
      </c>
      <c r="AL26" s="80">
        <f t="shared" si="22"/>
        <v>494814.83</v>
      </c>
      <c r="AM26" s="79">
        <f t="shared" si="23"/>
        <v>475391.33</v>
      </c>
      <c r="AN26" s="12">
        <v>17604</v>
      </c>
      <c r="AO26" s="12">
        <v>0</v>
      </c>
      <c r="AP26" s="12">
        <f t="shared" si="24"/>
        <v>492995.33</v>
      </c>
      <c r="AQ26" s="12">
        <f t="shared" si="25"/>
        <v>19423.5</v>
      </c>
      <c r="AR26" s="12">
        <v>7006.16</v>
      </c>
      <c r="AS26" s="12">
        <v>0</v>
      </c>
      <c r="AT26" s="12">
        <f t="shared" si="26"/>
        <v>26429.66</v>
      </c>
      <c r="AU26" s="80">
        <f t="shared" si="27"/>
        <v>519424.99</v>
      </c>
      <c r="AV26" s="75"/>
      <c r="AW26" s="187"/>
    </row>
    <row r="27" spans="1:50" x14ac:dyDescent="0.25">
      <c r="A27" s="88"/>
      <c r="B27" s="86" t="s">
        <v>88</v>
      </c>
      <c r="C27" s="79">
        <v>29126.59</v>
      </c>
      <c r="D27" s="12">
        <v>0</v>
      </c>
      <c r="E27" s="12">
        <v>0</v>
      </c>
      <c r="F27" s="12">
        <f t="shared" si="5"/>
        <v>29126.59</v>
      </c>
      <c r="G27" s="12">
        <v>2867.43</v>
      </c>
      <c r="H27" s="12">
        <v>232.28999999999951</v>
      </c>
      <c r="I27" s="12">
        <v>0</v>
      </c>
      <c r="J27" s="12">
        <f t="shared" si="6"/>
        <v>3099.7199999999993</v>
      </c>
      <c r="K27" s="80">
        <f t="shared" si="7"/>
        <v>32226.309999999998</v>
      </c>
      <c r="L27" s="79">
        <f t="shared" si="8"/>
        <v>29126.59</v>
      </c>
      <c r="M27" s="12">
        <v>0</v>
      </c>
      <c r="N27" s="12">
        <v>0</v>
      </c>
      <c r="O27" s="12">
        <f t="shared" si="9"/>
        <v>29126.59</v>
      </c>
      <c r="P27" s="12">
        <f t="shared" si="10"/>
        <v>3099.7199999999993</v>
      </c>
      <c r="Q27" s="12">
        <v>428.16</v>
      </c>
      <c r="R27" s="12">
        <v>0</v>
      </c>
      <c r="S27" s="12">
        <f t="shared" si="11"/>
        <v>3527.8799999999992</v>
      </c>
      <c r="T27" s="80">
        <f t="shared" si="12"/>
        <v>32654.47</v>
      </c>
      <c r="U27" s="79">
        <f t="shared" si="13"/>
        <v>29126.59</v>
      </c>
      <c r="V27" s="12">
        <v>0</v>
      </c>
      <c r="W27" s="12">
        <v>0</v>
      </c>
      <c r="X27" s="12">
        <f t="shared" si="14"/>
        <v>29126.59</v>
      </c>
      <c r="Y27" s="12">
        <f t="shared" si="15"/>
        <v>3527.8799999999992</v>
      </c>
      <c r="Z27" s="12">
        <v>428.16000000000031</v>
      </c>
      <c r="AA27" s="12">
        <v>0</v>
      </c>
      <c r="AB27" s="12">
        <f t="shared" si="16"/>
        <v>3956.0399999999995</v>
      </c>
      <c r="AC27" s="80">
        <f t="shared" si="17"/>
        <v>33082.629999999997</v>
      </c>
      <c r="AD27" s="79">
        <f t="shared" si="18"/>
        <v>29126.59</v>
      </c>
      <c r="AE27" s="12">
        <v>0</v>
      </c>
      <c r="AF27" s="12">
        <v>0</v>
      </c>
      <c r="AG27" s="12">
        <f t="shared" si="19"/>
        <v>29126.59</v>
      </c>
      <c r="AH27" s="12">
        <f t="shared" si="20"/>
        <v>3956.0399999999995</v>
      </c>
      <c r="AI27" s="12">
        <v>214.08000000000038</v>
      </c>
      <c r="AJ27" s="12">
        <v>0</v>
      </c>
      <c r="AK27" s="12">
        <f t="shared" si="21"/>
        <v>4170.12</v>
      </c>
      <c r="AL27" s="80">
        <f t="shared" si="22"/>
        <v>33296.71</v>
      </c>
      <c r="AM27" s="79">
        <f t="shared" si="23"/>
        <v>29126.59</v>
      </c>
      <c r="AN27" s="12">
        <v>0</v>
      </c>
      <c r="AO27" s="12">
        <v>0</v>
      </c>
      <c r="AP27" s="12">
        <f t="shared" si="24"/>
        <v>29126.59</v>
      </c>
      <c r="AQ27" s="12">
        <f t="shared" si="25"/>
        <v>4170.12</v>
      </c>
      <c r="AR27" s="12">
        <v>428.15999999999985</v>
      </c>
      <c r="AS27" s="12">
        <v>0</v>
      </c>
      <c r="AT27" s="12">
        <f t="shared" si="26"/>
        <v>4598.28</v>
      </c>
      <c r="AU27" s="80">
        <f t="shared" si="27"/>
        <v>33724.870000000003</v>
      </c>
      <c r="AV27" s="75"/>
      <c r="AW27" s="187"/>
    </row>
    <row r="28" spans="1:50" x14ac:dyDescent="0.25">
      <c r="A28" s="88">
        <v>1518</v>
      </c>
      <c r="B28" s="72" t="s">
        <v>13</v>
      </c>
      <c r="C28" s="79">
        <v>-222972.06</v>
      </c>
      <c r="D28" s="12">
        <v>-51792.130000000005</v>
      </c>
      <c r="E28" s="12">
        <v>-152680.85</v>
      </c>
      <c r="F28" s="12">
        <f t="shared" si="5"/>
        <v>-122083.34</v>
      </c>
      <c r="G28" s="12">
        <v>-12187.409999999998</v>
      </c>
      <c r="H28" s="12">
        <v>-1069.1700000000003</v>
      </c>
      <c r="I28" s="12">
        <v>-11144.16</v>
      </c>
      <c r="J28" s="12">
        <f t="shared" si="6"/>
        <v>-2112.4199999999983</v>
      </c>
      <c r="K28" s="80">
        <f t="shared" si="7"/>
        <v>-124195.76</v>
      </c>
      <c r="L28" s="79">
        <f t="shared" si="8"/>
        <v>-122083.34</v>
      </c>
      <c r="M28" s="12">
        <v>-41618.479999999996</v>
      </c>
      <c r="N28" s="12">
        <v>0</v>
      </c>
      <c r="O28" s="12">
        <f t="shared" si="9"/>
        <v>-163701.82</v>
      </c>
      <c r="P28" s="12">
        <f t="shared" si="10"/>
        <v>-2112.4199999999983</v>
      </c>
      <c r="Q28" s="12">
        <v>-2116.79</v>
      </c>
      <c r="R28" s="12">
        <v>0</v>
      </c>
      <c r="S28" s="12">
        <f t="shared" si="11"/>
        <v>-4229.2099999999982</v>
      </c>
      <c r="T28" s="80">
        <f t="shared" si="12"/>
        <v>-167931.03</v>
      </c>
      <c r="U28" s="79">
        <f t="shared" si="13"/>
        <v>-163701.82</v>
      </c>
      <c r="V28" s="12">
        <v>-25161.439999999999</v>
      </c>
      <c r="W28" s="12">
        <v>0</v>
      </c>
      <c r="X28" s="12">
        <f t="shared" si="14"/>
        <v>-188863.26</v>
      </c>
      <c r="Y28" s="12">
        <f t="shared" si="15"/>
        <v>-4229.2099999999982</v>
      </c>
      <c r="Z28" s="12">
        <v>-2605.9</v>
      </c>
      <c r="AA28" s="12">
        <v>0</v>
      </c>
      <c r="AB28" s="12">
        <f t="shared" si="16"/>
        <v>-6835.1099999999988</v>
      </c>
      <c r="AC28" s="80">
        <f t="shared" si="17"/>
        <v>-195698.37</v>
      </c>
      <c r="AD28" s="79">
        <f t="shared" si="18"/>
        <v>-188863.26</v>
      </c>
      <c r="AE28" s="12">
        <v>-20672.5</v>
      </c>
      <c r="AF28" s="12">
        <v>0</v>
      </c>
      <c r="AG28" s="12">
        <f t="shared" si="19"/>
        <v>-209535.76</v>
      </c>
      <c r="AH28" s="12">
        <f t="shared" si="20"/>
        <v>-6835.1099999999988</v>
      </c>
      <c r="AI28" s="12">
        <v>-2927.01</v>
      </c>
      <c r="AJ28" s="12">
        <v>0</v>
      </c>
      <c r="AK28" s="12">
        <f t="shared" si="21"/>
        <v>-9762.119999999999</v>
      </c>
      <c r="AL28" s="80">
        <f t="shared" si="22"/>
        <v>-219297.88</v>
      </c>
      <c r="AM28" s="79">
        <f t="shared" si="23"/>
        <v>-209535.76</v>
      </c>
      <c r="AN28" s="12">
        <v>-14603.09</v>
      </c>
      <c r="AO28" s="12">
        <v>0</v>
      </c>
      <c r="AP28" s="12">
        <f t="shared" si="24"/>
        <v>-224138.85</v>
      </c>
      <c r="AQ28" s="12">
        <f t="shared" si="25"/>
        <v>-9762.119999999999</v>
      </c>
      <c r="AR28" s="12">
        <v>-3183.27</v>
      </c>
      <c r="AS28" s="12">
        <v>0</v>
      </c>
      <c r="AT28" s="12">
        <f t="shared" si="26"/>
        <v>-12945.39</v>
      </c>
      <c r="AU28" s="80">
        <f t="shared" si="27"/>
        <v>-237084.24</v>
      </c>
      <c r="AV28" s="75">
        <v>-237084.24</v>
      </c>
      <c r="AW28" s="187">
        <f>AV28-AU28</f>
        <v>0</v>
      </c>
    </row>
    <row r="29" spans="1:50" x14ac:dyDescent="0.25">
      <c r="A29" s="88">
        <v>1534</v>
      </c>
      <c r="B29" s="72" t="s">
        <v>14</v>
      </c>
      <c r="C29" s="79">
        <v>0</v>
      </c>
      <c r="D29" s="12">
        <v>0</v>
      </c>
      <c r="E29" s="12">
        <v>0</v>
      </c>
      <c r="F29" s="12">
        <f t="shared" si="5"/>
        <v>0</v>
      </c>
      <c r="G29" s="12">
        <v>0</v>
      </c>
      <c r="H29" s="12">
        <v>0</v>
      </c>
      <c r="I29" s="12">
        <v>0</v>
      </c>
      <c r="J29" s="12">
        <f t="shared" si="6"/>
        <v>0</v>
      </c>
      <c r="K29" s="80">
        <f t="shared" si="7"/>
        <v>0</v>
      </c>
      <c r="L29" s="79">
        <f t="shared" si="8"/>
        <v>0</v>
      </c>
      <c r="M29" s="12">
        <v>117547.26</v>
      </c>
      <c r="N29" s="12">
        <v>0</v>
      </c>
      <c r="O29" s="12">
        <f t="shared" si="9"/>
        <v>117547.26</v>
      </c>
      <c r="P29" s="12">
        <f t="shared" si="10"/>
        <v>0</v>
      </c>
      <c r="Q29" s="12">
        <v>1739.94</v>
      </c>
      <c r="R29" s="12">
        <v>0</v>
      </c>
      <c r="S29" s="12">
        <f t="shared" si="11"/>
        <v>1739.94</v>
      </c>
      <c r="T29" s="80">
        <f t="shared" si="12"/>
        <v>119287.2</v>
      </c>
      <c r="U29" s="79">
        <f t="shared" si="13"/>
        <v>117547.26</v>
      </c>
      <c r="V29" s="12">
        <v>0</v>
      </c>
      <c r="W29" s="12">
        <v>0</v>
      </c>
      <c r="X29" s="12">
        <f t="shared" si="14"/>
        <v>117547.26</v>
      </c>
      <c r="Y29" s="12">
        <f t="shared" si="15"/>
        <v>1739.94</v>
      </c>
      <c r="Z29" s="12">
        <v>1723.71</v>
      </c>
      <c r="AA29" s="12">
        <v>0</v>
      </c>
      <c r="AB29" s="12">
        <f t="shared" si="16"/>
        <v>3463.65</v>
      </c>
      <c r="AC29" s="80">
        <f t="shared" si="17"/>
        <v>121010.90999999999</v>
      </c>
      <c r="AD29" s="79">
        <f t="shared" si="18"/>
        <v>117547.26</v>
      </c>
      <c r="AE29" s="12">
        <v>-111221.42</v>
      </c>
      <c r="AF29" s="12">
        <v>0</v>
      </c>
      <c r="AG29" s="12">
        <f t="shared" si="19"/>
        <v>6325.8399999999965</v>
      </c>
      <c r="AH29" s="12">
        <f t="shared" si="20"/>
        <v>3463.65</v>
      </c>
      <c r="AI29" s="12">
        <v>-3457.76</v>
      </c>
      <c r="AJ29" s="12">
        <v>0</v>
      </c>
      <c r="AK29" s="12">
        <f t="shared" si="21"/>
        <v>5.8899999999998727</v>
      </c>
      <c r="AL29" s="80">
        <f t="shared" si="22"/>
        <v>6331.7299999999959</v>
      </c>
      <c r="AM29" s="79">
        <f t="shared" si="23"/>
        <v>6325.8399999999965</v>
      </c>
      <c r="AN29" s="12">
        <v>18372.07</v>
      </c>
      <c r="AO29" s="12">
        <v>0</v>
      </c>
      <c r="AP29" s="12">
        <f t="shared" si="24"/>
        <v>24697.909999999996</v>
      </c>
      <c r="AQ29" s="12">
        <f t="shared" si="25"/>
        <v>5.8899999999998727</v>
      </c>
      <c r="AR29" s="12">
        <v>51.240000000000016</v>
      </c>
      <c r="AS29" s="12">
        <v>0</v>
      </c>
      <c r="AT29" s="12">
        <f t="shared" si="26"/>
        <v>57.129999999999889</v>
      </c>
      <c r="AU29" s="80">
        <f t="shared" si="27"/>
        <v>24755.039999999997</v>
      </c>
      <c r="AV29" s="75">
        <v>24755.040000000001</v>
      </c>
      <c r="AW29" s="187">
        <f t="shared" ref="AW29:AW34" si="28">AV29-AU29</f>
        <v>0</v>
      </c>
    </row>
    <row r="30" spans="1:50" x14ac:dyDescent="0.25">
      <c r="A30" s="88">
        <v>1548</v>
      </c>
      <c r="B30" s="72" t="s">
        <v>15</v>
      </c>
      <c r="C30" s="79">
        <v>150004.36000000002</v>
      </c>
      <c r="D30" s="12">
        <v>33663.739999999991</v>
      </c>
      <c r="E30" s="12">
        <v>102572.63</v>
      </c>
      <c r="F30" s="12">
        <f t="shared" si="5"/>
        <v>81095.47</v>
      </c>
      <c r="G30" s="12">
        <v>11363.460000000001</v>
      </c>
      <c r="H30" s="12">
        <v>710.54000000000042</v>
      </c>
      <c r="I30" s="12">
        <v>9008.4599999999991</v>
      </c>
      <c r="J30" s="12">
        <f t="shared" si="6"/>
        <v>3065.5400000000027</v>
      </c>
      <c r="K30" s="80">
        <f t="shared" si="7"/>
        <v>84161.010000000009</v>
      </c>
      <c r="L30" s="79">
        <f t="shared" si="8"/>
        <v>81095.47</v>
      </c>
      <c r="M30" s="12">
        <v>27302.67</v>
      </c>
      <c r="N30" s="12">
        <v>0</v>
      </c>
      <c r="O30" s="12">
        <f t="shared" si="9"/>
        <v>108398.14</v>
      </c>
      <c r="P30" s="12">
        <f t="shared" si="10"/>
        <v>3065.5400000000027</v>
      </c>
      <c r="Q30" s="12">
        <v>1381.5100000000002</v>
      </c>
      <c r="R30" s="12">
        <v>0</v>
      </c>
      <c r="S30" s="12">
        <f t="shared" si="11"/>
        <v>4447.0500000000029</v>
      </c>
      <c r="T30" s="80">
        <f t="shared" si="12"/>
        <v>112845.19</v>
      </c>
      <c r="U30" s="79">
        <f t="shared" si="13"/>
        <v>108398.14</v>
      </c>
      <c r="V30" s="12">
        <v>29321.55</v>
      </c>
      <c r="W30" s="12">
        <v>0</v>
      </c>
      <c r="X30" s="12">
        <f t="shared" si="14"/>
        <v>137719.69</v>
      </c>
      <c r="Y30" s="12">
        <f t="shared" si="15"/>
        <v>4447.0500000000029</v>
      </c>
      <c r="Z30" s="12">
        <v>1794.19</v>
      </c>
      <c r="AA30" s="12">
        <v>0</v>
      </c>
      <c r="AB30" s="12">
        <f t="shared" si="16"/>
        <v>6241.2400000000034</v>
      </c>
      <c r="AC30" s="80">
        <f t="shared" si="17"/>
        <v>143960.93</v>
      </c>
      <c r="AD30" s="79">
        <f t="shared" si="18"/>
        <v>137719.69</v>
      </c>
      <c r="AE30" s="12">
        <v>4306.3499999999995</v>
      </c>
      <c r="AF30" s="12">
        <v>0</v>
      </c>
      <c r="AG30" s="12">
        <f t="shared" si="19"/>
        <v>142026.04</v>
      </c>
      <c r="AH30" s="12">
        <f t="shared" si="20"/>
        <v>6241.2400000000034</v>
      </c>
      <c r="AI30" s="12">
        <v>2072.5</v>
      </c>
      <c r="AJ30" s="12">
        <v>0</v>
      </c>
      <c r="AK30" s="12">
        <f t="shared" si="21"/>
        <v>8313.7400000000034</v>
      </c>
      <c r="AL30" s="80">
        <f t="shared" si="22"/>
        <v>150339.78</v>
      </c>
      <c r="AM30" s="79">
        <f t="shared" si="23"/>
        <v>142026.04</v>
      </c>
      <c r="AN30" s="12">
        <v>5853.15</v>
      </c>
      <c r="AO30" s="12">
        <v>0</v>
      </c>
      <c r="AP30" s="12">
        <f t="shared" si="24"/>
        <v>147879.19</v>
      </c>
      <c r="AQ30" s="12">
        <f t="shared" si="25"/>
        <v>8313.7400000000034</v>
      </c>
      <c r="AR30" s="12">
        <v>2145.2800000000002</v>
      </c>
      <c r="AS30" s="12">
        <v>0</v>
      </c>
      <c r="AT30" s="12">
        <f t="shared" si="26"/>
        <v>10459.020000000004</v>
      </c>
      <c r="AU30" s="80">
        <f t="shared" si="27"/>
        <v>158338.21000000002</v>
      </c>
      <c r="AV30" s="75">
        <v>158338.21</v>
      </c>
      <c r="AW30" s="187">
        <f t="shared" si="28"/>
        <v>0</v>
      </c>
    </row>
    <row r="31" spans="1:50" x14ac:dyDescent="0.25">
      <c r="A31" s="88">
        <v>1555</v>
      </c>
      <c r="B31" s="72" t="s">
        <v>16</v>
      </c>
      <c r="C31" s="79">
        <v>763978.75</v>
      </c>
      <c r="D31" s="12">
        <v>0</v>
      </c>
      <c r="E31" s="12">
        <v>75292.929999999993</v>
      </c>
      <c r="F31" s="12">
        <f t="shared" si="5"/>
        <v>688685.82000000007</v>
      </c>
      <c r="G31" s="12">
        <v>5931.89</v>
      </c>
      <c r="H31" s="12">
        <v>-856.44</v>
      </c>
      <c r="I31" s="12">
        <v>5075.45</v>
      </c>
      <c r="J31" s="12">
        <f t="shared" si="6"/>
        <v>0</v>
      </c>
      <c r="K31" s="80">
        <f t="shared" si="7"/>
        <v>688685.82000000007</v>
      </c>
      <c r="L31" s="79">
        <f t="shared" si="8"/>
        <v>688685.82000000007</v>
      </c>
      <c r="M31" s="12">
        <v>1183397.32</v>
      </c>
      <c r="N31" s="12">
        <v>0</v>
      </c>
      <c r="O31" s="12">
        <f t="shared" si="9"/>
        <v>1872083.1400000001</v>
      </c>
      <c r="P31" s="12">
        <f t="shared" si="10"/>
        <v>0</v>
      </c>
      <c r="Q31" s="12">
        <v>0</v>
      </c>
      <c r="R31" s="12">
        <v>0</v>
      </c>
      <c r="S31" s="12">
        <f t="shared" si="11"/>
        <v>0</v>
      </c>
      <c r="T31" s="80">
        <f t="shared" si="12"/>
        <v>1872083.1400000001</v>
      </c>
      <c r="U31" s="79">
        <f t="shared" si="13"/>
        <v>1872083.1400000001</v>
      </c>
      <c r="V31" s="12">
        <v>-1411960.57</v>
      </c>
      <c r="W31" s="12">
        <v>0</v>
      </c>
      <c r="X31" s="12">
        <f t="shared" si="14"/>
        <v>460122.57000000007</v>
      </c>
      <c r="Y31" s="12">
        <f t="shared" si="15"/>
        <v>0</v>
      </c>
      <c r="Z31" s="12">
        <v>0</v>
      </c>
      <c r="AA31" s="12">
        <v>0</v>
      </c>
      <c r="AB31" s="12">
        <f t="shared" si="16"/>
        <v>0</v>
      </c>
      <c r="AC31" s="80">
        <f t="shared" si="17"/>
        <v>460122.57000000007</v>
      </c>
      <c r="AD31" s="79">
        <f t="shared" si="18"/>
        <v>460122.57000000007</v>
      </c>
      <c r="AE31" s="12">
        <v>-49662.599999999948</v>
      </c>
      <c r="AF31" s="12">
        <v>0</v>
      </c>
      <c r="AG31" s="12">
        <f t="shared" si="19"/>
        <v>410459.97000000009</v>
      </c>
      <c r="AH31" s="12">
        <f t="shared" si="20"/>
        <v>0</v>
      </c>
      <c r="AI31" s="12">
        <v>0</v>
      </c>
      <c r="AJ31" s="12">
        <v>0</v>
      </c>
      <c r="AK31" s="12">
        <f t="shared" si="21"/>
        <v>0</v>
      </c>
      <c r="AL31" s="80">
        <f t="shared" si="22"/>
        <v>410459.97000000009</v>
      </c>
      <c r="AM31" s="79">
        <f t="shared" si="23"/>
        <v>410459.97000000009</v>
      </c>
      <c r="AN31" s="12">
        <v>-47944.679999999993</v>
      </c>
      <c r="AO31" s="12">
        <v>0</v>
      </c>
      <c r="AP31" s="12">
        <f t="shared" si="24"/>
        <v>362515.2900000001</v>
      </c>
      <c r="AQ31" s="12">
        <f t="shared" si="25"/>
        <v>0</v>
      </c>
      <c r="AR31" s="12">
        <v>0</v>
      </c>
      <c r="AS31" s="12">
        <v>0</v>
      </c>
      <c r="AT31" s="12">
        <f t="shared" si="26"/>
        <v>0</v>
      </c>
      <c r="AU31" s="80">
        <f t="shared" si="27"/>
        <v>362515.2900000001</v>
      </c>
      <c r="AV31" s="75">
        <v>362515.28999999992</v>
      </c>
      <c r="AW31" s="187">
        <f t="shared" si="28"/>
        <v>0</v>
      </c>
    </row>
    <row r="32" spans="1:50" x14ac:dyDescent="0.25">
      <c r="A32" s="88">
        <v>1576</v>
      </c>
      <c r="B32" s="72" t="s">
        <v>17</v>
      </c>
      <c r="C32" s="79">
        <v>0</v>
      </c>
      <c r="D32" s="12">
        <v>0</v>
      </c>
      <c r="E32" s="12">
        <v>0</v>
      </c>
      <c r="F32" s="12">
        <f t="shared" si="5"/>
        <v>0</v>
      </c>
      <c r="G32" s="12">
        <v>0</v>
      </c>
      <c r="H32" s="12">
        <v>0</v>
      </c>
      <c r="I32" s="12">
        <v>0</v>
      </c>
      <c r="J32" s="12">
        <f t="shared" si="6"/>
        <v>0</v>
      </c>
      <c r="K32" s="80">
        <f t="shared" si="7"/>
        <v>0</v>
      </c>
      <c r="L32" s="79">
        <f t="shared" si="8"/>
        <v>0</v>
      </c>
      <c r="M32" s="12">
        <v>0</v>
      </c>
      <c r="N32" s="12">
        <v>0</v>
      </c>
      <c r="O32" s="12">
        <f t="shared" si="9"/>
        <v>0</v>
      </c>
      <c r="P32" s="12">
        <f t="shared" si="10"/>
        <v>0</v>
      </c>
      <c r="Q32" s="12">
        <v>0</v>
      </c>
      <c r="R32" s="12">
        <v>0</v>
      </c>
      <c r="S32" s="12">
        <f t="shared" si="11"/>
        <v>0</v>
      </c>
      <c r="T32" s="80">
        <f t="shared" si="12"/>
        <v>0</v>
      </c>
      <c r="U32" s="79">
        <f t="shared" si="13"/>
        <v>0</v>
      </c>
      <c r="V32" s="12">
        <v>0</v>
      </c>
      <c r="W32" s="12">
        <v>0</v>
      </c>
      <c r="X32" s="12">
        <f t="shared" si="14"/>
        <v>0</v>
      </c>
      <c r="Y32" s="12">
        <f t="shared" si="15"/>
        <v>0</v>
      </c>
      <c r="Z32" s="12">
        <v>0</v>
      </c>
      <c r="AA32" s="12">
        <v>0</v>
      </c>
      <c r="AB32" s="12">
        <f t="shared" si="16"/>
        <v>0</v>
      </c>
      <c r="AC32" s="80">
        <f t="shared" si="17"/>
        <v>0</v>
      </c>
      <c r="AD32" s="79">
        <f t="shared" si="18"/>
        <v>0</v>
      </c>
      <c r="AE32" s="12">
        <v>-602340.82000000007</v>
      </c>
      <c r="AF32" s="12">
        <v>0</v>
      </c>
      <c r="AG32" s="12">
        <f t="shared" si="19"/>
        <v>-602340.82000000007</v>
      </c>
      <c r="AH32" s="12">
        <f t="shared" si="20"/>
        <v>0</v>
      </c>
      <c r="AI32" s="12">
        <v>0</v>
      </c>
      <c r="AJ32" s="12">
        <v>0</v>
      </c>
      <c r="AK32" s="12">
        <f t="shared" si="21"/>
        <v>0</v>
      </c>
      <c r="AL32" s="80">
        <f t="shared" si="22"/>
        <v>-602340.82000000007</v>
      </c>
      <c r="AM32" s="79">
        <f t="shared" si="23"/>
        <v>-602340.82000000007</v>
      </c>
      <c r="AN32" s="12">
        <v>-1677655.46</v>
      </c>
      <c r="AO32" s="12">
        <v>0</v>
      </c>
      <c r="AP32" s="12">
        <f t="shared" si="24"/>
        <v>-2279996.2800000003</v>
      </c>
      <c r="AQ32" s="12">
        <f t="shared" si="25"/>
        <v>0</v>
      </c>
      <c r="AR32" s="12">
        <v>0</v>
      </c>
      <c r="AS32" s="12">
        <v>0</v>
      </c>
      <c r="AT32" s="12">
        <f t="shared" si="26"/>
        <v>0</v>
      </c>
      <c r="AU32" s="80">
        <f t="shared" si="27"/>
        <v>-2279996.2800000003</v>
      </c>
      <c r="AV32" s="75">
        <v>-2279996.2800000003</v>
      </c>
      <c r="AW32" s="187">
        <f t="shared" si="28"/>
        <v>0</v>
      </c>
    </row>
    <row r="33" spans="1:49" x14ac:dyDescent="0.25">
      <c r="A33" s="88">
        <v>1582</v>
      </c>
      <c r="B33" s="72" t="s">
        <v>18</v>
      </c>
      <c r="C33" s="79">
        <v>50162.04</v>
      </c>
      <c r="D33" s="12">
        <v>7540.13</v>
      </c>
      <c r="E33" s="12">
        <v>50162.04</v>
      </c>
      <c r="F33" s="12">
        <f t="shared" si="5"/>
        <v>7540.1299999999974</v>
      </c>
      <c r="G33" s="12">
        <v>8852.27</v>
      </c>
      <c r="H33" s="12">
        <v>1541.1000000000001</v>
      </c>
      <c r="I33" s="12">
        <v>8942.9700000000012</v>
      </c>
      <c r="J33" s="12">
        <f t="shared" si="6"/>
        <v>1450.3999999999996</v>
      </c>
      <c r="K33" s="80">
        <f t="shared" si="7"/>
        <v>8990.529999999997</v>
      </c>
      <c r="L33" s="79">
        <f t="shared" si="8"/>
        <v>7540.1299999999974</v>
      </c>
      <c r="M33" s="12">
        <v>0</v>
      </c>
      <c r="N33" s="12">
        <v>0</v>
      </c>
      <c r="O33" s="12">
        <f t="shared" si="9"/>
        <v>7540.1299999999974</v>
      </c>
      <c r="P33" s="12">
        <f t="shared" si="10"/>
        <v>1450.3999999999996</v>
      </c>
      <c r="Q33" s="12">
        <v>110.81</v>
      </c>
      <c r="R33" s="12">
        <v>0</v>
      </c>
      <c r="S33" s="12">
        <f t="shared" si="11"/>
        <v>1561.2099999999996</v>
      </c>
      <c r="T33" s="80">
        <f t="shared" si="12"/>
        <v>9101.3399999999965</v>
      </c>
      <c r="U33" s="79">
        <f t="shared" si="13"/>
        <v>7540.1299999999974</v>
      </c>
      <c r="V33" s="12">
        <v>0</v>
      </c>
      <c r="W33" s="12">
        <v>0</v>
      </c>
      <c r="X33" s="12">
        <f t="shared" si="14"/>
        <v>7540.1299999999974</v>
      </c>
      <c r="Y33" s="12">
        <f t="shared" si="15"/>
        <v>1561.2099999999996</v>
      </c>
      <c r="Z33" s="12">
        <v>110.80999999999995</v>
      </c>
      <c r="AA33" s="12">
        <v>0</v>
      </c>
      <c r="AB33" s="12">
        <f t="shared" si="16"/>
        <v>1672.0199999999995</v>
      </c>
      <c r="AC33" s="80">
        <f t="shared" si="17"/>
        <v>9212.1499999999978</v>
      </c>
      <c r="AD33" s="79">
        <f t="shared" si="18"/>
        <v>7540.1299999999974</v>
      </c>
      <c r="AE33" s="12">
        <v>0</v>
      </c>
      <c r="AF33" s="12">
        <v>0</v>
      </c>
      <c r="AG33" s="12">
        <f t="shared" si="19"/>
        <v>7540.1299999999974</v>
      </c>
      <c r="AH33" s="12">
        <f t="shared" si="20"/>
        <v>1672.0199999999995</v>
      </c>
      <c r="AI33" s="12">
        <v>110.81</v>
      </c>
      <c r="AJ33" s="12">
        <v>0</v>
      </c>
      <c r="AK33" s="12">
        <f t="shared" si="21"/>
        <v>1782.8299999999995</v>
      </c>
      <c r="AL33" s="80">
        <f t="shared" si="22"/>
        <v>9322.9599999999973</v>
      </c>
      <c r="AM33" s="79">
        <f t="shared" si="23"/>
        <v>7540.1299999999974</v>
      </c>
      <c r="AN33" s="12">
        <v>0</v>
      </c>
      <c r="AO33" s="12">
        <v>0</v>
      </c>
      <c r="AP33" s="12">
        <f t="shared" si="24"/>
        <v>7540.1299999999974</v>
      </c>
      <c r="AQ33" s="12">
        <f t="shared" si="25"/>
        <v>1782.8299999999995</v>
      </c>
      <c r="AR33" s="12">
        <v>110.81</v>
      </c>
      <c r="AS33" s="12">
        <v>0</v>
      </c>
      <c r="AT33" s="12">
        <f t="shared" si="26"/>
        <v>1893.6399999999994</v>
      </c>
      <c r="AU33" s="80">
        <f t="shared" si="27"/>
        <v>9433.7699999999968</v>
      </c>
      <c r="AV33" s="75">
        <v>9433.7699999999986</v>
      </c>
      <c r="AW33" s="187">
        <f t="shared" si="28"/>
        <v>0</v>
      </c>
    </row>
    <row r="34" spans="1:49" x14ac:dyDescent="0.25">
      <c r="A34" s="88">
        <v>1592</v>
      </c>
      <c r="B34" s="72" t="s">
        <v>19</v>
      </c>
      <c r="C34" s="79"/>
      <c r="D34" s="12"/>
      <c r="E34" s="12"/>
      <c r="F34" s="12"/>
      <c r="G34" s="12"/>
      <c r="H34" s="12"/>
      <c r="I34" s="12"/>
      <c r="J34" s="12"/>
      <c r="K34" s="80"/>
      <c r="L34" s="79"/>
      <c r="M34" s="12"/>
      <c r="N34" s="12"/>
      <c r="O34" s="12"/>
      <c r="P34" s="12"/>
      <c r="Q34" s="12"/>
      <c r="R34" s="12"/>
      <c r="S34" s="12"/>
      <c r="T34" s="80"/>
      <c r="U34" s="79"/>
      <c r="V34" s="12"/>
      <c r="W34" s="12"/>
      <c r="X34" s="12"/>
      <c r="Y34" s="12"/>
      <c r="Z34" s="12"/>
      <c r="AA34" s="12"/>
      <c r="AB34" s="12"/>
      <c r="AC34" s="80"/>
      <c r="AD34" s="79"/>
      <c r="AE34" s="12"/>
      <c r="AF34" s="12"/>
      <c r="AG34" s="12"/>
      <c r="AH34" s="12"/>
      <c r="AI34" s="12"/>
      <c r="AJ34" s="12"/>
      <c r="AK34" s="12"/>
      <c r="AL34" s="80"/>
      <c r="AM34" s="79"/>
      <c r="AN34" s="12"/>
      <c r="AO34" s="12"/>
      <c r="AP34" s="12"/>
      <c r="AQ34" s="12"/>
      <c r="AR34" s="12"/>
      <c r="AS34" s="12"/>
      <c r="AT34" s="12"/>
      <c r="AU34" s="80">
        <f>SUM(AU35:AU36)</f>
        <v>-153000.21</v>
      </c>
      <c r="AV34" s="75">
        <v>-153000.21</v>
      </c>
      <c r="AW34" s="187">
        <f t="shared" si="28"/>
        <v>0</v>
      </c>
    </row>
    <row r="35" spans="1:49" x14ac:dyDescent="0.25">
      <c r="A35" s="88"/>
      <c r="B35" s="86" t="s">
        <v>83</v>
      </c>
      <c r="C35" s="79">
        <v>0</v>
      </c>
      <c r="D35" s="12">
        <v>0</v>
      </c>
      <c r="E35" s="12">
        <v>0</v>
      </c>
      <c r="F35" s="12">
        <f t="shared" si="5"/>
        <v>0</v>
      </c>
      <c r="G35" s="12">
        <v>0</v>
      </c>
      <c r="H35" s="12">
        <v>0</v>
      </c>
      <c r="I35" s="12">
        <v>0</v>
      </c>
      <c r="J35" s="12">
        <f t="shared" si="6"/>
        <v>0</v>
      </c>
      <c r="K35" s="80">
        <f t="shared" si="7"/>
        <v>0</v>
      </c>
      <c r="L35" s="79">
        <f t="shared" si="8"/>
        <v>0</v>
      </c>
      <c r="M35" s="12">
        <v>0</v>
      </c>
      <c r="N35" s="12">
        <v>0</v>
      </c>
      <c r="O35" s="12">
        <f t="shared" si="9"/>
        <v>0</v>
      </c>
      <c r="P35" s="12">
        <f t="shared" si="10"/>
        <v>0</v>
      </c>
      <c r="Q35" s="12">
        <v>0</v>
      </c>
      <c r="R35" s="12">
        <v>0</v>
      </c>
      <c r="S35" s="12">
        <f t="shared" si="11"/>
        <v>0</v>
      </c>
      <c r="T35" s="80">
        <f t="shared" si="12"/>
        <v>0</v>
      </c>
      <c r="U35" s="79">
        <f t="shared" si="13"/>
        <v>0</v>
      </c>
      <c r="V35" s="12">
        <v>0</v>
      </c>
      <c r="W35" s="12">
        <v>0</v>
      </c>
      <c r="X35" s="12">
        <f t="shared" si="14"/>
        <v>0</v>
      </c>
      <c r="Y35" s="12">
        <f t="shared" si="15"/>
        <v>0</v>
      </c>
      <c r="Z35" s="12">
        <v>0</v>
      </c>
      <c r="AA35" s="12">
        <v>0</v>
      </c>
      <c r="AB35" s="12">
        <f t="shared" si="16"/>
        <v>0</v>
      </c>
      <c r="AC35" s="80">
        <f t="shared" si="17"/>
        <v>0</v>
      </c>
      <c r="AD35" s="79">
        <f t="shared" si="18"/>
        <v>0</v>
      </c>
      <c r="AE35" s="12">
        <v>-787.9899999999999</v>
      </c>
      <c r="AF35" s="12">
        <v>0</v>
      </c>
      <c r="AG35" s="12">
        <f t="shared" si="19"/>
        <v>-787.9899999999999</v>
      </c>
      <c r="AH35" s="12">
        <f t="shared" si="20"/>
        <v>0</v>
      </c>
      <c r="AI35" s="12">
        <v>-0.75</v>
      </c>
      <c r="AJ35" s="12">
        <v>0</v>
      </c>
      <c r="AK35" s="12">
        <f t="shared" si="21"/>
        <v>-0.75</v>
      </c>
      <c r="AL35" s="80">
        <f t="shared" si="22"/>
        <v>-788.7399999999999</v>
      </c>
      <c r="AM35" s="79">
        <f t="shared" si="23"/>
        <v>-787.9899999999999</v>
      </c>
      <c r="AN35" s="12">
        <v>-831.86999999999989</v>
      </c>
      <c r="AO35" s="12">
        <v>0</v>
      </c>
      <c r="AP35" s="12">
        <f t="shared" si="24"/>
        <v>-1619.8599999999997</v>
      </c>
      <c r="AQ35" s="12">
        <f t="shared" si="25"/>
        <v>-0.75</v>
      </c>
      <c r="AR35" s="12">
        <v>-15.86</v>
      </c>
      <c r="AS35" s="12">
        <v>0</v>
      </c>
      <c r="AT35" s="12">
        <f t="shared" si="26"/>
        <v>-16.61</v>
      </c>
      <c r="AU35" s="80">
        <f t="shared" si="27"/>
        <v>-1636.4699999999996</v>
      </c>
      <c r="AV35" s="75"/>
      <c r="AW35" s="187"/>
    </row>
    <row r="36" spans="1:49" x14ac:dyDescent="0.25">
      <c r="A36" s="88"/>
      <c r="B36" s="86" t="s">
        <v>70</v>
      </c>
      <c r="C36" s="79">
        <v>0</v>
      </c>
      <c r="D36" s="12">
        <v>-20412.87</v>
      </c>
      <c r="E36" s="12">
        <v>0</v>
      </c>
      <c r="F36" s="12">
        <f t="shared" si="5"/>
        <v>-20412.87</v>
      </c>
      <c r="G36" s="12">
        <v>0</v>
      </c>
      <c r="H36" s="12">
        <v>-38.01</v>
      </c>
      <c r="I36" s="12">
        <v>0</v>
      </c>
      <c r="J36" s="12">
        <f t="shared" si="6"/>
        <v>-38.01</v>
      </c>
      <c r="K36" s="80">
        <f t="shared" si="7"/>
        <v>-20450.879999999997</v>
      </c>
      <c r="L36" s="79">
        <f t="shared" si="8"/>
        <v>-20412.87</v>
      </c>
      <c r="M36" s="12">
        <v>-31547.23</v>
      </c>
      <c r="N36" s="12">
        <v>0</v>
      </c>
      <c r="O36" s="12">
        <f t="shared" si="9"/>
        <v>-51960.1</v>
      </c>
      <c r="P36" s="12">
        <f t="shared" si="10"/>
        <v>-38.01</v>
      </c>
      <c r="Q36" s="12">
        <v>-452.97</v>
      </c>
      <c r="R36" s="12">
        <v>0</v>
      </c>
      <c r="S36" s="12">
        <f t="shared" si="11"/>
        <v>-490.98</v>
      </c>
      <c r="T36" s="80">
        <f t="shared" si="12"/>
        <v>-52451.08</v>
      </c>
      <c r="U36" s="79">
        <f t="shared" si="13"/>
        <v>-51960.1</v>
      </c>
      <c r="V36" s="12">
        <v>-31547.279999999999</v>
      </c>
      <c r="W36" s="12">
        <v>0</v>
      </c>
      <c r="X36" s="12">
        <f t="shared" si="14"/>
        <v>-83507.38</v>
      </c>
      <c r="Y36" s="12">
        <f t="shared" si="15"/>
        <v>-490.98</v>
      </c>
      <c r="Z36" s="12">
        <v>-849.8</v>
      </c>
      <c r="AA36" s="12">
        <v>0</v>
      </c>
      <c r="AB36" s="12">
        <f t="shared" si="16"/>
        <v>-1340.78</v>
      </c>
      <c r="AC36" s="80">
        <f t="shared" si="17"/>
        <v>-84848.16</v>
      </c>
      <c r="AD36" s="79">
        <f t="shared" si="18"/>
        <v>-83507.38</v>
      </c>
      <c r="AE36" s="12">
        <v>-31547.279999999999</v>
      </c>
      <c r="AF36" s="12">
        <v>0</v>
      </c>
      <c r="AG36" s="12">
        <f t="shared" si="19"/>
        <v>-115054.66</v>
      </c>
      <c r="AH36" s="12">
        <f t="shared" si="20"/>
        <v>-1340.78</v>
      </c>
      <c r="AI36" s="12">
        <v>-1372.62</v>
      </c>
      <c r="AJ36" s="12">
        <v>0</v>
      </c>
      <c r="AK36" s="12">
        <f t="shared" si="21"/>
        <v>-2713.3999999999996</v>
      </c>
      <c r="AL36" s="80">
        <f t="shared" si="22"/>
        <v>-117768.06</v>
      </c>
      <c r="AM36" s="79">
        <f t="shared" si="23"/>
        <v>-115054.66</v>
      </c>
      <c r="AN36" s="12">
        <v>-31547.279999999988</v>
      </c>
      <c r="AO36" s="12">
        <v>0</v>
      </c>
      <c r="AP36" s="12">
        <f t="shared" si="24"/>
        <v>-146601.94</v>
      </c>
      <c r="AQ36" s="12">
        <f t="shared" si="25"/>
        <v>-2713.3999999999996</v>
      </c>
      <c r="AR36" s="12">
        <v>-2048.4</v>
      </c>
      <c r="AS36" s="12">
        <v>0</v>
      </c>
      <c r="AT36" s="12">
        <f t="shared" si="26"/>
        <v>-4761.7999999999993</v>
      </c>
      <c r="AU36" s="80">
        <f t="shared" si="27"/>
        <v>-151363.74</v>
      </c>
      <c r="AV36" s="75"/>
      <c r="AW36" s="187"/>
    </row>
    <row r="37" spans="1:49" s="10" customFormat="1" x14ac:dyDescent="0.25">
      <c r="A37" s="95"/>
      <c r="B37" s="96" t="s">
        <v>10</v>
      </c>
      <c r="C37" s="97">
        <f t="shared" ref="C37:AT37" si="29">SUM(C21:C34)</f>
        <v>1204091.6700000002</v>
      </c>
      <c r="D37" s="98">
        <f t="shared" si="29"/>
        <v>158024.82000000007</v>
      </c>
      <c r="E37" s="98">
        <f t="shared" si="29"/>
        <v>85673.16</v>
      </c>
      <c r="F37" s="98">
        <f t="shared" si="29"/>
        <v>1276443.33</v>
      </c>
      <c r="G37" s="98">
        <f t="shared" si="29"/>
        <v>20474.720000000005</v>
      </c>
      <c r="H37" s="98">
        <f t="shared" si="29"/>
        <v>4539.5000000000018</v>
      </c>
      <c r="I37" s="98">
        <f t="shared" si="29"/>
        <v>12057.68</v>
      </c>
      <c r="J37" s="98">
        <f t="shared" si="29"/>
        <v>12956.540000000005</v>
      </c>
      <c r="K37" s="99">
        <f t="shared" si="29"/>
        <v>1289399.8700000001</v>
      </c>
      <c r="L37" s="97">
        <f t="shared" si="29"/>
        <v>1276443.33</v>
      </c>
      <c r="M37" s="98">
        <f t="shared" si="29"/>
        <v>1263425.9099999999</v>
      </c>
      <c r="N37" s="98">
        <f t="shared" si="29"/>
        <v>0</v>
      </c>
      <c r="O37" s="98">
        <f t="shared" si="29"/>
        <v>2539869.2399999998</v>
      </c>
      <c r="P37" s="98">
        <f t="shared" si="29"/>
        <v>12956.540000000005</v>
      </c>
      <c r="Q37" s="98">
        <f t="shared" si="29"/>
        <v>5161.7500000000009</v>
      </c>
      <c r="R37" s="98">
        <f t="shared" si="29"/>
        <v>0</v>
      </c>
      <c r="S37" s="98">
        <f t="shared" si="29"/>
        <v>18118.290000000008</v>
      </c>
      <c r="T37" s="99">
        <f t="shared" si="29"/>
        <v>2557987.5299999998</v>
      </c>
      <c r="U37" s="97">
        <f t="shared" si="29"/>
        <v>2539869.2399999998</v>
      </c>
      <c r="V37" s="98">
        <f t="shared" si="29"/>
        <v>-1372716.18</v>
      </c>
      <c r="W37" s="98">
        <f t="shared" si="29"/>
        <v>0</v>
      </c>
      <c r="X37" s="98">
        <f t="shared" si="29"/>
        <v>1167153.06</v>
      </c>
      <c r="Y37" s="98">
        <f t="shared" si="29"/>
        <v>18118.290000000008</v>
      </c>
      <c r="Z37" s="98">
        <f t="shared" si="29"/>
        <v>5912.119999999999</v>
      </c>
      <c r="AA37" s="98">
        <f t="shared" si="29"/>
        <v>0</v>
      </c>
      <c r="AB37" s="98">
        <f t="shared" si="29"/>
        <v>24030.410000000007</v>
      </c>
      <c r="AC37" s="99">
        <f t="shared" si="29"/>
        <v>1191183.4700000002</v>
      </c>
      <c r="AD37" s="97">
        <f t="shared" si="29"/>
        <v>1167153.06</v>
      </c>
      <c r="AE37" s="98">
        <f t="shared" si="29"/>
        <v>-739682.49</v>
      </c>
      <c r="AF37" s="98">
        <f t="shared" si="29"/>
        <v>0</v>
      </c>
      <c r="AG37" s="98">
        <f t="shared" si="29"/>
        <v>427470.57000000007</v>
      </c>
      <c r="AH37" s="98">
        <f t="shared" si="29"/>
        <v>24030.410000000007</v>
      </c>
      <c r="AI37" s="98">
        <f t="shared" si="29"/>
        <v>2337.7699999999991</v>
      </c>
      <c r="AJ37" s="98">
        <f t="shared" si="29"/>
        <v>0</v>
      </c>
      <c r="AK37" s="98">
        <f t="shared" si="29"/>
        <v>26368.179999999997</v>
      </c>
      <c r="AL37" s="99">
        <f t="shared" si="29"/>
        <v>453838.75000000006</v>
      </c>
      <c r="AM37" s="97">
        <f t="shared" si="29"/>
        <v>427470.57000000007</v>
      </c>
      <c r="AN37" s="98">
        <f t="shared" si="29"/>
        <v>-1766655.18</v>
      </c>
      <c r="AO37" s="98">
        <f t="shared" si="29"/>
        <v>0</v>
      </c>
      <c r="AP37" s="98">
        <f t="shared" si="29"/>
        <v>-1339184.6100000001</v>
      </c>
      <c r="AQ37" s="98">
        <f t="shared" si="29"/>
        <v>26368.179999999997</v>
      </c>
      <c r="AR37" s="98">
        <f t="shared" si="29"/>
        <v>7403.3400000000011</v>
      </c>
      <c r="AS37" s="98">
        <f t="shared" si="29"/>
        <v>0</v>
      </c>
      <c r="AT37" s="98">
        <f t="shared" si="29"/>
        <v>33771.520000000004</v>
      </c>
      <c r="AU37" s="99">
        <f>SUM(AU35:AU36)+SUM(AU22:AU33)</f>
        <v>-1458413.3</v>
      </c>
      <c r="AV37" s="100">
        <f>SUM(AV21:AV34)</f>
        <v>-1458413.2899999996</v>
      </c>
      <c r="AW37" s="190">
        <f>SUM(AW21:AW34)</f>
        <v>1.0000000591389835E-2</v>
      </c>
    </row>
    <row r="38" spans="1:49" s="10" customFormat="1" ht="30" customHeight="1" x14ac:dyDescent="0.25">
      <c r="A38" s="101"/>
      <c r="B38" s="102" t="s">
        <v>33</v>
      </c>
      <c r="C38" s="103">
        <f t="shared" ref="C38:AW38" si="30">C19+C37</f>
        <v>1204091.6700000002</v>
      </c>
      <c r="D38" s="104">
        <f t="shared" si="30"/>
        <v>158024.82000000007</v>
      </c>
      <c r="E38" s="104">
        <f t="shared" si="30"/>
        <v>85673.16</v>
      </c>
      <c r="F38" s="104">
        <f t="shared" si="30"/>
        <v>1276443.33</v>
      </c>
      <c r="G38" s="104">
        <f t="shared" si="30"/>
        <v>20474.720000000005</v>
      </c>
      <c r="H38" s="104">
        <f t="shared" si="30"/>
        <v>4539.5000000000018</v>
      </c>
      <c r="I38" s="104">
        <f t="shared" si="30"/>
        <v>12057.68</v>
      </c>
      <c r="J38" s="104">
        <f t="shared" si="30"/>
        <v>12956.540000000005</v>
      </c>
      <c r="K38" s="105">
        <f t="shared" si="30"/>
        <v>1289399.8700000001</v>
      </c>
      <c r="L38" s="103">
        <f t="shared" si="30"/>
        <v>1276443.33</v>
      </c>
      <c r="M38" s="104">
        <f t="shared" si="30"/>
        <v>1263425.9099999999</v>
      </c>
      <c r="N38" s="104">
        <f t="shared" si="30"/>
        <v>0</v>
      </c>
      <c r="O38" s="104">
        <f t="shared" si="30"/>
        <v>2539869.2399999998</v>
      </c>
      <c r="P38" s="104">
        <f t="shared" si="30"/>
        <v>12956.540000000005</v>
      </c>
      <c r="Q38" s="104">
        <f t="shared" si="30"/>
        <v>5161.7500000000009</v>
      </c>
      <c r="R38" s="104">
        <f t="shared" si="30"/>
        <v>0</v>
      </c>
      <c r="S38" s="104">
        <f t="shared" si="30"/>
        <v>18118.290000000008</v>
      </c>
      <c r="T38" s="105">
        <f t="shared" si="30"/>
        <v>2557987.5299999998</v>
      </c>
      <c r="U38" s="103">
        <f t="shared" si="30"/>
        <v>2539869.2399999998</v>
      </c>
      <c r="V38" s="104">
        <f t="shared" si="30"/>
        <v>-1372716.18</v>
      </c>
      <c r="W38" s="104">
        <f t="shared" si="30"/>
        <v>0</v>
      </c>
      <c r="X38" s="104">
        <f t="shared" si="30"/>
        <v>1167153.06</v>
      </c>
      <c r="Y38" s="104">
        <f t="shared" si="30"/>
        <v>18118.290000000008</v>
      </c>
      <c r="Z38" s="104">
        <f t="shared" si="30"/>
        <v>5912.119999999999</v>
      </c>
      <c r="AA38" s="104">
        <f t="shared" si="30"/>
        <v>0</v>
      </c>
      <c r="AB38" s="104">
        <f t="shared" si="30"/>
        <v>24030.410000000007</v>
      </c>
      <c r="AC38" s="105">
        <f t="shared" si="30"/>
        <v>1191183.4700000002</v>
      </c>
      <c r="AD38" s="103">
        <f t="shared" si="30"/>
        <v>1167153.06</v>
      </c>
      <c r="AE38" s="104">
        <f t="shared" si="30"/>
        <v>-739682.49</v>
      </c>
      <c r="AF38" s="104">
        <f t="shared" si="30"/>
        <v>0</v>
      </c>
      <c r="AG38" s="104">
        <f t="shared" si="30"/>
        <v>427470.57000000007</v>
      </c>
      <c r="AH38" s="104">
        <f t="shared" si="30"/>
        <v>24030.410000000007</v>
      </c>
      <c r="AI38" s="104">
        <f t="shared" si="30"/>
        <v>2337.7699999999991</v>
      </c>
      <c r="AJ38" s="104">
        <f t="shared" si="30"/>
        <v>0</v>
      </c>
      <c r="AK38" s="104">
        <f t="shared" si="30"/>
        <v>26368.179999999997</v>
      </c>
      <c r="AL38" s="105">
        <f t="shared" si="30"/>
        <v>453838.75000000006</v>
      </c>
      <c r="AM38" s="103">
        <f t="shared" si="30"/>
        <v>2870118.0040000016</v>
      </c>
      <c r="AN38" s="104">
        <f t="shared" si="30"/>
        <v>625090.60599999852</v>
      </c>
      <c r="AO38" s="104">
        <f t="shared" si="30"/>
        <v>-351427.63</v>
      </c>
      <c r="AP38" s="104">
        <f t="shared" si="30"/>
        <v>3846636.2399999993</v>
      </c>
      <c r="AQ38" s="104">
        <f t="shared" si="30"/>
        <v>47034.501960575348</v>
      </c>
      <c r="AR38" s="104">
        <f t="shared" si="30"/>
        <v>86987.717803424661</v>
      </c>
      <c r="AS38" s="104">
        <f t="shared" si="30"/>
        <v>-4986.7502359999771</v>
      </c>
      <c r="AT38" s="104">
        <f t="shared" si="30"/>
        <v>139008.97000000003</v>
      </c>
      <c r="AU38" s="105">
        <f t="shared" si="30"/>
        <v>3832645.0000000009</v>
      </c>
      <c r="AV38" s="106">
        <f t="shared" si="30"/>
        <v>3832645.0100000012</v>
      </c>
      <c r="AW38" s="191">
        <f t="shared" si="30"/>
        <v>1.0000000591389835E-2</v>
      </c>
    </row>
    <row r="39" spans="1:49" x14ac:dyDescent="0.25">
      <c r="AW39" s="192"/>
    </row>
    <row r="42" spans="1:49" x14ac:dyDescent="0.25">
      <c r="C42" s="182">
        <f t="shared" ref="C42:AJ42" si="31">C22+C23+C24+C26</f>
        <v>406958.30000000005</v>
      </c>
      <c r="D42" s="182">
        <f t="shared" si="31"/>
        <v>168613.08000000007</v>
      </c>
      <c r="E42" s="182">
        <f t="shared" si="31"/>
        <v>10326.41</v>
      </c>
      <c r="F42" s="182">
        <f t="shared" si="31"/>
        <v>565244.97000000009</v>
      </c>
      <c r="G42" s="182">
        <f t="shared" si="31"/>
        <v>1924.8899999999999</v>
      </c>
      <c r="H42" s="182">
        <f t="shared" si="31"/>
        <v>3767.16</v>
      </c>
      <c r="I42" s="182">
        <f t="shared" si="31"/>
        <v>174.96000000000004</v>
      </c>
      <c r="J42" s="182">
        <f t="shared" si="31"/>
        <v>5517.09</v>
      </c>
      <c r="K42" s="182">
        <f t="shared" si="31"/>
        <v>570762.06000000006</v>
      </c>
      <c r="L42" s="182">
        <f t="shared" si="31"/>
        <v>565244.97000000009</v>
      </c>
      <c r="M42" s="182">
        <f t="shared" si="31"/>
        <v>-23202.860000000161</v>
      </c>
      <c r="N42" s="182">
        <f t="shared" si="31"/>
        <v>0</v>
      </c>
      <c r="O42" s="182">
        <f t="shared" si="31"/>
        <v>542042.10999999987</v>
      </c>
      <c r="P42" s="182">
        <f t="shared" si="31"/>
        <v>5517.09</v>
      </c>
      <c r="Q42" s="182">
        <f t="shared" si="31"/>
        <v>3223.8</v>
      </c>
      <c r="R42" s="182">
        <f t="shared" si="31"/>
        <v>0</v>
      </c>
      <c r="S42" s="182">
        <f t="shared" si="31"/>
        <v>8740.89</v>
      </c>
      <c r="T42" s="182">
        <f t="shared" si="31"/>
        <v>550782.99999999988</v>
      </c>
      <c r="U42" s="182">
        <f t="shared" si="31"/>
        <v>542042.10999999987</v>
      </c>
      <c r="V42" s="182">
        <f t="shared" si="31"/>
        <v>35084.280000000188</v>
      </c>
      <c r="W42" s="182">
        <f t="shared" si="31"/>
        <v>0</v>
      </c>
      <c r="X42" s="182">
        <f t="shared" si="31"/>
        <v>577126.39000000013</v>
      </c>
      <c r="Y42" s="182">
        <f t="shared" si="31"/>
        <v>8740.89</v>
      </c>
      <c r="Z42" s="182">
        <f t="shared" si="31"/>
        <v>4066.83</v>
      </c>
      <c r="AA42" s="182">
        <f t="shared" si="31"/>
        <v>0</v>
      </c>
      <c r="AB42" s="182">
        <f t="shared" si="31"/>
        <v>12807.72</v>
      </c>
      <c r="AC42" s="182">
        <f t="shared" si="31"/>
        <v>589934.1100000001</v>
      </c>
      <c r="AD42" s="182">
        <f t="shared" si="31"/>
        <v>577126.39000000013</v>
      </c>
      <c r="AE42" s="182">
        <f t="shared" si="31"/>
        <v>49267.229999999996</v>
      </c>
      <c r="AF42" s="182">
        <f t="shared" si="31"/>
        <v>0</v>
      </c>
      <c r="AG42" s="182">
        <f t="shared" si="31"/>
        <v>626393.62000000011</v>
      </c>
      <c r="AH42" s="182">
        <f t="shared" si="31"/>
        <v>12807.72</v>
      </c>
      <c r="AI42" s="182">
        <f t="shared" si="31"/>
        <v>6645.77</v>
      </c>
      <c r="AJ42" s="182">
        <f t="shared" si="31"/>
        <v>0</v>
      </c>
      <c r="AK42" s="182">
        <f>AK22+AK23+AK24+AK26</f>
        <v>19453.489999999998</v>
      </c>
      <c r="AL42" s="182">
        <f t="shared" ref="AL42:AW42" si="32">AL22+AL23+AL24+AL26</f>
        <v>645847.1100000001</v>
      </c>
      <c r="AM42" s="182">
        <f t="shared" si="32"/>
        <v>626393.62000000011</v>
      </c>
      <c r="AN42" s="182">
        <f t="shared" si="32"/>
        <v>-50677.17</v>
      </c>
      <c r="AO42" s="182">
        <f t="shared" si="32"/>
        <v>0</v>
      </c>
      <c r="AP42" s="182">
        <f t="shared" si="32"/>
        <v>575716.45000000007</v>
      </c>
      <c r="AQ42" s="182">
        <f t="shared" si="32"/>
        <v>19453.489999999998</v>
      </c>
      <c r="AR42" s="182">
        <f t="shared" si="32"/>
        <v>7594.32</v>
      </c>
      <c r="AS42" s="182">
        <f t="shared" si="32"/>
        <v>0</v>
      </c>
      <c r="AT42" s="182">
        <f t="shared" si="32"/>
        <v>27047.809999999998</v>
      </c>
      <c r="AU42" s="182">
        <f t="shared" si="32"/>
        <v>602764.26</v>
      </c>
      <c r="AV42" s="182">
        <f t="shared" si="32"/>
        <v>0</v>
      </c>
      <c r="AW42" s="182">
        <f t="shared" si="32"/>
        <v>0</v>
      </c>
    </row>
  </sheetData>
  <sortState ref="A20:AX25">
    <sortCondition ref="B20:B25"/>
  </sortState>
  <mergeCells count="24">
    <mergeCell ref="AM5:AU5"/>
    <mergeCell ref="AM6:AP6"/>
    <mergeCell ref="AQ6:AT6"/>
    <mergeCell ref="AU6:AU7"/>
    <mergeCell ref="A5:A7"/>
    <mergeCell ref="B5:B7"/>
    <mergeCell ref="AH6:AK6"/>
    <mergeCell ref="AL6:AL7"/>
    <mergeCell ref="AV5:AV7"/>
    <mergeCell ref="AW5:AW7"/>
    <mergeCell ref="C6:F6"/>
    <mergeCell ref="G6:J6"/>
    <mergeCell ref="K6:K7"/>
    <mergeCell ref="L6:O6"/>
    <mergeCell ref="P6:S6"/>
    <mergeCell ref="T6:T7"/>
    <mergeCell ref="U6:X6"/>
    <mergeCell ref="Y6:AB6"/>
    <mergeCell ref="C5:K5"/>
    <mergeCell ref="L5:T5"/>
    <mergeCell ref="U5:AC5"/>
    <mergeCell ref="AD5:AL5"/>
    <mergeCell ref="AC6:AC7"/>
    <mergeCell ref="AD6:AG6"/>
  </mergeCells>
  <pageMargins left="0.25" right="0.25" top="0.25" bottom="0.25" header="0.3" footer="0.3"/>
  <pageSetup scale="65" fitToWidth="10" orientation="landscape" r:id="rId1"/>
  <headerFooter>
    <oddFooter>&amp;L&amp;F&amp;R&amp;P/&amp;N</oddFooter>
  </headerFooter>
  <colBreaks count="4" manualBreakCount="4">
    <brk id="11" max="37" man="1"/>
    <brk id="20" max="37" man="1"/>
    <brk id="29" max="37" man="1"/>
    <brk id="38" max="3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30"/>
  <sheetViews>
    <sheetView workbookViewId="0">
      <selection activeCell="J35" sqref="J35"/>
    </sheetView>
  </sheetViews>
  <sheetFormatPr defaultRowHeight="15" x14ac:dyDescent="0.25"/>
  <cols>
    <col min="1" max="1" width="44" bestFit="1" customWidth="1"/>
    <col min="2" max="9" width="9.85546875" customWidth="1"/>
  </cols>
  <sheetData>
    <row r="1" spans="1:12" x14ac:dyDescent="0.25">
      <c r="A1" s="113" t="s">
        <v>122</v>
      </c>
      <c r="B1" s="113"/>
      <c r="C1" s="113"/>
      <c r="D1" s="113"/>
      <c r="E1" s="113"/>
      <c r="F1" s="113"/>
      <c r="G1" s="113"/>
      <c r="H1" s="113"/>
      <c r="I1" s="113"/>
    </row>
    <row r="2" spans="1:12" s="83" customFormat="1" x14ac:dyDescent="0.25">
      <c r="E2" s="83" t="s">
        <v>102</v>
      </c>
      <c r="F2" s="83" t="s">
        <v>103</v>
      </c>
      <c r="G2" s="83" t="s">
        <v>104</v>
      </c>
      <c r="H2" s="83" t="s">
        <v>105</v>
      </c>
      <c r="I2" s="83" t="s">
        <v>106</v>
      </c>
    </row>
    <row r="3" spans="1:12" x14ac:dyDescent="0.25">
      <c r="A3" t="s">
        <v>35</v>
      </c>
      <c r="B3" t="s">
        <v>107</v>
      </c>
      <c r="C3" t="s">
        <v>108</v>
      </c>
      <c r="D3" t="s">
        <v>109</v>
      </c>
    </row>
    <row r="5" spans="1:12" x14ac:dyDescent="0.25">
      <c r="A5" t="s">
        <v>41</v>
      </c>
      <c r="B5" t="s">
        <v>110</v>
      </c>
      <c r="C5">
        <v>235820564</v>
      </c>
      <c r="E5" s="110">
        <v>190149.2092234185</v>
      </c>
      <c r="F5">
        <v>8.0000000000000004E-4</v>
      </c>
      <c r="G5" s="110">
        <v>130725.1970165321</v>
      </c>
      <c r="H5">
        <v>35058209</v>
      </c>
      <c r="I5">
        <v>3.7288042015076153E-3</v>
      </c>
      <c r="K5" s="108">
        <f>E5/$E$15</f>
        <v>0.2880595679506347</v>
      </c>
      <c r="L5" s="108">
        <f>G5/$G$15</f>
        <v>9.3447262863277702E-2</v>
      </c>
    </row>
    <row r="6" spans="1:12" x14ac:dyDescent="0.25">
      <c r="A6" t="s">
        <v>111</v>
      </c>
      <c r="B6" t="s">
        <v>110</v>
      </c>
      <c r="C6">
        <v>96444412</v>
      </c>
      <c r="E6" s="110">
        <v>87153.912215542572</v>
      </c>
      <c r="F6">
        <v>8.9999999999999998E-4</v>
      </c>
      <c r="G6" s="110">
        <v>50139.335865138535</v>
      </c>
      <c r="H6">
        <v>13446492</v>
      </c>
      <c r="I6">
        <v>3.7288042015076153E-3</v>
      </c>
      <c r="K6" s="108">
        <f t="shared" ref="K6:K13" si="0">E6/$E$15</f>
        <v>0.13203062163944448</v>
      </c>
      <c r="L6" s="108">
        <f t="shared" ref="L6:L13" si="1">G6/$G$15</f>
        <v>3.5841473605025306E-2</v>
      </c>
    </row>
    <row r="7" spans="1:12" x14ac:dyDescent="0.25">
      <c r="A7" t="s">
        <v>112</v>
      </c>
      <c r="B7" t="s">
        <v>113</v>
      </c>
      <c r="C7">
        <v>237594548</v>
      </c>
      <c r="D7">
        <v>666408</v>
      </c>
      <c r="E7" s="110">
        <v>227195.66001621456</v>
      </c>
      <c r="F7">
        <v>0.34089999999999998</v>
      </c>
      <c r="G7" s="110">
        <v>658493.22303732194</v>
      </c>
      <c r="H7">
        <v>495319.54079192091</v>
      </c>
      <c r="I7">
        <v>1.3294311425398595</v>
      </c>
      <c r="K7" s="108">
        <f>(E7+E8)/$E$15</f>
        <v>0.52043469917812202</v>
      </c>
      <c r="L7" s="108">
        <f>(G7+G8)/$G$15</f>
        <v>0.77559222476175471</v>
      </c>
    </row>
    <row r="8" spans="1:12" x14ac:dyDescent="0.25">
      <c r="A8" t="s">
        <v>114</v>
      </c>
      <c r="B8" t="s">
        <v>113</v>
      </c>
      <c r="C8">
        <v>114379257</v>
      </c>
      <c r="D8">
        <v>290985</v>
      </c>
      <c r="E8" s="110">
        <v>116345.25134871047</v>
      </c>
      <c r="F8">
        <v>0.39979999999999999</v>
      </c>
      <c r="G8" s="110">
        <v>426497.8540669193</v>
      </c>
      <c r="H8">
        <v>290985</v>
      </c>
      <c r="I8">
        <v>1.4657039162393914</v>
      </c>
      <c r="K8" s="108"/>
      <c r="L8" s="108"/>
    </row>
    <row r="9" spans="1:12" x14ac:dyDescent="0.25">
      <c r="A9" t="s">
        <v>115</v>
      </c>
      <c r="B9" t="s">
        <v>113</v>
      </c>
      <c r="C9">
        <v>28996883</v>
      </c>
      <c r="D9">
        <v>68609</v>
      </c>
      <c r="E9" s="110">
        <v>31098.276778583666</v>
      </c>
      <c r="F9">
        <v>0.45329999999999998</v>
      </c>
      <c r="G9" s="110">
        <v>108123.69916102475</v>
      </c>
      <c r="H9">
        <v>68609</v>
      </c>
      <c r="I9">
        <v>1.5759404620534441</v>
      </c>
      <c r="K9" s="108">
        <f t="shared" si="0"/>
        <v>4.7111193411919765E-2</v>
      </c>
      <c r="L9" s="108">
        <f t="shared" si="1"/>
        <v>7.7290866396418273E-2</v>
      </c>
    </row>
    <row r="10" spans="1:12" x14ac:dyDescent="0.25">
      <c r="A10" t="s">
        <v>116</v>
      </c>
      <c r="B10" t="s">
        <v>110</v>
      </c>
      <c r="C10">
        <v>902912</v>
      </c>
      <c r="E10" s="110">
        <v>978.62622290076683</v>
      </c>
      <c r="F10">
        <v>1.1000000000000001E-3</v>
      </c>
      <c r="G10" s="110">
        <v>0</v>
      </c>
      <c r="I10">
        <v>0</v>
      </c>
      <c r="K10" s="108">
        <f t="shared" si="0"/>
        <v>1.4825338906496893E-3</v>
      </c>
      <c r="L10" s="108">
        <f t="shared" si="1"/>
        <v>0</v>
      </c>
    </row>
    <row r="11" spans="1:12" x14ac:dyDescent="0.25">
      <c r="A11" t="s">
        <v>117</v>
      </c>
      <c r="B11" t="s">
        <v>113</v>
      </c>
      <c r="E11" s="110">
        <v>0</v>
      </c>
      <c r="F11">
        <v>0</v>
      </c>
      <c r="G11" s="110">
        <v>0</v>
      </c>
      <c r="H11">
        <v>0</v>
      </c>
      <c r="I11">
        <v>0</v>
      </c>
      <c r="K11" s="108">
        <f t="shared" si="0"/>
        <v>0</v>
      </c>
      <c r="L11" s="108">
        <f t="shared" si="1"/>
        <v>0</v>
      </c>
    </row>
    <row r="12" spans="1:12" x14ac:dyDescent="0.25">
      <c r="A12" t="s">
        <v>118</v>
      </c>
      <c r="B12" t="s">
        <v>113</v>
      </c>
      <c r="C12">
        <v>311048</v>
      </c>
      <c r="D12">
        <v>861</v>
      </c>
      <c r="E12" s="110">
        <v>240.48989207575562</v>
      </c>
      <c r="F12">
        <v>0.27929999999999999</v>
      </c>
      <c r="G12" s="110">
        <v>357.01808707754816</v>
      </c>
      <c r="H12">
        <v>265.03081839458861</v>
      </c>
      <c r="I12">
        <v>1.3470814044954016</v>
      </c>
      <c r="K12" s="108">
        <f t="shared" si="0"/>
        <v>3.6432133844133325E-4</v>
      </c>
      <c r="L12" s="108">
        <f t="shared" si="1"/>
        <v>2.5520988907640397E-4</v>
      </c>
    </row>
    <row r="13" spans="1:12" x14ac:dyDescent="0.25">
      <c r="A13" t="s">
        <v>119</v>
      </c>
      <c r="B13" t="s">
        <v>113</v>
      </c>
      <c r="C13">
        <v>6592773</v>
      </c>
      <c r="D13">
        <v>19516</v>
      </c>
      <c r="E13" s="110">
        <v>6942.3527543936498</v>
      </c>
      <c r="F13">
        <v>0.35570000000000002</v>
      </c>
      <c r="G13" s="110">
        <v>24583.159661985967</v>
      </c>
      <c r="H13">
        <v>19516</v>
      </c>
      <c r="I13">
        <v>1.2596413026227693</v>
      </c>
      <c r="K13" s="108">
        <f t="shared" si="0"/>
        <v>1.051706259078799E-2</v>
      </c>
      <c r="L13" s="108">
        <f t="shared" si="1"/>
        <v>1.7572962484447507E-2</v>
      </c>
    </row>
    <row r="14" spans="1:12" x14ac:dyDescent="0.25">
      <c r="A14" t="s">
        <v>120</v>
      </c>
      <c r="E14" s="110"/>
      <c r="G14" s="110"/>
    </row>
    <row r="15" spans="1:12" x14ac:dyDescent="0.25">
      <c r="A15" t="s">
        <v>32</v>
      </c>
      <c r="C15">
        <v>721042397</v>
      </c>
      <c r="D15">
        <v>1046379</v>
      </c>
      <c r="E15" s="110">
        <v>660103.77845183993</v>
      </c>
      <c r="G15" s="110">
        <v>1398919.4868960001</v>
      </c>
      <c r="H15">
        <v>49379395.571610317</v>
      </c>
    </row>
    <row r="18" spans="1:12" x14ac:dyDescent="0.25">
      <c r="A18" s="113" t="s">
        <v>123</v>
      </c>
      <c r="B18" s="113"/>
      <c r="C18" s="113"/>
      <c r="D18" s="113"/>
      <c r="E18" s="113"/>
      <c r="F18" s="113"/>
      <c r="G18" s="113"/>
      <c r="H18" s="113"/>
      <c r="I18" s="113"/>
    </row>
    <row r="19" spans="1:12" x14ac:dyDescent="0.25">
      <c r="E19" t="s">
        <v>102</v>
      </c>
      <c r="F19" t="s">
        <v>103</v>
      </c>
      <c r="G19" t="s">
        <v>104</v>
      </c>
      <c r="H19" t="s">
        <v>105</v>
      </c>
      <c r="I19" t="s">
        <v>106</v>
      </c>
    </row>
    <row r="20" spans="1:12" x14ac:dyDescent="0.25">
      <c r="A20" t="s">
        <v>35</v>
      </c>
      <c r="B20" t="s">
        <v>107</v>
      </c>
      <c r="C20" t="s">
        <v>108</v>
      </c>
      <c r="D20" t="s">
        <v>109</v>
      </c>
    </row>
    <row r="22" spans="1:12" x14ac:dyDescent="0.25">
      <c r="A22" t="s">
        <v>41</v>
      </c>
      <c r="B22" t="s">
        <v>110</v>
      </c>
      <c r="C22">
        <v>57560954</v>
      </c>
      <c r="E22">
        <v>9189.5791592685237</v>
      </c>
      <c r="F22">
        <v>2.0000000000000001E-4</v>
      </c>
      <c r="G22">
        <v>15940.431827646857</v>
      </c>
      <c r="H22">
        <v>10381922</v>
      </c>
      <c r="I22">
        <v>1.5354027729785349E-3</v>
      </c>
      <c r="K22" s="108">
        <f>E22/$E$30</f>
        <v>0.57370841329712141</v>
      </c>
      <c r="L22" s="108">
        <f>G22/$G$30</f>
        <v>7.5935614511821861E-2</v>
      </c>
    </row>
    <row r="23" spans="1:12" x14ac:dyDescent="0.25">
      <c r="A23" t="s">
        <v>111</v>
      </c>
      <c r="B23" t="s">
        <v>110</v>
      </c>
      <c r="C23">
        <v>17572286</v>
      </c>
      <c r="E23">
        <v>3706.6820178026692</v>
      </c>
      <c r="F23">
        <v>2.0000000000000001E-4</v>
      </c>
      <c r="G23">
        <v>3896.0323327387514</v>
      </c>
      <c r="H23">
        <v>2537466</v>
      </c>
      <c r="I23">
        <v>1.5354027729785351E-3</v>
      </c>
      <c r="K23" s="108">
        <f t="shared" ref="K23:K28" si="2">E23/$E$30</f>
        <v>0.23140936295061112</v>
      </c>
      <c r="L23" s="108">
        <f t="shared" ref="L23:L28" si="3">G23/$G$30</f>
        <v>1.855957307450919E-2</v>
      </c>
    </row>
    <row r="24" spans="1:12" x14ac:dyDescent="0.25">
      <c r="A24" t="s">
        <v>121</v>
      </c>
      <c r="B24" t="s">
        <v>113</v>
      </c>
      <c r="C24">
        <v>93983144</v>
      </c>
      <c r="D24">
        <v>235544</v>
      </c>
      <c r="E24">
        <v>3168.5437166221873</v>
      </c>
      <c r="F24">
        <v>1.35E-2</v>
      </c>
      <c r="G24">
        <v>135070.73923497304</v>
      </c>
      <c r="H24">
        <v>220475.85363707345</v>
      </c>
      <c r="I24">
        <v>0.61263279858897268</v>
      </c>
      <c r="K24" s="108">
        <f t="shared" si="2"/>
        <v>0.19781321392638992</v>
      </c>
      <c r="L24" s="108">
        <f t="shared" si="3"/>
        <v>0.64343800075633373</v>
      </c>
    </row>
    <row r="25" spans="1:12" x14ac:dyDescent="0.25">
      <c r="A25" t="s">
        <v>95</v>
      </c>
      <c r="B25" t="s">
        <v>113</v>
      </c>
      <c r="C25">
        <v>34298990</v>
      </c>
      <c r="D25">
        <v>63856</v>
      </c>
      <c r="E25">
        <v>-304.75076859247793</v>
      </c>
      <c r="F25">
        <v>-4.7999999999999996E-3</v>
      </c>
      <c r="G25">
        <v>52662.764356363041</v>
      </c>
      <c r="H25">
        <v>63856</v>
      </c>
      <c r="I25">
        <v>0.82471129347849914</v>
      </c>
      <c r="K25" s="108">
        <f t="shared" si="2"/>
        <v>-1.9025689519626007E-2</v>
      </c>
      <c r="L25" s="108">
        <f t="shared" si="3"/>
        <v>0.2508702033000087</v>
      </c>
    </row>
    <row r="26" spans="1:12" x14ac:dyDescent="0.25">
      <c r="A26" t="s">
        <v>116</v>
      </c>
      <c r="B26" t="s">
        <v>110</v>
      </c>
      <c r="C26">
        <v>336500</v>
      </c>
      <c r="E26">
        <v>-29.725146166403619</v>
      </c>
      <c r="F26">
        <v>-1E-4</v>
      </c>
      <c r="G26">
        <v>98.01550681863074</v>
      </c>
      <c r="H26">
        <v>63837</v>
      </c>
      <c r="I26">
        <v>1.5354027729785351E-3</v>
      </c>
      <c r="K26" s="108">
        <f t="shared" si="2"/>
        <v>-1.8557505350995712E-3</v>
      </c>
      <c r="L26" s="108">
        <f t="shared" si="3"/>
        <v>4.6691757302657179E-4</v>
      </c>
    </row>
    <row r="27" spans="1:12" x14ac:dyDescent="0.25">
      <c r="A27" t="s">
        <v>118</v>
      </c>
      <c r="B27" t="s">
        <v>113</v>
      </c>
      <c r="C27">
        <v>41908</v>
      </c>
      <c r="D27">
        <v>117</v>
      </c>
      <c r="E27">
        <v>9.9576196521480682</v>
      </c>
      <c r="F27">
        <v>8.5099999999999995E-2</v>
      </c>
      <c r="G27">
        <v>13.603668568589821</v>
      </c>
      <c r="H27">
        <v>24.735611339123793</v>
      </c>
      <c r="I27">
        <v>0.54996290094003808</v>
      </c>
      <c r="K27" s="108">
        <f t="shared" si="2"/>
        <v>6.2165743086159235E-4</v>
      </c>
      <c r="L27" s="108">
        <f t="shared" si="3"/>
        <v>6.4803949073663025E-5</v>
      </c>
    </row>
    <row r="28" spans="1:12" x14ac:dyDescent="0.25">
      <c r="A28" t="s">
        <v>119</v>
      </c>
      <c r="B28" t="s">
        <v>113</v>
      </c>
      <c r="C28">
        <v>1458104</v>
      </c>
      <c r="D28">
        <v>4316</v>
      </c>
      <c r="E28">
        <v>277.57011447026434</v>
      </c>
      <c r="F28">
        <v>6.4299999999999996E-2</v>
      </c>
      <c r="G28">
        <v>2238.7769248910936</v>
      </c>
      <c r="H28">
        <v>4316</v>
      </c>
      <c r="I28">
        <v>0.51871569158737107</v>
      </c>
      <c r="K28" s="108">
        <f t="shared" si="2"/>
        <v>1.732879244974166E-2</v>
      </c>
      <c r="L28" s="108">
        <f t="shared" si="3"/>
        <v>1.0664886835226223E-2</v>
      </c>
    </row>
    <row r="29" spans="1:12" x14ac:dyDescent="0.25">
      <c r="A29" t="s">
        <v>120</v>
      </c>
      <c r="K29" s="108"/>
      <c r="L29" s="108"/>
    </row>
    <row r="30" spans="1:12" x14ac:dyDescent="0.25">
      <c r="A30" t="s">
        <v>32</v>
      </c>
      <c r="C30">
        <v>205251886</v>
      </c>
      <c r="D30">
        <v>303833</v>
      </c>
      <c r="E30">
        <v>16017.85671305691</v>
      </c>
      <c r="G30">
        <v>209920.36385200001</v>
      </c>
      <c r="H30">
        <v>13271897.589248413</v>
      </c>
      <c r="K30" s="108"/>
      <c r="L30" s="10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3"/>
  <sheetViews>
    <sheetView zoomScale="110" zoomScaleNormal="110" workbookViewId="0">
      <pane xSplit="3" ySplit="6" topLeftCell="F7" activePane="bottomRight" state="frozen"/>
      <selection activeCell="N22" sqref="N22"/>
      <selection pane="topRight" activeCell="N22" sqref="N22"/>
      <selection pane="bottomLeft" activeCell="N22" sqref="N22"/>
      <selection pane="bottomRight" activeCell="N22" sqref="N22"/>
    </sheetView>
  </sheetViews>
  <sheetFormatPr defaultRowHeight="15" x14ac:dyDescent="0.25"/>
  <cols>
    <col min="1" max="1" width="5.85546875" style="225" customWidth="1"/>
    <col min="3" max="3" width="42.85546875" bestFit="1" customWidth="1"/>
    <col min="4" max="14" width="14.7109375" customWidth="1"/>
  </cols>
  <sheetData>
    <row r="1" spans="1:16" ht="21" x14ac:dyDescent="0.35">
      <c r="A1" s="226" t="s">
        <v>34</v>
      </c>
    </row>
    <row r="2" spans="1:16" ht="21" x14ac:dyDescent="0.35">
      <c r="A2" s="226" t="s">
        <v>170</v>
      </c>
    </row>
    <row r="3" spans="1:16" ht="21.75" thickBot="1" x14ac:dyDescent="0.4">
      <c r="A3" s="227" t="s">
        <v>173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5" spans="1:16" s="83" customFormat="1" ht="30" x14ac:dyDescent="0.25">
      <c r="A5" s="285" t="s">
        <v>73</v>
      </c>
      <c r="B5" s="282" t="s">
        <v>21</v>
      </c>
      <c r="C5" s="282" t="s">
        <v>22</v>
      </c>
      <c r="D5" s="282" t="s">
        <v>80</v>
      </c>
      <c r="E5" s="282"/>
      <c r="F5" s="282" t="s">
        <v>79</v>
      </c>
      <c r="G5" s="282"/>
      <c r="H5" s="282" t="s">
        <v>149</v>
      </c>
      <c r="I5" s="282"/>
      <c r="J5" s="282" t="s">
        <v>67</v>
      </c>
      <c r="K5" s="282"/>
      <c r="L5" s="231" t="s">
        <v>81</v>
      </c>
      <c r="M5" s="231" t="s">
        <v>82</v>
      </c>
      <c r="N5" s="283" t="s">
        <v>68</v>
      </c>
    </row>
    <row r="6" spans="1:16" s="83" customFormat="1" x14ac:dyDescent="0.25">
      <c r="A6" s="286"/>
      <c r="B6" s="287"/>
      <c r="C6" s="287"/>
      <c r="D6" s="234" t="s">
        <v>25</v>
      </c>
      <c r="E6" s="234" t="s">
        <v>26</v>
      </c>
      <c r="F6" s="234" t="s">
        <v>25</v>
      </c>
      <c r="G6" s="234" t="s">
        <v>26</v>
      </c>
      <c r="H6" s="234" t="s">
        <v>25</v>
      </c>
      <c r="I6" s="234" t="s">
        <v>26</v>
      </c>
      <c r="J6" s="234" t="s">
        <v>25</v>
      </c>
      <c r="K6" s="234" t="s">
        <v>26</v>
      </c>
      <c r="L6" s="234" t="s">
        <v>26</v>
      </c>
      <c r="M6" s="234" t="s">
        <v>26</v>
      </c>
      <c r="N6" s="284"/>
    </row>
    <row r="7" spans="1:16" ht="15.75" x14ac:dyDescent="0.25">
      <c r="A7" s="235">
        <v>1</v>
      </c>
      <c r="B7" s="236" t="s">
        <v>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37"/>
    </row>
    <row r="8" spans="1:16" x14ac:dyDescent="0.25">
      <c r="A8" s="123">
        <f>A7+1</f>
        <v>2</v>
      </c>
      <c r="B8" s="2">
        <v>1550</v>
      </c>
      <c r="C8" s="2" t="s">
        <v>1</v>
      </c>
      <c r="D8" s="228">
        <f>'1. Deferral Continuity'!AP9</f>
        <v>918252.42999999993</v>
      </c>
      <c r="E8" s="228">
        <f>'1. Deferral Continuity'!AT9</f>
        <v>19417.97</v>
      </c>
      <c r="F8" s="228">
        <v>602078.55999999994</v>
      </c>
      <c r="G8" s="228">
        <v>7507.5665565753388</v>
      </c>
      <c r="H8" s="228"/>
      <c r="I8" s="228"/>
      <c r="J8" s="228">
        <f>D8-F8+H8</f>
        <v>316173.87</v>
      </c>
      <c r="K8" s="228">
        <f>E8-G8+I8</f>
        <v>11910.403443424662</v>
      </c>
      <c r="L8" s="228">
        <f>J8*1.1%</f>
        <v>3477.9125700000004</v>
      </c>
      <c r="M8" s="228">
        <f>J8*1.1%*4/12</f>
        <v>1159.3041900000001</v>
      </c>
      <c r="N8" s="232">
        <f>SUM(J8:M8)</f>
        <v>332721.49020342465</v>
      </c>
      <c r="P8" s="84"/>
    </row>
    <row r="9" spans="1:16" x14ac:dyDescent="0.25">
      <c r="A9" s="123">
        <f t="shared" ref="A9:A42" si="0">A8+1</f>
        <v>3</v>
      </c>
      <c r="B9" s="2">
        <v>1551</v>
      </c>
      <c r="C9" s="2" t="s">
        <v>2</v>
      </c>
      <c r="D9" s="228">
        <f>'1. Deferral Continuity'!AP10</f>
        <v>25330.2</v>
      </c>
      <c r="E9" s="228">
        <f>'1. Deferral Continuity'!AT10</f>
        <v>-21.88</v>
      </c>
      <c r="F9" s="228">
        <v>28530.87</v>
      </c>
      <c r="G9" s="228">
        <v>-11.169999999999996</v>
      </c>
      <c r="H9" s="228"/>
      <c r="I9" s="228"/>
      <c r="J9" s="228">
        <f t="shared" ref="J9:K16" si="1">D9-F9+H9</f>
        <v>-3200.6699999999983</v>
      </c>
      <c r="K9" s="228">
        <f t="shared" si="1"/>
        <v>-10.710000000000003</v>
      </c>
      <c r="L9" s="228">
        <f t="shared" ref="L9:L15" si="2">J9*1.1%</f>
        <v>-35.207369999999983</v>
      </c>
      <c r="M9" s="228">
        <f t="shared" ref="M9:M15" si="3">J9*1.1%*4/12</f>
        <v>-11.735789999999994</v>
      </c>
      <c r="N9" s="232">
        <f t="shared" ref="N9:N15" si="4">SUM(J9:M9)</f>
        <v>-3258.3231599999986</v>
      </c>
    </row>
    <row r="10" spans="1:16" x14ac:dyDescent="0.25">
      <c r="A10" s="123">
        <f t="shared" si="0"/>
        <v>4</v>
      </c>
      <c r="B10" s="2">
        <v>1568</v>
      </c>
      <c r="C10" s="2" t="s">
        <v>3</v>
      </c>
      <c r="D10" s="228">
        <f>'1. Deferral Continuity'!AP11</f>
        <v>270310.34000000003</v>
      </c>
      <c r="E10" s="228">
        <f>'1. Deferral Continuity'!AT11</f>
        <v>2761.46</v>
      </c>
      <c r="F10" s="228">
        <v>120758.26</v>
      </c>
      <c r="G10" s="228">
        <v>3197</v>
      </c>
      <c r="H10" s="229">
        <f>(183102.8+24869.8)-D10+F10</f>
        <v>58420.519999999946</v>
      </c>
      <c r="I10" s="229">
        <f>(564.49+4151.89)-E10+G10</f>
        <v>5151.92</v>
      </c>
      <c r="J10" s="228">
        <f t="shared" si="1"/>
        <v>207972.59999999998</v>
      </c>
      <c r="K10" s="228">
        <f t="shared" si="1"/>
        <v>4716.38</v>
      </c>
      <c r="L10" s="228"/>
      <c r="M10" s="228"/>
      <c r="N10" s="232">
        <f t="shared" si="4"/>
        <v>212688.97999999998</v>
      </c>
    </row>
    <row r="11" spans="1:16" x14ac:dyDescent="0.25">
      <c r="A11" s="123">
        <f t="shared" si="0"/>
        <v>5</v>
      </c>
      <c r="B11" s="2">
        <v>1580</v>
      </c>
      <c r="C11" s="2" t="s">
        <v>4</v>
      </c>
      <c r="D11" s="228">
        <f>'1. Deferral Continuity'!AP12</f>
        <v>-1273946.3700000001</v>
      </c>
      <c r="E11" s="228">
        <f>'1. Deferral Continuity'!AT12</f>
        <v>-35024.19</v>
      </c>
      <c r="F11" s="228">
        <v>-1213938.9800000002</v>
      </c>
      <c r="G11" s="228">
        <v>-21941.571352000014</v>
      </c>
      <c r="H11" s="228"/>
      <c r="I11" s="228"/>
      <c r="J11" s="228">
        <f t="shared" si="1"/>
        <v>-60007.389999999898</v>
      </c>
      <c r="K11" s="228">
        <f t="shared" si="1"/>
        <v>-13082.618647999989</v>
      </c>
      <c r="L11" s="228">
        <f t="shared" si="2"/>
        <v>-660.08128999999894</v>
      </c>
      <c r="M11" s="228">
        <f t="shared" si="3"/>
        <v>-220.02709666666632</v>
      </c>
      <c r="N11" s="232">
        <f t="shared" si="4"/>
        <v>-73970.11703466656</v>
      </c>
    </row>
    <row r="12" spans="1:16" x14ac:dyDescent="0.25">
      <c r="A12" s="123">
        <f t="shared" si="0"/>
        <v>6</v>
      </c>
      <c r="B12" s="2">
        <v>1584</v>
      </c>
      <c r="C12" s="2" t="s">
        <v>5</v>
      </c>
      <c r="D12" s="228">
        <f>'1. Deferral Continuity'!AP13</f>
        <v>361906.03</v>
      </c>
      <c r="E12" s="228">
        <f>'1. Deferral Continuity'!AT13</f>
        <v>11889.67</v>
      </c>
      <c r="F12" s="228">
        <v>335950.39</v>
      </c>
      <c r="G12" s="228">
        <v>4903.7993960000031</v>
      </c>
      <c r="H12" s="228"/>
      <c r="I12" s="228"/>
      <c r="J12" s="228">
        <f t="shared" si="1"/>
        <v>25955.640000000014</v>
      </c>
      <c r="K12" s="228">
        <f t="shared" si="1"/>
        <v>6985.870603999997</v>
      </c>
      <c r="L12" s="228">
        <f t="shared" si="2"/>
        <v>285.51204000000018</v>
      </c>
      <c r="M12" s="228">
        <f t="shared" si="3"/>
        <v>95.170680000000061</v>
      </c>
      <c r="N12" s="232">
        <f t="shared" si="4"/>
        <v>33322.193324000014</v>
      </c>
    </row>
    <row r="13" spans="1:16" x14ac:dyDescent="0.25">
      <c r="A13" s="123">
        <f t="shared" si="0"/>
        <v>7</v>
      </c>
      <c r="B13" s="2">
        <v>1586</v>
      </c>
      <c r="C13" s="2" t="s">
        <v>6</v>
      </c>
      <c r="D13" s="228">
        <f>'1. Deferral Continuity'!AP14</f>
        <v>1807394.19</v>
      </c>
      <c r="E13" s="228">
        <f>'1. Deferral Continuity'!AT14</f>
        <v>35045.69</v>
      </c>
      <c r="F13" s="228">
        <v>1130335.2839999998</v>
      </c>
      <c r="G13" s="228">
        <v>14050.570080000009</v>
      </c>
      <c r="H13" s="228"/>
      <c r="I13" s="228"/>
      <c r="J13" s="228">
        <f t="shared" si="1"/>
        <v>677058.90600000019</v>
      </c>
      <c r="K13" s="228">
        <f t="shared" si="1"/>
        <v>20995.119919999994</v>
      </c>
      <c r="L13" s="228">
        <f t="shared" si="2"/>
        <v>7447.6479660000032</v>
      </c>
      <c r="M13" s="228">
        <f t="shared" si="3"/>
        <v>2482.5493220000012</v>
      </c>
      <c r="N13" s="232">
        <f t="shared" si="4"/>
        <v>707984.22320800018</v>
      </c>
    </row>
    <row r="14" spans="1:16" x14ac:dyDescent="0.25">
      <c r="A14" s="123">
        <f t="shared" si="0"/>
        <v>8</v>
      </c>
      <c r="B14" s="2">
        <v>1588</v>
      </c>
      <c r="C14" s="2" t="s">
        <v>7</v>
      </c>
      <c r="D14" s="228">
        <f>'1. Deferral Continuity'!AP15</f>
        <v>1272890.95</v>
      </c>
      <c r="E14" s="228">
        <f>'1. Deferral Continuity'!AT15</f>
        <v>39088.79</v>
      </c>
      <c r="F14" s="228">
        <v>894354.3200000003</v>
      </c>
      <c r="G14" s="228">
        <v>14338.553967999977</v>
      </c>
      <c r="H14" s="228"/>
      <c r="I14" s="228"/>
      <c r="J14" s="228">
        <f t="shared" si="1"/>
        <v>378536.62999999966</v>
      </c>
      <c r="K14" s="228">
        <f t="shared" si="1"/>
        <v>24750.236032000023</v>
      </c>
      <c r="L14" s="228">
        <f t="shared" si="2"/>
        <v>4163.9029299999966</v>
      </c>
      <c r="M14" s="228">
        <f t="shared" si="3"/>
        <v>1387.9676433333323</v>
      </c>
      <c r="N14" s="232">
        <f t="shared" si="4"/>
        <v>408838.73660533299</v>
      </c>
    </row>
    <row r="15" spans="1:16" x14ac:dyDescent="0.25">
      <c r="A15" s="123">
        <f t="shared" si="0"/>
        <v>9</v>
      </c>
      <c r="B15" s="2">
        <v>1589</v>
      </c>
      <c r="C15" s="2" t="s">
        <v>8</v>
      </c>
      <c r="D15" s="228">
        <f>'1. Deferral Continuity'!AP16</f>
        <v>2202326.0099999998</v>
      </c>
      <c r="E15" s="228">
        <f>'1. Deferral Continuity'!AT16</f>
        <v>32079.94</v>
      </c>
      <c r="F15" s="228">
        <v>440766.35000000027</v>
      </c>
      <c r="G15" s="228">
        <v>6805.3235480000121</v>
      </c>
      <c r="H15" s="228"/>
      <c r="I15" s="228"/>
      <c r="J15" s="228">
        <f t="shared" si="1"/>
        <v>1761559.6599999995</v>
      </c>
      <c r="K15" s="228">
        <f t="shared" si="1"/>
        <v>25274.616451999987</v>
      </c>
      <c r="L15" s="228">
        <f t="shared" si="2"/>
        <v>19377.156259999996</v>
      </c>
      <c r="M15" s="228">
        <f t="shared" si="3"/>
        <v>6459.0520866666657</v>
      </c>
      <c r="N15" s="232">
        <f t="shared" si="4"/>
        <v>1812670.4847986661</v>
      </c>
    </row>
    <row r="16" spans="1:16" x14ac:dyDescent="0.25">
      <c r="A16" s="123">
        <f t="shared" si="0"/>
        <v>10</v>
      </c>
      <c r="B16" s="2">
        <v>1590</v>
      </c>
      <c r="C16" s="2" t="s">
        <v>9</v>
      </c>
      <c r="D16" s="228">
        <f>'1. Deferral Continuity'!AP17</f>
        <v>29050.450000000026</v>
      </c>
      <c r="E16" s="228">
        <f>'1. Deferral Continuity'!AT17</f>
        <v>0</v>
      </c>
      <c r="F16" s="228">
        <v>29050.450000000015</v>
      </c>
      <c r="G16" s="228">
        <v>0</v>
      </c>
      <c r="H16" s="228"/>
      <c r="I16" s="228"/>
      <c r="J16" s="228">
        <f t="shared" si="1"/>
        <v>1.0913936421275139E-11</v>
      </c>
      <c r="K16" s="228">
        <f t="shared" si="1"/>
        <v>0</v>
      </c>
      <c r="L16" s="228">
        <f t="shared" ref="L16" si="5">J16*1.1%</f>
        <v>1.2005330063402653E-13</v>
      </c>
      <c r="M16" s="228">
        <f t="shared" ref="M16" si="6">J16*1.1%*4/12</f>
        <v>4.0017766878008846E-14</v>
      </c>
      <c r="N16" s="232">
        <f t="shared" ref="N16" si="7">SUM(J16:M16)</f>
        <v>1.1074007488787174E-11</v>
      </c>
    </row>
    <row r="17" spans="1:16" x14ac:dyDescent="0.25">
      <c r="A17" s="123">
        <f t="shared" si="0"/>
        <v>11</v>
      </c>
      <c r="B17" s="2">
        <v>1595</v>
      </c>
      <c r="C17" s="2" t="s">
        <v>9</v>
      </c>
      <c r="D17" s="228"/>
      <c r="E17" s="228"/>
      <c r="F17" s="2"/>
      <c r="G17" s="228"/>
      <c r="H17" s="228"/>
      <c r="I17" s="228"/>
      <c r="J17" s="228"/>
      <c r="K17" s="228"/>
      <c r="L17" s="228"/>
      <c r="M17" s="228"/>
      <c r="N17" s="232"/>
    </row>
    <row r="18" spans="1:16" x14ac:dyDescent="0.25">
      <c r="A18" s="123">
        <f>A17+1</f>
        <v>12</v>
      </c>
      <c r="B18" s="2"/>
      <c r="C18" s="230" t="s">
        <v>74</v>
      </c>
      <c r="D18" s="228">
        <v>-351232.56000000006</v>
      </c>
      <c r="E18" s="228">
        <v>0</v>
      </c>
      <c r="F18" s="228">
        <v>-351462.75000000006</v>
      </c>
      <c r="G18" s="228">
        <v>0</v>
      </c>
      <c r="H18" s="228">
        <v>-230.19</v>
      </c>
      <c r="I18" s="228"/>
      <c r="J18" s="228">
        <f t="shared" ref="J18:J22" si="8">D18-F18+H18</f>
        <v>2.3305801732931286E-12</v>
      </c>
      <c r="K18" s="228">
        <f t="shared" ref="K18:K22" si="9">E18-G18+I18</f>
        <v>0</v>
      </c>
      <c r="L18" s="228">
        <v>0</v>
      </c>
      <c r="M18" s="228">
        <v>0</v>
      </c>
      <c r="N18" s="232">
        <f t="shared" ref="N18:N22" si="10">SUM(J18:M18)</f>
        <v>2.3305801732931286E-12</v>
      </c>
    </row>
    <row r="19" spans="1:16" x14ac:dyDescent="0.25">
      <c r="A19" s="123">
        <f t="shared" ref="A19:A22" si="11">A18+1</f>
        <v>13</v>
      </c>
      <c r="B19" s="2"/>
      <c r="C19" s="230" t="s">
        <v>75</v>
      </c>
      <c r="D19" s="228">
        <v>-115634.06000000006</v>
      </c>
      <c r="E19" s="228">
        <v>0</v>
      </c>
      <c r="F19" s="228"/>
      <c r="G19" s="228"/>
      <c r="H19" s="228"/>
      <c r="I19" s="228"/>
      <c r="J19" s="228">
        <f t="shared" si="8"/>
        <v>-115634.06000000006</v>
      </c>
      <c r="K19" s="228">
        <f t="shared" si="9"/>
        <v>0</v>
      </c>
      <c r="L19" s="228">
        <v>0</v>
      </c>
      <c r="M19" s="228">
        <v>0</v>
      </c>
      <c r="N19" s="232">
        <f t="shared" si="10"/>
        <v>-115634.06000000006</v>
      </c>
    </row>
    <row r="20" spans="1:16" x14ac:dyDescent="0.25">
      <c r="A20" s="123">
        <f t="shared" si="11"/>
        <v>14</v>
      </c>
      <c r="B20" s="2"/>
      <c r="C20" s="230" t="s">
        <v>76</v>
      </c>
      <c r="D20" s="228">
        <v>-40124.310000000012</v>
      </c>
      <c r="E20" s="228">
        <v>0</v>
      </c>
      <c r="F20" s="228"/>
      <c r="G20" s="228"/>
      <c r="H20" s="228">
        <f>-D20</f>
        <v>40124.310000000012</v>
      </c>
      <c r="I20" s="228">
        <f>-E20</f>
        <v>0</v>
      </c>
      <c r="J20" s="228">
        <f t="shared" si="8"/>
        <v>0</v>
      </c>
      <c r="K20" s="228">
        <f t="shared" si="9"/>
        <v>0</v>
      </c>
      <c r="L20" s="228">
        <v>0</v>
      </c>
      <c r="M20" s="228">
        <v>0</v>
      </c>
      <c r="N20" s="232">
        <f t="shared" si="10"/>
        <v>0</v>
      </c>
    </row>
    <row r="21" spans="1:16" x14ac:dyDescent="0.25">
      <c r="A21" s="123">
        <f t="shared" si="11"/>
        <v>15</v>
      </c>
      <c r="B21" s="2"/>
      <c r="C21" s="230" t="s">
        <v>77</v>
      </c>
      <c r="D21" s="228">
        <v>0</v>
      </c>
      <c r="E21" s="228">
        <v>0</v>
      </c>
      <c r="F21" s="228"/>
      <c r="G21" s="228"/>
      <c r="H21" s="228">
        <f t="shared" ref="H21:I22" si="12">-D21</f>
        <v>0</v>
      </c>
      <c r="I21" s="228">
        <f t="shared" si="12"/>
        <v>0</v>
      </c>
      <c r="J21" s="228">
        <f t="shared" si="8"/>
        <v>0</v>
      </c>
      <c r="K21" s="228">
        <f t="shared" si="9"/>
        <v>0</v>
      </c>
      <c r="L21" s="228">
        <v>0</v>
      </c>
      <c r="M21" s="228">
        <v>0</v>
      </c>
      <c r="N21" s="232">
        <f t="shared" si="10"/>
        <v>0</v>
      </c>
    </row>
    <row r="22" spans="1:16" x14ac:dyDescent="0.25">
      <c r="A22" s="123">
        <f t="shared" si="11"/>
        <v>16</v>
      </c>
      <c r="B22" s="3"/>
      <c r="C22" s="238" t="s">
        <v>78</v>
      </c>
      <c r="D22" s="239">
        <v>79297.549999999988</v>
      </c>
      <c r="E22" s="239">
        <v>0</v>
      </c>
      <c r="F22" s="239"/>
      <c r="G22" s="239"/>
      <c r="H22" s="239">
        <f t="shared" si="12"/>
        <v>-79297.549999999988</v>
      </c>
      <c r="I22" s="239">
        <f t="shared" si="12"/>
        <v>0</v>
      </c>
      <c r="J22" s="239">
        <f t="shared" si="8"/>
        <v>0</v>
      </c>
      <c r="K22" s="239">
        <f t="shared" si="9"/>
        <v>0</v>
      </c>
      <c r="L22" s="239">
        <v>0</v>
      </c>
      <c r="M22" s="239">
        <v>0</v>
      </c>
      <c r="N22" s="240">
        <f t="shared" si="10"/>
        <v>0</v>
      </c>
    </row>
    <row r="23" spans="1:16" x14ac:dyDescent="0.25">
      <c r="A23" s="241">
        <f>A22+1</f>
        <v>17</v>
      </c>
      <c r="B23" s="4"/>
      <c r="C23" s="4" t="s">
        <v>10</v>
      </c>
      <c r="D23" s="85">
        <f>SUM(D8:D22)</f>
        <v>5185820.8499999996</v>
      </c>
      <c r="E23" s="85">
        <f t="shared" ref="E23:N23" si="13">SUM(E8:E22)</f>
        <v>105237.45000000001</v>
      </c>
      <c r="F23" s="85">
        <f t="shared" si="13"/>
        <v>2016422.7540000002</v>
      </c>
      <c r="G23" s="85">
        <f t="shared" si="13"/>
        <v>28850.072196575326</v>
      </c>
      <c r="H23" s="85">
        <f t="shared" si="13"/>
        <v>19017.089999999967</v>
      </c>
      <c r="I23" s="85">
        <f t="shared" si="13"/>
        <v>5151.92</v>
      </c>
      <c r="J23" s="85">
        <f t="shared" si="13"/>
        <v>3188415.1859999993</v>
      </c>
      <c r="K23" s="85">
        <f t="shared" si="13"/>
        <v>81539.297803424677</v>
      </c>
      <c r="L23" s="85">
        <f t="shared" si="13"/>
        <v>34056.843106</v>
      </c>
      <c r="M23" s="85">
        <f t="shared" si="13"/>
        <v>11352.281035333333</v>
      </c>
      <c r="N23" s="242">
        <f t="shared" si="13"/>
        <v>3315363.6079447572</v>
      </c>
    </row>
    <row r="24" spans="1:16" ht="15.75" x14ac:dyDescent="0.25">
      <c r="A24" s="235">
        <f t="shared" si="0"/>
        <v>18</v>
      </c>
      <c r="B24" s="236" t="s">
        <v>11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37"/>
    </row>
    <row r="25" spans="1:16" x14ac:dyDescent="0.25">
      <c r="A25" s="123">
        <f t="shared" si="0"/>
        <v>19</v>
      </c>
      <c r="B25" s="2">
        <v>1508</v>
      </c>
      <c r="C25" s="2" t="s">
        <v>12</v>
      </c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32"/>
    </row>
    <row r="26" spans="1:16" x14ac:dyDescent="0.25">
      <c r="A26" s="123">
        <f t="shared" ref="A26:A31" si="14">A25+1</f>
        <v>20</v>
      </c>
      <c r="B26" s="2"/>
      <c r="C26" s="230" t="s">
        <v>72</v>
      </c>
      <c r="D26" s="228">
        <f>'1. Deferral Continuity'!AP22</f>
        <v>48836.960000000065</v>
      </c>
      <c r="E26" s="228">
        <f>'1. Deferral Continuity'!AT22</f>
        <v>-4.5474735088646412E-13</v>
      </c>
      <c r="F26" s="228">
        <v>0</v>
      </c>
      <c r="G26" s="228">
        <v>0</v>
      </c>
      <c r="H26" s="228">
        <f>-D26</f>
        <v>-48836.960000000065</v>
      </c>
      <c r="I26" s="228">
        <f>-E26</f>
        <v>4.5474735088646412E-13</v>
      </c>
      <c r="J26" s="228">
        <f t="shared" ref="J26:K31" si="15">D26-F26+H26</f>
        <v>0</v>
      </c>
      <c r="K26" s="228">
        <f t="shared" si="15"/>
        <v>0</v>
      </c>
      <c r="L26" s="228">
        <f>J26*1.1%</f>
        <v>0</v>
      </c>
      <c r="M26" s="228">
        <f>J26*1.1%*4/12</f>
        <v>0</v>
      </c>
      <c r="N26" s="233">
        <f t="shared" ref="N26:N31" si="16">SUM(J26:M26)</f>
        <v>0</v>
      </c>
    </row>
    <row r="27" spans="1:16" x14ac:dyDescent="0.25">
      <c r="A27" s="123">
        <f t="shared" si="14"/>
        <v>21</v>
      </c>
      <c r="B27" s="2"/>
      <c r="C27" s="230" t="s">
        <v>90</v>
      </c>
      <c r="D27" s="228">
        <f>'1. Deferral Continuity'!AP23</f>
        <v>16194.16</v>
      </c>
      <c r="E27" s="228">
        <f>'1. Deferral Continuity'!AT23</f>
        <v>179.71</v>
      </c>
      <c r="F27" s="228">
        <v>0</v>
      </c>
      <c r="G27" s="228">
        <v>0</v>
      </c>
      <c r="H27" s="228"/>
      <c r="I27" s="228"/>
      <c r="J27" s="228">
        <f t="shared" si="15"/>
        <v>16194.16</v>
      </c>
      <c r="K27" s="228">
        <f t="shared" si="15"/>
        <v>179.71</v>
      </c>
      <c r="L27" s="228">
        <f>J27*1.1%</f>
        <v>178.13576</v>
      </c>
      <c r="M27" s="228">
        <f>J27*1.1%*4/12</f>
        <v>59.378586666666671</v>
      </c>
      <c r="N27" s="233">
        <f t="shared" si="16"/>
        <v>16611.384346666666</v>
      </c>
    </row>
    <row r="28" spans="1:16" x14ac:dyDescent="0.25">
      <c r="A28" s="123">
        <f t="shared" si="14"/>
        <v>22</v>
      </c>
      <c r="B28" s="2"/>
      <c r="C28" s="230" t="s">
        <v>69</v>
      </c>
      <c r="D28" s="228">
        <f>'1. Deferral Continuity'!AP24</f>
        <v>17690</v>
      </c>
      <c r="E28" s="228">
        <f>'1. Deferral Continuity'!AT24</f>
        <v>438.44</v>
      </c>
      <c r="F28" s="228">
        <v>17773.849999999999</v>
      </c>
      <c r="G28" s="228">
        <v>1214.4100000000001</v>
      </c>
      <c r="H28" s="228">
        <f>16320.23+83.85</f>
        <v>16404.079999999998</v>
      </c>
      <c r="I28" s="228">
        <f>384.41+775.97</f>
        <v>1160.3800000000001</v>
      </c>
      <c r="J28" s="228">
        <f t="shared" si="15"/>
        <v>16320.23</v>
      </c>
      <c r="K28" s="228">
        <f t="shared" si="15"/>
        <v>384.41000000000008</v>
      </c>
      <c r="L28" s="228"/>
      <c r="M28" s="228"/>
      <c r="N28" s="233">
        <f t="shared" si="16"/>
        <v>16704.64</v>
      </c>
      <c r="O28" s="84"/>
      <c r="P28" s="84"/>
    </row>
    <row r="29" spans="1:16" x14ac:dyDescent="0.25">
      <c r="A29" s="123">
        <f t="shared" si="14"/>
        <v>23</v>
      </c>
      <c r="B29" s="2"/>
      <c r="C29" s="230" t="s">
        <v>87</v>
      </c>
      <c r="D29" s="228">
        <f>'1. Deferral Continuity'!AP25</f>
        <v>17474.96</v>
      </c>
      <c r="E29" s="228">
        <f>'1. Deferral Continuity'!AT25</f>
        <v>2661.03</v>
      </c>
      <c r="F29" s="228">
        <v>0</v>
      </c>
      <c r="G29" s="228">
        <v>0</v>
      </c>
      <c r="H29" s="228"/>
      <c r="I29" s="228"/>
      <c r="J29" s="228">
        <f t="shared" si="15"/>
        <v>17474.96</v>
      </c>
      <c r="K29" s="228">
        <f t="shared" si="15"/>
        <v>2661.03</v>
      </c>
      <c r="L29" s="228">
        <f>J29*1.1%</f>
        <v>192.22456</v>
      </c>
      <c r="M29" s="228">
        <f>J29*1.1%*4/12</f>
        <v>64.074853333333337</v>
      </c>
      <c r="N29" s="233">
        <f t="shared" si="16"/>
        <v>20392.289413333328</v>
      </c>
    </row>
    <row r="30" spans="1:16" x14ac:dyDescent="0.25">
      <c r="A30" s="123">
        <f t="shared" si="14"/>
        <v>24</v>
      </c>
      <c r="B30" s="2"/>
      <c r="C30" s="230" t="s">
        <v>89</v>
      </c>
      <c r="D30" s="228">
        <f>'1. Deferral Continuity'!AP26</f>
        <v>492995.33</v>
      </c>
      <c r="E30" s="228">
        <f>'1. Deferral Continuity'!AT26</f>
        <v>26429.66</v>
      </c>
      <c r="F30" s="228">
        <v>0</v>
      </c>
      <c r="G30" s="228">
        <v>0</v>
      </c>
      <c r="H30" s="228"/>
      <c r="I30" s="228"/>
      <c r="J30" s="228">
        <f t="shared" si="15"/>
        <v>492995.33</v>
      </c>
      <c r="K30" s="228">
        <f t="shared" si="15"/>
        <v>26429.66</v>
      </c>
      <c r="L30" s="228">
        <f>J30*1.1%</f>
        <v>5422.9486300000008</v>
      </c>
      <c r="M30" s="228">
        <f>J30*1.1%*4/12</f>
        <v>1807.6495433333337</v>
      </c>
      <c r="N30" s="233">
        <f t="shared" si="16"/>
        <v>526655.58817333332</v>
      </c>
    </row>
    <row r="31" spans="1:16" x14ac:dyDescent="0.25">
      <c r="A31" s="123">
        <f t="shared" si="14"/>
        <v>25</v>
      </c>
      <c r="B31" s="2"/>
      <c r="C31" s="230" t="s">
        <v>88</v>
      </c>
      <c r="D31" s="228">
        <f>'1. Deferral Continuity'!AP27</f>
        <v>29126.59</v>
      </c>
      <c r="E31" s="228">
        <f>'1. Deferral Continuity'!AT27</f>
        <v>4598.28</v>
      </c>
      <c r="F31" s="228">
        <v>0</v>
      </c>
      <c r="G31" s="228">
        <v>0</v>
      </c>
      <c r="H31" s="228"/>
      <c r="I31" s="228"/>
      <c r="J31" s="228">
        <f t="shared" si="15"/>
        <v>29126.59</v>
      </c>
      <c r="K31" s="228">
        <f t="shared" si="15"/>
        <v>4598.28</v>
      </c>
      <c r="L31" s="228">
        <f>J31*1.1%</f>
        <v>320.39249000000001</v>
      </c>
      <c r="M31" s="228">
        <f>J31*1.1%*4/12</f>
        <v>106.79749666666667</v>
      </c>
      <c r="N31" s="233">
        <f t="shared" si="16"/>
        <v>34152.059986666667</v>
      </c>
    </row>
    <row r="32" spans="1:16" x14ac:dyDescent="0.25">
      <c r="A32" s="123">
        <f t="shared" si="0"/>
        <v>26</v>
      </c>
      <c r="B32" s="2">
        <v>1518</v>
      </c>
      <c r="C32" s="2" t="s">
        <v>13</v>
      </c>
      <c r="D32" s="228">
        <f>'1. Deferral Continuity'!AP28</f>
        <v>-224138.85</v>
      </c>
      <c r="E32" s="228">
        <f>'1. Deferral Continuity'!AT28</f>
        <v>-12945.39</v>
      </c>
      <c r="F32" s="228"/>
      <c r="G32" s="228"/>
      <c r="H32" s="228"/>
      <c r="I32" s="228"/>
      <c r="J32" s="228">
        <f t="shared" ref="J32" si="17">D32-F32+H32</f>
        <v>-224138.85</v>
      </c>
      <c r="K32" s="228">
        <f t="shared" ref="K32" si="18">E32-G32+I32</f>
        <v>-12945.39</v>
      </c>
      <c r="L32" s="228">
        <f t="shared" ref="L32" si="19">J32*1.1%</f>
        <v>-2465.5273500000003</v>
      </c>
      <c r="M32" s="228">
        <f t="shared" ref="M32" si="20">J32*1.1%*4/12</f>
        <v>-821.8424500000001</v>
      </c>
      <c r="N32" s="233">
        <f t="shared" ref="N32" si="21">SUM(J32:M32)</f>
        <v>-240371.60979999998</v>
      </c>
    </row>
    <row r="33" spans="1:48" x14ac:dyDescent="0.25">
      <c r="A33" s="123">
        <f t="shared" si="0"/>
        <v>27</v>
      </c>
      <c r="B33" s="2">
        <v>1534</v>
      </c>
      <c r="C33" s="2" t="s">
        <v>14</v>
      </c>
      <c r="D33" s="228">
        <f>'1. Deferral Continuity'!AP29</f>
        <v>24697.909999999996</v>
      </c>
      <c r="E33" s="228">
        <f>'1. Deferral Continuity'!AT29</f>
        <v>57.129999999999889</v>
      </c>
      <c r="F33" s="228"/>
      <c r="G33" s="228"/>
      <c r="H33" s="228"/>
      <c r="I33" s="228"/>
      <c r="J33" s="228">
        <f t="shared" ref="J33:J37" si="22">D33-F33+H33</f>
        <v>24697.909999999996</v>
      </c>
      <c r="K33" s="228">
        <f t="shared" ref="K33:K37" si="23">E33-G33+I33</f>
        <v>57.129999999999889</v>
      </c>
      <c r="L33" s="228">
        <f t="shared" ref="L33:L37" si="24">J33*1.1%</f>
        <v>271.67701</v>
      </c>
      <c r="M33" s="228">
        <f t="shared" ref="M33:M37" si="25">J33*1.1%*4/12</f>
        <v>90.559003333333337</v>
      </c>
      <c r="N33" s="233">
        <f t="shared" ref="N33:N37" si="26">SUM(J33:M33)</f>
        <v>25117.276013333329</v>
      </c>
      <c r="AV33">
        <v>119308.22000000057</v>
      </c>
    </row>
    <row r="34" spans="1:48" x14ac:dyDescent="0.25">
      <c r="A34" s="123">
        <f t="shared" si="0"/>
        <v>28</v>
      </c>
      <c r="B34" s="2">
        <v>1548</v>
      </c>
      <c r="C34" s="2" t="s">
        <v>15</v>
      </c>
      <c r="D34" s="228">
        <f>'1. Deferral Continuity'!AP30</f>
        <v>147879.19</v>
      </c>
      <c r="E34" s="228">
        <f>'1. Deferral Continuity'!AT30</f>
        <v>10459.020000000004</v>
      </c>
      <c r="F34" s="228"/>
      <c r="G34" s="228"/>
      <c r="H34" s="228"/>
      <c r="I34" s="228"/>
      <c r="J34" s="228">
        <f t="shared" si="22"/>
        <v>147879.19</v>
      </c>
      <c r="K34" s="228">
        <f t="shared" si="23"/>
        <v>10459.020000000004</v>
      </c>
      <c r="L34" s="228">
        <f t="shared" si="24"/>
        <v>1626.6710900000003</v>
      </c>
      <c r="M34" s="228">
        <f t="shared" si="25"/>
        <v>542.2236966666668</v>
      </c>
      <c r="N34" s="233">
        <f t="shared" si="26"/>
        <v>160507.10478666666</v>
      </c>
    </row>
    <row r="35" spans="1:48" x14ac:dyDescent="0.25">
      <c r="A35" s="123">
        <f t="shared" si="0"/>
        <v>29</v>
      </c>
      <c r="B35" s="2">
        <v>1555</v>
      </c>
      <c r="C35" s="2" t="s">
        <v>16</v>
      </c>
      <c r="D35" s="228">
        <f>'1. Deferral Continuity'!AP31</f>
        <v>362515.2900000001</v>
      </c>
      <c r="E35" s="228">
        <f>'1. Deferral Continuity'!AT31</f>
        <v>0</v>
      </c>
      <c r="F35" s="228"/>
      <c r="G35" s="228"/>
      <c r="H35" s="229">
        <f>317140.83-362515.29</f>
        <v>-45374.459999999963</v>
      </c>
      <c r="I35" s="228"/>
      <c r="J35" s="228">
        <f t="shared" si="22"/>
        <v>317140.83000000013</v>
      </c>
      <c r="K35" s="228">
        <f t="shared" si="23"/>
        <v>0</v>
      </c>
      <c r="L35" s="228">
        <v>0</v>
      </c>
      <c r="M35" s="228">
        <v>0</v>
      </c>
      <c r="N35" s="233">
        <f t="shared" si="26"/>
        <v>317140.83000000013</v>
      </c>
    </row>
    <row r="36" spans="1:48" x14ac:dyDescent="0.25">
      <c r="A36" s="123">
        <f t="shared" si="0"/>
        <v>30</v>
      </c>
      <c r="B36" s="2">
        <v>1576</v>
      </c>
      <c r="C36" s="2" t="s">
        <v>17</v>
      </c>
      <c r="D36" s="228">
        <f>'1. Deferral Continuity'!AP32</f>
        <v>-2279996.2800000003</v>
      </c>
      <c r="E36" s="228">
        <f>'1. Deferral Continuity'!AT32</f>
        <v>0</v>
      </c>
      <c r="F36" s="228"/>
      <c r="G36" s="228"/>
      <c r="H36" s="229">
        <v>-1714753.7566208467</v>
      </c>
      <c r="I36" s="229"/>
      <c r="J36" s="228">
        <f t="shared" si="22"/>
        <v>-3994750.0366208469</v>
      </c>
      <c r="K36" s="228">
        <f t="shared" si="23"/>
        <v>0</v>
      </c>
      <c r="L36" s="228">
        <v>0</v>
      </c>
      <c r="M36" s="228">
        <v>0</v>
      </c>
      <c r="N36" s="233">
        <f t="shared" si="26"/>
        <v>-3994750.0366208469</v>
      </c>
    </row>
    <row r="37" spans="1:48" x14ac:dyDescent="0.25">
      <c r="A37" s="123">
        <f t="shared" si="0"/>
        <v>31</v>
      </c>
      <c r="B37" s="2">
        <v>1582</v>
      </c>
      <c r="C37" s="2" t="s">
        <v>18</v>
      </c>
      <c r="D37" s="228">
        <f>'1. Deferral Continuity'!AP33</f>
        <v>7540.1299999999974</v>
      </c>
      <c r="E37" s="228">
        <f>'1. Deferral Continuity'!AT33</f>
        <v>1893.6399999999994</v>
      </c>
      <c r="F37" s="228"/>
      <c r="G37" s="228"/>
      <c r="H37" s="228"/>
      <c r="I37" s="228"/>
      <c r="J37" s="228">
        <f t="shared" si="22"/>
        <v>7540.1299999999974</v>
      </c>
      <c r="K37" s="228">
        <f t="shared" si="23"/>
        <v>1893.6399999999994</v>
      </c>
      <c r="L37" s="228">
        <f t="shared" si="24"/>
        <v>82.941429999999983</v>
      </c>
      <c r="M37" s="228">
        <f t="shared" si="25"/>
        <v>27.647143333333329</v>
      </c>
      <c r="N37" s="233">
        <f t="shared" si="26"/>
        <v>9544.3585733333312</v>
      </c>
    </row>
    <row r="38" spans="1:48" x14ac:dyDescent="0.25">
      <c r="A38" s="123">
        <f t="shared" si="0"/>
        <v>32</v>
      </c>
      <c r="B38" s="2">
        <v>1592</v>
      </c>
      <c r="C38" s="2" t="s">
        <v>19</v>
      </c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33"/>
    </row>
    <row r="39" spans="1:48" x14ac:dyDescent="0.25">
      <c r="A39" s="123">
        <f>A38+1</f>
        <v>33</v>
      </c>
      <c r="B39" s="2"/>
      <c r="C39" s="230" t="s">
        <v>83</v>
      </c>
      <c r="D39" s="228">
        <f>'1. Deferral Continuity'!AP35</f>
        <v>-1619.8599999999997</v>
      </c>
      <c r="E39" s="228">
        <f>'1. Deferral Continuity'!AT35</f>
        <v>-16.61</v>
      </c>
      <c r="F39" s="228"/>
      <c r="G39" s="228"/>
      <c r="H39" s="228"/>
      <c r="I39" s="228"/>
      <c r="J39" s="228">
        <f t="shared" ref="J39:J40" si="27">D39-F39+H39</f>
        <v>-1619.8599999999997</v>
      </c>
      <c r="K39" s="228">
        <f t="shared" ref="K39:K40" si="28">E39-G39+I39</f>
        <v>-16.61</v>
      </c>
      <c r="L39" s="228">
        <f t="shared" ref="L39:L40" si="29">J39*1.1%</f>
        <v>-17.818459999999998</v>
      </c>
      <c r="M39" s="228">
        <f t="shared" ref="M39:M40" si="30">J39*1.1%*4/12</f>
        <v>-5.9394866666666664</v>
      </c>
      <c r="N39" s="233">
        <f t="shared" ref="N39:N40" si="31">SUM(J39:M39)</f>
        <v>-1660.2279466666662</v>
      </c>
    </row>
    <row r="40" spans="1:48" x14ac:dyDescent="0.25">
      <c r="A40" s="123">
        <f>A39+1</f>
        <v>34</v>
      </c>
      <c r="B40" s="3"/>
      <c r="C40" s="238" t="s">
        <v>70</v>
      </c>
      <c r="D40" s="239">
        <f>'1. Deferral Continuity'!AP36</f>
        <v>-146601.94</v>
      </c>
      <c r="E40" s="239">
        <f>'1. Deferral Continuity'!AT36</f>
        <v>-4761.7999999999993</v>
      </c>
      <c r="F40" s="239"/>
      <c r="G40" s="239"/>
      <c r="H40" s="243">
        <v>-42063.040000000001</v>
      </c>
      <c r="I40" s="243"/>
      <c r="J40" s="239">
        <f t="shared" si="27"/>
        <v>-188664.98</v>
      </c>
      <c r="K40" s="239">
        <f t="shared" si="28"/>
        <v>-4761.7999999999993</v>
      </c>
      <c r="L40" s="239">
        <f t="shared" si="29"/>
        <v>-2075.3147800000002</v>
      </c>
      <c r="M40" s="239">
        <f t="shared" si="30"/>
        <v>-691.77159333333339</v>
      </c>
      <c r="N40" s="244">
        <f t="shared" si="31"/>
        <v>-196193.86637333332</v>
      </c>
    </row>
    <row r="41" spans="1:48" x14ac:dyDescent="0.25">
      <c r="A41" s="241">
        <f>A40+1</f>
        <v>35</v>
      </c>
      <c r="B41" s="4"/>
      <c r="C41" s="4" t="s">
        <v>10</v>
      </c>
      <c r="D41" s="85">
        <f>SUM(D26:D40)</f>
        <v>-1487406.4100000001</v>
      </c>
      <c r="E41" s="85">
        <f t="shared" ref="E41:N41" si="32">SUM(E26:E40)</f>
        <v>28993.110000000004</v>
      </c>
      <c r="F41" s="85">
        <f t="shared" si="32"/>
        <v>17773.849999999999</v>
      </c>
      <c r="G41" s="85">
        <f t="shared" si="32"/>
        <v>1214.4100000000001</v>
      </c>
      <c r="H41" s="85">
        <f t="shared" si="32"/>
        <v>-1834624.1366208468</v>
      </c>
      <c r="I41" s="85">
        <f t="shared" si="32"/>
        <v>1160.3800000000006</v>
      </c>
      <c r="J41" s="85">
        <f t="shared" si="32"/>
        <v>-3339804.3966208468</v>
      </c>
      <c r="K41" s="85">
        <f t="shared" si="32"/>
        <v>28939.080000000005</v>
      </c>
      <c r="L41" s="85">
        <f t="shared" si="32"/>
        <v>3536.3303799999999</v>
      </c>
      <c r="M41" s="85">
        <f t="shared" si="32"/>
        <v>1178.7767933333337</v>
      </c>
      <c r="N41" s="242">
        <f t="shared" si="32"/>
        <v>-3306150.2094475129</v>
      </c>
    </row>
    <row r="42" spans="1:48" s="249" customFormat="1" ht="30" customHeight="1" x14ac:dyDescent="0.25">
      <c r="A42" s="245">
        <f t="shared" si="0"/>
        <v>36</v>
      </c>
      <c r="B42" s="246"/>
      <c r="C42" s="246" t="s">
        <v>20</v>
      </c>
      <c r="D42" s="247">
        <f>D23+D41</f>
        <v>3698414.4399999995</v>
      </c>
      <c r="E42" s="247">
        <f t="shared" ref="E42:N42" si="33">E23+E41</f>
        <v>134230.56000000003</v>
      </c>
      <c r="F42" s="247">
        <f t="shared" si="33"/>
        <v>2034196.6040000003</v>
      </c>
      <c r="G42" s="247">
        <f t="shared" si="33"/>
        <v>30064.482196575325</v>
      </c>
      <c r="H42" s="247">
        <f t="shared" si="33"/>
        <v>-1815607.0466208467</v>
      </c>
      <c r="I42" s="247">
        <f t="shared" si="33"/>
        <v>6312.3000000000011</v>
      </c>
      <c r="J42" s="247">
        <f t="shared" si="33"/>
        <v>-151389.21062084753</v>
      </c>
      <c r="K42" s="247">
        <f t="shared" si="33"/>
        <v>110478.37780342468</v>
      </c>
      <c r="L42" s="247">
        <f t="shared" si="33"/>
        <v>37593.173486</v>
      </c>
      <c r="M42" s="247">
        <f t="shared" si="33"/>
        <v>12531.057828666668</v>
      </c>
      <c r="N42" s="248">
        <f t="shared" si="33"/>
        <v>9213.3984972443432</v>
      </c>
    </row>
    <row r="43" spans="1:48" x14ac:dyDescent="0.25">
      <c r="E43" s="84"/>
    </row>
  </sheetData>
  <sortState ref="A23:AV28">
    <sortCondition ref="C23:C28"/>
  </sortState>
  <mergeCells count="8">
    <mergeCell ref="H5:I5"/>
    <mergeCell ref="J5:K5"/>
    <mergeCell ref="N5:N6"/>
    <mergeCell ref="A5:A6"/>
    <mergeCell ref="B5:B6"/>
    <mergeCell ref="C5:C6"/>
    <mergeCell ref="D5:E5"/>
    <mergeCell ref="F5:G5"/>
  </mergeCells>
  <pageMargins left="0.25" right="0.25" top="0.25" bottom="0.25" header="0.3" footer="0.3"/>
  <pageSetup scale="60" orientation="landscape" r:id="rId1"/>
  <headerFooter>
    <oddFooter>&amp;L&amp;F&amp;R&amp;P/&amp;N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73"/>
  <sheetViews>
    <sheetView zoomScale="110" zoomScaleNormal="110" workbookViewId="0">
      <selection activeCell="H65" sqref="H65:H66"/>
    </sheetView>
  </sheetViews>
  <sheetFormatPr defaultRowHeight="15" x14ac:dyDescent="0.25"/>
  <cols>
    <col min="2" max="2" width="36.85546875" bestFit="1" customWidth="1"/>
    <col min="3" max="7" width="12.7109375" customWidth="1"/>
    <col min="8" max="8" width="18.42578125" bestFit="1" customWidth="1"/>
  </cols>
  <sheetData>
    <row r="1" spans="1:7" ht="18.75" x14ac:dyDescent="0.3">
      <c r="A1" s="140" t="s">
        <v>127</v>
      </c>
    </row>
    <row r="2" spans="1:7" ht="19.5" thickBot="1" x14ac:dyDescent="0.35">
      <c r="A2" s="141" t="s">
        <v>128</v>
      </c>
      <c r="B2" s="142"/>
      <c r="C2" s="142"/>
      <c r="D2" s="142"/>
      <c r="E2" s="142"/>
      <c r="F2" s="142"/>
      <c r="G2" s="142"/>
    </row>
    <row r="4" spans="1:7" x14ac:dyDescent="0.25">
      <c r="A4" s="288" t="s">
        <v>129</v>
      </c>
      <c r="B4" s="289"/>
      <c r="C4" s="289"/>
      <c r="D4" s="289"/>
      <c r="E4" s="289"/>
      <c r="F4" s="289"/>
      <c r="G4" s="290"/>
    </row>
    <row r="5" spans="1:7" x14ac:dyDescent="0.25">
      <c r="A5" s="143" t="s">
        <v>92</v>
      </c>
      <c r="B5" s="144" t="s">
        <v>35</v>
      </c>
      <c r="C5" s="144" t="s">
        <v>71</v>
      </c>
      <c r="D5" s="144" t="s">
        <v>123</v>
      </c>
      <c r="E5" s="144" t="s">
        <v>130</v>
      </c>
      <c r="F5" s="144" t="s">
        <v>131</v>
      </c>
      <c r="G5" s="145" t="s">
        <v>32</v>
      </c>
    </row>
    <row r="6" spans="1:7" x14ac:dyDescent="0.25">
      <c r="A6" s="122">
        <v>1</v>
      </c>
      <c r="B6" s="146" t="s">
        <v>41</v>
      </c>
      <c r="C6" s="147">
        <v>28836</v>
      </c>
      <c r="D6" s="147">
        <v>6572</v>
      </c>
      <c r="E6" s="147">
        <v>552</v>
      </c>
      <c r="F6" s="147">
        <v>171</v>
      </c>
      <c r="G6" s="148">
        <f>SUM(C6:F6)</f>
        <v>36131</v>
      </c>
    </row>
    <row r="7" spans="1:7" x14ac:dyDescent="0.25">
      <c r="A7" s="123">
        <v>2</v>
      </c>
      <c r="B7" s="2" t="s">
        <v>42</v>
      </c>
      <c r="C7" s="147">
        <v>3092</v>
      </c>
      <c r="D7" s="147">
        <v>661</v>
      </c>
      <c r="E7" s="147">
        <v>89</v>
      </c>
      <c r="F7" s="147">
        <v>32</v>
      </c>
      <c r="G7" s="148">
        <f t="shared" ref="G7:G14" si="0">SUM(C7:F7)</f>
        <v>3874</v>
      </c>
    </row>
    <row r="8" spans="1:7" x14ac:dyDescent="0.25">
      <c r="A8" s="123">
        <v>3</v>
      </c>
      <c r="B8" s="2" t="s">
        <v>43</v>
      </c>
      <c r="C8" s="147">
        <v>386</v>
      </c>
      <c r="D8" s="147">
        <v>96</v>
      </c>
      <c r="E8" s="147">
        <v>0</v>
      </c>
      <c r="F8" s="147">
        <v>4</v>
      </c>
      <c r="G8" s="148">
        <f t="shared" si="0"/>
        <v>486</v>
      </c>
    </row>
    <row r="9" spans="1:7" x14ac:dyDescent="0.25">
      <c r="A9" s="123"/>
      <c r="B9" s="2" t="s">
        <v>85</v>
      </c>
      <c r="C9" s="147">
        <v>12</v>
      </c>
      <c r="D9" s="147">
        <v>0</v>
      </c>
      <c r="E9" s="147">
        <v>0</v>
      </c>
      <c r="F9" s="147">
        <v>0</v>
      </c>
      <c r="G9" s="148">
        <f t="shared" si="0"/>
        <v>12</v>
      </c>
    </row>
    <row r="10" spans="1:7" x14ac:dyDescent="0.25">
      <c r="A10" s="123"/>
      <c r="B10" s="2" t="s">
        <v>132</v>
      </c>
      <c r="C10" s="147">
        <v>1</v>
      </c>
      <c r="D10" s="147">
        <v>0</v>
      </c>
      <c r="E10" s="147">
        <v>0</v>
      </c>
      <c r="F10" s="147">
        <v>0</v>
      </c>
      <c r="G10" s="148">
        <f t="shared" si="0"/>
        <v>1</v>
      </c>
    </row>
    <row r="11" spans="1:7" x14ac:dyDescent="0.25">
      <c r="A11" s="123">
        <v>4</v>
      </c>
      <c r="B11" s="2" t="s">
        <v>91</v>
      </c>
      <c r="C11" s="147">
        <v>0</v>
      </c>
      <c r="D11" s="147">
        <v>1</v>
      </c>
      <c r="E11" s="147">
        <v>0</v>
      </c>
      <c r="F11" s="147">
        <v>0</v>
      </c>
      <c r="G11" s="148">
        <f t="shared" si="0"/>
        <v>1</v>
      </c>
    </row>
    <row r="12" spans="1:7" x14ac:dyDescent="0.25">
      <c r="A12" s="123">
        <v>5</v>
      </c>
      <c r="B12" s="2" t="s">
        <v>44</v>
      </c>
      <c r="C12" s="147">
        <v>199</v>
      </c>
      <c r="D12" s="147">
        <v>51</v>
      </c>
      <c r="E12" s="147">
        <v>0</v>
      </c>
      <c r="F12" s="147">
        <v>0</v>
      </c>
      <c r="G12" s="148">
        <f t="shared" si="0"/>
        <v>250</v>
      </c>
    </row>
    <row r="13" spans="1:7" x14ac:dyDescent="0.25">
      <c r="A13" s="123">
        <v>6</v>
      </c>
      <c r="B13" s="2" t="s">
        <v>45</v>
      </c>
      <c r="C13" s="147">
        <v>411</v>
      </c>
      <c r="D13" s="147">
        <v>69</v>
      </c>
      <c r="E13" s="147">
        <v>1</v>
      </c>
      <c r="F13" s="147">
        <v>0</v>
      </c>
      <c r="G13" s="148">
        <f>SUM(C13:F13)</f>
        <v>481</v>
      </c>
    </row>
    <row r="14" spans="1:7" x14ac:dyDescent="0.25">
      <c r="A14" s="124">
        <v>7</v>
      </c>
      <c r="B14" s="3" t="s">
        <v>46</v>
      </c>
      <c r="C14" s="147">
        <v>10623</v>
      </c>
      <c r="D14" s="147">
        <v>2361</v>
      </c>
      <c r="E14" s="147">
        <v>208</v>
      </c>
      <c r="F14" s="147">
        <v>74</v>
      </c>
      <c r="G14" s="148">
        <f t="shared" si="0"/>
        <v>13266</v>
      </c>
    </row>
    <row r="15" spans="1:7" x14ac:dyDescent="0.25">
      <c r="A15" s="149">
        <v>8</v>
      </c>
      <c r="B15" s="150" t="s">
        <v>133</v>
      </c>
      <c r="C15" s="151">
        <f t="shared" ref="C15:G15" si="1">SUM(C6:C14)</f>
        <v>43560</v>
      </c>
      <c r="D15" s="151">
        <f t="shared" si="1"/>
        <v>9811</v>
      </c>
      <c r="E15" s="151">
        <f t="shared" si="1"/>
        <v>850</v>
      </c>
      <c r="F15" s="151">
        <f t="shared" si="1"/>
        <v>281</v>
      </c>
      <c r="G15" s="152">
        <f t="shared" si="1"/>
        <v>54502</v>
      </c>
    </row>
    <row r="16" spans="1:7" x14ac:dyDescent="0.25">
      <c r="A16" s="153"/>
      <c r="B16" s="154"/>
      <c r="C16" s="155"/>
      <c r="D16" s="155"/>
      <c r="E16" s="155"/>
      <c r="F16" s="155"/>
      <c r="G16" s="155"/>
    </row>
    <row r="17" spans="1:7" x14ac:dyDescent="0.25">
      <c r="A17" s="291" t="s">
        <v>134</v>
      </c>
      <c r="B17" s="289"/>
      <c r="C17" s="289"/>
      <c r="D17" s="289"/>
      <c r="E17" s="289"/>
      <c r="F17" s="289"/>
      <c r="G17" s="290"/>
    </row>
    <row r="18" spans="1:7" x14ac:dyDescent="0.25">
      <c r="A18" s="143" t="s">
        <v>92</v>
      </c>
      <c r="B18" s="144" t="s">
        <v>35</v>
      </c>
      <c r="C18" s="144" t="s">
        <v>71</v>
      </c>
      <c r="D18" s="144" t="s">
        <v>123</v>
      </c>
      <c r="E18" s="144" t="s">
        <v>130</v>
      </c>
      <c r="F18" s="144" t="s">
        <v>131</v>
      </c>
      <c r="G18" s="145" t="s">
        <v>32</v>
      </c>
    </row>
    <row r="19" spans="1:7" x14ac:dyDescent="0.25">
      <c r="A19" s="122">
        <v>1</v>
      </c>
      <c r="B19" s="146" t="s">
        <v>41</v>
      </c>
      <c r="C19" s="147">
        <v>225602338.60690317</v>
      </c>
      <c r="D19" s="147">
        <v>57965625.719457015</v>
      </c>
      <c r="E19" s="147">
        <v>4528709</v>
      </c>
      <c r="F19" s="147">
        <v>1358770</v>
      </c>
      <c r="G19" s="148">
        <f>SUM(C19:F19)</f>
        <v>289455443.32636017</v>
      </c>
    </row>
    <row r="20" spans="1:7" x14ac:dyDescent="0.25">
      <c r="A20" s="123">
        <f>A19+1</f>
        <v>2</v>
      </c>
      <c r="B20" s="2" t="s">
        <v>42</v>
      </c>
      <c r="C20" s="147">
        <v>88516284.126289561</v>
      </c>
      <c r="D20" s="147">
        <v>17337883.176470589</v>
      </c>
      <c r="E20" s="147">
        <v>3437363</v>
      </c>
      <c r="F20" s="147">
        <v>534747</v>
      </c>
      <c r="G20" s="148">
        <f t="shared" ref="G20:G27" si="2">SUM(C20:F20)</f>
        <v>109826277.30276015</v>
      </c>
    </row>
    <row r="21" spans="1:7" x14ac:dyDescent="0.25">
      <c r="A21" s="123">
        <f t="shared" ref="A21:A28" si="3">A20+1</f>
        <v>3</v>
      </c>
      <c r="B21" s="2" t="s">
        <v>43</v>
      </c>
      <c r="C21" s="147">
        <v>245152652.91698945</v>
      </c>
      <c r="D21" s="147">
        <v>106710585.06033182</v>
      </c>
      <c r="E21" s="147">
        <v>0</v>
      </c>
      <c r="F21" s="147">
        <v>1478160</v>
      </c>
      <c r="G21" s="148">
        <f t="shared" si="2"/>
        <v>353341397.97732127</v>
      </c>
    </row>
    <row r="22" spans="1:7" x14ac:dyDescent="0.25">
      <c r="A22" s="123">
        <f t="shared" si="3"/>
        <v>4</v>
      </c>
      <c r="B22" s="2" t="s">
        <v>85</v>
      </c>
      <c r="C22" s="147">
        <v>113731870.00479385</v>
      </c>
      <c r="D22" s="147">
        <v>0</v>
      </c>
      <c r="E22" s="147">
        <v>0</v>
      </c>
      <c r="F22" s="147">
        <v>0</v>
      </c>
      <c r="G22" s="148">
        <f t="shared" si="2"/>
        <v>113731870.00479385</v>
      </c>
    </row>
    <row r="23" spans="1:7" x14ac:dyDescent="0.25">
      <c r="A23" s="123">
        <f t="shared" si="3"/>
        <v>5</v>
      </c>
      <c r="B23" s="2" t="s">
        <v>132</v>
      </c>
      <c r="C23" s="147">
        <v>33167215.004141606</v>
      </c>
      <c r="D23" s="147">
        <v>0</v>
      </c>
      <c r="E23" s="147">
        <v>0</v>
      </c>
      <c r="F23" s="147">
        <v>0</v>
      </c>
      <c r="G23" s="148">
        <f t="shared" si="2"/>
        <v>33167215.004141606</v>
      </c>
    </row>
    <row r="24" spans="1:7" x14ac:dyDescent="0.25">
      <c r="A24" s="123">
        <f t="shared" si="3"/>
        <v>6</v>
      </c>
      <c r="B24" s="2" t="s">
        <v>91</v>
      </c>
      <c r="C24" s="147">
        <v>0</v>
      </c>
      <c r="D24" s="147">
        <v>31573402.002986562</v>
      </c>
      <c r="E24" s="147">
        <v>0</v>
      </c>
      <c r="F24" s="147">
        <v>0</v>
      </c>
      <c r="G24" s="148">
        <f t="shared" si="2"/>
        <v>31573402.002986562</v>
      </c>
    </row>
    <row r="25" spans="1:7" x14ac:dyDescent="0.25">
      <c r="A25" s="123">
        <f t="shared" si="3"/>
        <v>7</v>
      </c>
      <c r="B25" s="2" t="s">
        <v>44</v>
      </c>
      <c r="C25" s="147">
        <v>923683.96</v>
      </c>
      <c r="D25" s="147">
        <v>325760</v>
      </c>
      <c r="E25" s="147">
        <v>0</v>
      </c>
      <c r="F25" s="147">
        <v>0</v>
      </c>
      <c r="G25" s="148">
        <f t="shared" si="2"/>
        <v>1249443.96</v>
      </c>
    </row>
    <row r="26" spans="1:7" x14ac:dyDescent="0.25">
      <c r="A26" s="123">
        <f t="shared" si="3"/>
        <v>8</v>
      </c>
      <c r="B26" s="2" t="s">
        <v>45</v>
      </c>
      <c r="C26" s="147">
        <v>364562.62511984661</v>
      </c>
      <c r="D26" s="147">
        <v>43208.128205128203</v>
      </c>
      <c r="E26" s="147">
        <v>881</v>
      </c>
      <c r="F26" s="147">
        <v>0</v>
      </c>
      <c r="G26" s="148">
        <f t="shared" si="2"/>
        <v>408651.75332497479</v>
      </c>
    </row>
    <row r="27" spans="1:7" x14ac:dyDescent="0.25">
      <c r="A27" s="124">
        <f t="shared" si="3"/>
        <v>9</v>
      </c>
      <c r="B27" s="3" t="s">
        <v>46</v>
      </c>
      <c r="C27" s="147">
        <v>5912082.511025887</v>
      </c>
      <c r="D27" s="147">
        <v>1450049.8190045247</v>
      </c>
      <c r="E27" s="147">
        <v>116024</v>
      </c>
      <c r="F27" s="147">
        <v>55093</v>
      </c>
      <c r="G27" s="148">
        <f t="shared" si="2"/>
        <v>7533249.3300304115</v>
      </c>
    </row>
    <row r="28" spans="1:7" x14ac:dyDescent="0.25">
      <c r="A28" s="149">
        <f t="shared" si="3"/>
        <v>10</v>
      </c>
      <c r="B28" s="150" t="s">
        <v>133</v>
      </c>
      <c r="C28" s="156">
        <f>SUM(C19:C27)</f>
        <v>713370689.75526345</v>
      </c>
      <c r="D28" s="156">
        <f>SUM(D19:D27)</f>
        <v>215406513.90645564</v>
      </c>
      <c r="E28" s="156">
        <f t="shared" ref="E28:G28" si="4">SUM(E19:E27)</f>
        <v>8082977</v>
      </c>
      <c r="F28" s="156">
        <f t="shared" si="4"/>
        <v>3426770</v>
      </c>
      <c r="G28" s="157">
        <f t="shared" si="4"/>
        <v>940286950.66171908</v>
      </c>
    </row>
    <row r="29" spans="1:7" x14ac:dyDescent="0.25">
      <c r="A29" s="158"/>
      <c r="B29" s="159"/>
      <c r="C29" s="159"/>
      <c r="D29" s="160"/>
      <c r="E29" s="160"/>
      <c r="F29" s="160"/>
      <c r="G29" s="161"/>
    </row>
    <row r="30" spans="1:7" x14ac:dyDescent="0.25">
      <c r="A30" s="288" t="s">
        <v>135</v>
      </c>
      <c r="B30" s="289"/>
      <c r="C30" s="289"/>
      <c r="D30" s="289"/>
      <c r="E30" s="289"/>
      <c r="F30" s="289"/>
      <c r="G30" s="290"/>
    </row>
    <row r="31" spans="1:7" x14ac:dyDescent="0.25">
      <c r="A31" s="143" t="s">
        <v>92</v>
      </c>
      <c r="B31" s="144" t="s">
        <v>35</v>
      </c>
      <c r="C31" s="144" t="s">
        <v>71</v>
      </c>
      <c r="D31" s="144" t="s">
        <v>123</v>
      </c>
      <c r="E31" s="144" t="s">
        <v>130</v>
      </c>
      <c r="F31" s="144" t="s">
        <v>131</v>
      </c>
      <c r="G31" s="145" t="s">
        <v>32</v>
      </c>
    </row>
    <row r="32" spans="1:7" x14ac:dyDescent="0.25">
      <c r="A32" s="122">
        <f>A28+1</f>
        <v>11</v>
      </c>
      <c r="B32" s="146" t="s">
        <v>41</v>
      </c>
      <c r="C32" s="147">
        <v>0</v>
      </c>
      <c r="D32" s="147">
        <v>0</v>
      </c>
      <c r="E32" s="147">
        <v>0</v>
      </c>
      <c r="F32" s="147">
        <v>0</v>
      </c>
      <c r="G32" s="148">
        <f>SUM(C32:F32)</f>
        <v>0</v>
      </c>
    </row>
    <row r="33" spans="1:8" x14ac:dyDescent="0.25">
      <c r="A33" s="123">
        <f>A32+1</f>
        <v>12</v>
      </c>
      <c r="B33" s="2" t="s">
        <v>42</v>
      </c>
      <c r="C33" s="147">
        <v>0</v>
      </c>
      <c r="D33" s="147">
        <v>0</v>
      </c>
      <c r="E33" s="147">
        <v>0</v>
      </c>
      <c r="F33" s="147">
        <v>0</v>
      </c>
      <c r="G33" s="148">
        <f t="shared" ref="G33:G40" si="5">SUM(C33:F33)</f>
        <v>0</v>
      </c>
    </row>
    <row r="34" spans="1:8" x14ac:dyDescent="0.25">
      <c r="A34" s="123">
        <f t="shared" ref="A34:A41" si="6">A33+1</f>
        <v>13</v>
      </c>
      <c r="B34" s="2" t="s">
        <v>43</v>
      </c>
      <c r="C34" s="147">
        <v>694185</v>
      </c>
      <c r="D34" s="147">
        <v>240319.3</v>
      </c>
      <c r="E34" s="147">
        <v>0</v>
      </c>
      <c r="F34" s="147">
        <v>3877.7</v>
      </c>
      <c r="G34" s="148">
        <f t="shared" si="5"/>
        <v>938382</v>
      </c>
    </row>
    <row r="35" spans="1:8" x14ac:dyDescent="0.25">
      <c r="A35" s="123">
        <f t="shared" si="6"/>
        <v>14</v>
      </c>
      <c r="B35" s="2" t="s">
        <v>85</v>
      </c>
      <c r="C35" s="147">
        <v>273287</v>
      </c>
      <c r="D35" s="147">
        <v>0</v>
      </c>
      <c r="E35" s="147">
        <v>0</v>
      </c>
      <c r="F35" s="147">
        <v>0</v>
      </c>
      <c r="G35" s="148">
        <f t="shared" si="5"/>
        <v>273287</v>
      </c>
    </row>
    <row r="36" spans="1:8" x14ac:dyDescent="0.25">
      <c r="A36" s="123">
        <f t="shared" si="6"/>
        <v>15</v>
      </c>
      <c r="B36" s="2" t="s">
        <v>132</v>
      </c>
      <c r="C36" s="147">
        <v>81852</v>
      </c>
      <c r="D36" s="147">
        <v>0</v>
      </c>
      <c r="E36" s="147">
        <v>0</v>
      </c>
      <c r="F36" s="147">
        <v>0</v>
      </c>
      <c r="G36" s="148">
        <f t="shared" si="5"/>
        <v>81852</v>
      </c>
    </row>
    <row r="37" spans="1:8" x14ac:dyDescent="0.25">
      <c r="A37" s="123">
        <f t="shared" si="6"/>
        <v>16</v>
      </c>
      <c r="B37" s="2" t="s">
        <v>91</v>
      </c>
      <c r="C37" s="147">
        <v>0</v>
      </c>
      <c r="D37" s="147">
        <v>65619</v>
      </c>
      <c r="E37" s="147">
        <v>0</v>
      </c>
      <c r="F37" s="147">
        <v>0</v>
      </c>
      <c r="G37" s="148">
        <f t="shared" si="5"/>
        <v>65619</v>
      </c>
    </row>
    <row r="38" spans="1:8" x14ac:dyDescent="0.25">
      <c r="A38" s="123">
        <f t="shared" si="6"/>
        <v>17</v>
      </c>
      <c r="B38" s="2" t="s">
        <v>44</v>
      </c>
      <c r="C38" s="147">
        <v>0</v>
      </c>
      <c r="D38" s="147">
        <v>0</v>
      </c>
      <c r="E38" s="147">
        <v>0</v>
      </c>
      <c r="F38" s="147">
        <v>0</v>
      </c>
      <c r="G38" s="148">
        <f t="shared" si="5"/>
        <v>0</v>
      </c>
    </row>
    <row r="39" spans="1:8" x14ac:dyDescent="0.25">
      <c r="A39" s="123">
        <f t="shared" si="6"/>
        <v>18</v>
      </c>
      <c r="B39" s="2" t="s">
        <v>45</v>
      </c>
      <c r="C39" s="147">
        <v>1022.0166666666667</v>
      </c>
      <c r="D39" s="147">
        <v>120.24722222222222</v>
      </c>
      <c r="E39" s="147">
        <v>2</v>
      </c>
      <c r="F39" s="147">
        <v>0</v>
      </c>
      <c r="G39" s="148">
        <f t="shared" si="5"/>
        <v>1144.2638888888889</v>
      </c>
    </row>
    <row r="40" spans="1:8" x14ac:dyDescent="0.25">
      <c r="A40" s="124">
        <f t="shared" si="6"/>
        <v>19</v>
      </c>
      <c r="B40" s="3" t="s">
        <v>46</v>
      </c>
      <c r="C40" s="147">
        <v>17520.12</v>
      </c>
      <c r="D40" s="147">
        <v>4315.7</v>
      </c>
      <c r="E40" s="147">
        <v>343.4</v>
      </c>
      <c r="F40" s="147">
        <v>163.1</v>
      </c>
      <c r="G40" s="148">
        <f t="shared" si="5"/>
        <v>22342.32</v>
      </c>
    </row>
    <row r="41" spans="1:8" x14ac:dyDescent="0.25">
      <c r="A41" s="149">
        <f t="shared" si="6"/>
        <v>20</v>
      </c>
      <c r="B41" s="150" t="s">
        <v>133</v>
      </c>
      <c r="C41" s="156">
        <f>SUM(C32:C40)</f>
        <v>1067866.1366666667</v>
      </c>
      <c r="D41" s="156">
        <f>SUM(D32:D40)</f>
        <v>310374.24722222221</v>
      </c>
      <c r="E41" s="156">
        <f t="shared" ref="E41:G41" si="7">SUM(E32:E40)</f>
        <v>345.4</v>
      </c>
      <c r="F41" s="156">
        <f t="shared" si="7"/>
        <v>4040.7999999999997</v>
      </c>
      <c r="G41" s="157">
        <f t="shared" si="7"/>
        <v>1382626.5838888891</v>
      </c>
    </row>
    <row r="43" spans="1:8" x14ac:dyDescent="0.25">
      <c r="A43" s="288" t="s">
        <v>136</v>
      </c>
      <c r="B43" s="289"/>
      <c r="C43" s="289"/>
      <c r="D43" s="289"/>
      <c r="E43" s="289"/>
      <c r="F43" s="289"/>
      <c r="G43" s="290"/>
    </row>
    <row r="44" spans="1:8" x14ac:dyDescent="0.25">
      <c r="A44" s="143" t="s">
        <v>92</v>
      </c>
      <c r="B44" s="144" t="s">
        <v>35</v>
      </c>
      <c r="C44" s="144" t="s">
        <v>71</v>
      </c>
      <c r="D44" s="144" t="s">
        <v>123</v>
      </c>
      <c r="E44" s="144" t="s">
        <v>130</v>
      </c>
      <c r="F44" s="144" t="s">
        <v>131</v>
      </c>
      <c r="G44" s="145" t="s">
        <v>32</v>
      </c>
    </row>
    <row r="45" spans="1:8" x14ac:dyDescent="0.25">
      <c r="A45" s="122">
        <f>A41+1</f>
        <v>21</v>
      </c>
      <c r="B45" s="146" t="s">
        <v>41</v>
      </c>
      <c r="C45" s="147">
        <v>19623502.600000024</v>
      </c>
      <c r="D45" s="147">
        <v>5884951.1600000029</v>
      </c>
      <c r="E45" s="147">
        <v>477079.0299999998</v>
      </c>
      <c r="F45" s="147">
        <v>146828.41999999993</v>
      </c>
      <c r="G45" s="148">
        <f>SUM(C45:F45)</f>
        <v>26132361.210000031</v>
      </c>
      <c r="H45" s="162">
        <f>G45/G19</f>
        <v>9.0281118605656588E-2</v>
      </c>
    </row>
    <row r="46" spans="1:8" x14ac:dyDescent="0.25">
      <c r="A46" s="123">
        <f>A45+1</f>
        <v>22</v>
      </c>
      <c r="B46" s="2" t="s">
        <v>42</v>
      </c>
      <c r="C46" s="147">
        <v>13873160.350000005</v>
      </c>
      <c r="D46" s="147">
        <v>3192954.1999999997</v>
      </c>
      <c r="E46" s="147">
        <v>134952.29</v>
      </c>
      <c r="F46" s="147">
        <v>24505.090000000004</v>
      </c>
      <c r="G46" s="148">
        <f t="shared" ref="G46:G53" si="8">SUM(C46:F46)</f>
        <v>17225571.930000003</v>
      </c>
      <c r="H46" s="162">
        <f t="shared" ref="H46:H53" si="9">G46/G20</f>
        <v>0.1568438114542838</v>
      </c>
    </row>
    <row r="47" spans="1:8" x14ac:dyDescent="0.25">
      <c r="A47" s="123">
        <f t="shared" ref="A47:A54" si="10">A46+1</f>
        <v>23</v>
      </c>
      <c r="B47" s="2" t="s">
        <v>43</v>
      </c>
      <c r="C47" s="147">
        <v>206964630.91698945</v>
      </c>
      <c r="D47" s="147">
        <v>99529215.060331821</v>
      </c>
      <c r="E47" s="147">
        <v>0</v>
      </c>
      <c r="F47" s="147">
        <v>1359791</v>
      </c>
      <c r="G47" s="148">
        <f t="shared" si="8"/>
        <v>307853636.97732127</v>
      </c>
      <c r="H47" s="162">
        <f>SUM(G47:G48)/SUM(G21:G22)</f>
        <v>0.90261108027757697</v>
      </c>
    </row>
    <row r="48" spans="1:8" x14ac:dyDescent="0.25">
      <c r="A48" s="123">
        <f t="shared" si="10"/>
        <v>24</v>
      </c>
      <c r="B48" s="2" t="s">
        <v>85</v>
      </c>
      <c r="C48" s="147">
        <v>113731870.00479385</v>
      </c>
      <c r="D48" s="147">
        <v>0</v>
      </c>
      <c r="E48" s="147">
        <v>0</v>
      </c>
      <c r="F48" s="147">
        <v>0</v>
      </c>
      <c r="G48" s="148">
        <f t="shared" si="8"/>
        <v>113731870.00479385</v>
      </c>
      <c r="H48" s="162"/>
    </row>
    <row r="49" spans="1:8" x14ac:dyDescent="0.25">
      <c r="A49" s="123">
        <f t="shared" si="10"/>
        <v>25</v>
      </c>
      <c r="B49" s="2" t="s">
        <v>132</v>
      </c>
      <c r="C49" s="147">
        <v>33167215.004141606</v>
      </c>
      <c r="D49" s="147">
        <v>0</v>
      </c>
      <c r="E49" s="147">
        <v>0</v>
      </c>
      <c r="F49" s="147">
        <v>0</v>
      </c>
      <c r="G49" s="148">
        <f t="shared" si="8"/>
        <v>33167215.004141606</v>
      </c>
      <c r="H49" s="162">
        <f>SUM(G49:G50)/SUM(G23:G24)</f>
        <v>1</v>
      </c>
    </row>
    <row r="50" spans="1:8" x14ac:dyDescent="0.25">
      <c r="A50" s="123">
        <f t="shared" si="10"/>
        <v>26</v>
      </c>
      <c r="B50" s="2" t="s">
        <v>91</v>
      </c>
      <c r="C50" s="147">
        <v>0</v>
      </c>
      <c r="D50" s="147">
        <v>31573402.002986562</v>
      </c>
      <c r="E50" s="147">
        <v>0</v>
      </c>
      <c r="F50" s="147">
        <v>0</v>
      </c>
      <c r="G50" s="148">
        <f t="shared" si="8"/>
        <v>31573402.002986562</v>
      </c>
      <c r="H50" s="162"/>
    </row>
    <row r="51" spans="1:8" x14ac:dyDescent="0.25">
      <c r="A51" s="123">
        <f t="shared" si="10"/>
        <v>27</v>
      </c>
      <c r="B51" s="2" t="s">
        <v>44</v>
      </c>
      <c r="C51" s="147">
        <v>5671.7350000000006</v>
      </c>
      <c r="D51" s="147">
        <v>0</v>
      </c>
      <c r="E51" s="147">
        <v>0</v>
      </c>
      <c r="F51" s="147">
        <v>0</v>
      </c>
      <c r="G51" s="148">
        <f t="shared" si="8"/>
        <v>5671.7350000000006</v>
      </c>
      <c r="H51" s="162">
        <f t="shared" si="9"/>
        <v>4.5394072736163376E-3</v>
      </c>
    </row>
    <row r="52" spans="1:8" x14ac:dyDescent="0.25">
      <c r="A52" s="123">
        <f t="shared" si="10"/>
        <v>28</v>
      </c>
      <c r="B52" s="2" t="s">
        <v>45</v>
      </c>
      <c r="C52" s="147">
        <v>0</v>
      </c>
      <c r="D52" s="147">
        <v>0</v>
      </c>
      <c r="E52" s="147">
        <v>0</v>
      </c>
      <c r="F52" s="147">
        <v>0</v>
      </c>
      <c r="G52" s="148">
        <f t="shared" si="8"/>
        <v>0</v>
      </c>
      <c r="H52" s="162">
        <f t="shared" si="9"/>
        <v>0</v>
      </c>
    </row>
    <row r="53" spans="1:8" x14ac:dyDescent="0.25">
      <c r="A53" s="124">
        <f t="shared" si="10"/>
        <v>29</v>
      </c>
      <c r="B53" s="3" t="s">
        <v>46</v>
      </c>
      <c r="C53" s="147">
        <v>5912082.511025887</v>
      </c>
      <c r="D53" s="147">
        <v>1450049.8190045247</v>
      </c>
      <c r="E53" s="147">
        <v>116024</v>
      </c>
      <c r="F53" s="147">
        <v>55093</v>
      </c>
      <c r="G53" s="148">
        <f t="shared" si="8"/>
        <v>7533249.3300304115</v>
      </c>
      <c r="H53" s="162">
        <f t="shared" si="9"/>
        <v>1</v>
      </c>
    </row>
    <row r="54" spans="1:8" x14ac:dyDescent="0.25">
      <c r="A54" s="149">
        <f t="shared" si="10"/>
        <v>30</v>
      </c>
      <c r="B54" s="150" t="s">
        <v>133</v>
      </c>
      <c r="C54" s="156">
        <f>SUM(C45:C53)</f>
        <v>393278133.12195086</v>
      </c>
      <c r="D54" s="156">
        <f>SUM(D45:D53)</f>
        <v>141630572.24232292</v>
      </c>
      <c r="E54" s="156">
        <f t="shared" ref="E54:G54" si="11">SUM(E45:E53)</f>
        <v>728055.31999999983</v>
      </c>
      <c r="F54" s="156">
        <f t="shared" si="11"/>
        <v>1586217.51</v>
      </c>
      <c r="G54" s="157">
        <f t="shared" si="11"/>
        <v>537222978.19427371</v>
      </c>
    </row>
    <row r="56" spans="1:8" x14ac:dyDescent="0.25">
      <c r="A56" s="288" t="s">
        <v>94</v>
      </c>
      <c r="B56" s="289"/>
      <c r="C56" s="289"/>
      <c r="D56" s="289"/>
      <c r="E56" s="289"/>
      <c r="F56" s="289"/>
      <c r="G56" s="289"/>
    </row>
    <row r="57" spans="1:8" x14ac:dyDescent="0.25">
      <c r="A57" s="143" t="s">
        <v>92</v>
      </c>
      <c r="B57" s="144" t="s">
        <v>35</v>
      </c>
      <c r="C57" s="144" t="s">
        <v>71</v>
      </c>
      <c r="D57" s="144" t="s">
        <v>123</v>
      </c>
      <c r="E57" s="144" t="s">
        <v>130</v>
      </c>
      <c r="F57" s="144" t="s">
        <v>131</v>
      </c>
      <c r="G57" s="145" t="s">
        <v>32</v>
      </c>
    </row>
    <row r="58" spans="1:8" x14ac:dyDescent="0.25">
      <c r="A58" s="122">
        <f>A54+1</f>
        <v>31</v>
      </c>
      <c r="B58" s="146" t="s">
        <v>41</v>
      </c>
      <c r="C58" s="147">
        <v>0</v>
      </c>
      <c r="D58" s="147">
        <v>0</v>
      </c>
      <c r="E58" s="147">
        <v>0</v>
      </c>
      <c r="F58" s="147">
        <v>0</v>
      </c>
      <c r="G58" s="148">
        <f>SUM(C58:F58)</f>
        <v>0</v>
      </c>
      <c r="H58" s="162"/>
    </row>
    <row r="59" spans="1:8" x14ac:dyDescent="0.25">
      <c r="A59" s="123">
        <f>A58+1</f>
        <v>32</v>
      </c>
      <c r="B59" s="2" t="s">
        <v>42</v>
      </c>
      <c r="C59" s="147">
        <v>0</v>
      </c>
      <c r="D59" s="147">
        <v>0</v>
      </c>
      <c r="E59" s="147">
        <v>0</v>
      </c>
      <c r="F59" s="147">
        <v>0</v>
      </c>
      <c r="G59" s="148">
        <f t="shared" ref="G59:G66" si="12">SUM(C59:F59)</f>
        <v>0</v>
      </c>
      <c r="H59" s="162"/>
    </row>
    <row r="60" spans="1:8" x14ac:dyDescent="0.25">
      <c r="A60" s="123">
        <f t="shared" ref="A60:A67" si="13">A59+1</f>
        <v>33</v>
      </c>
      <c r="B60" s="2" t="s">
        <v>43</v>
      </c>
      <c r="C60" s="147">
        <v>587999</v>
      </c>
      <c r="D60" s="147">
        <v>224024.3</v>
      </c>
      <c r="E60" s="147">
        <v>0</v>
      </c>
      <c r="F60" s="147">
        <v>3501.7</v>
      </c>
      <c r="G60" s="148">
        <f t="shared" si="12"/>
        <v>815525</v>
      </c>
      <c r="H60" s="162">
        <f>SUM(G60:G61)/SUM(G34:G35)</f>
        <v>0.89860514711526007</v>
      </c>
    </row>
    <row r="61" spans="1:8" x14ac:dyDescent="0.25">
      <c r="A61" s="123">
        <f t="shared" si="13"/>
        <v>34</v>
      </c>
      <c r="B61" s="2" t="s">
        <v>85</v>
      </c>
      <c r="C61" s="147">
        <v>273287</v>
      </c>
      <c r="D61" s="147">
        <v>0</v>
      </c>
      <c r="E61" s="147">
        <v>0</v>
      </c>
      <c r="F61" s="147">
        <v>0</v>
      </c>
      <c r="G61" s="148">
        <f t="shared" si="12"/>
        <v>273287</v>
      </c>
      <c r="H61" s="162"/>
    </row>
    <row r="62" spans="1:8" x14ac:dyDescent="0.25">
      <c r="A62" s="123">
        <f t="shared" si="13"/>
        <v>35</v>
      </c>
      <c r="B62" s="2" t="s">
        <v>132</v>
      </c>
      <c r="C62" s="147">
        <v>81852</v>
      </c>
      <c r="D62" s="147">
        <v>0</v>
      </c>
      <c r="E62" s="147">
        <v>0</v>
      </c>
      <c r="F62" s="147">
        <v>0</v>
      </c>
      <c r="G62" s="148">
        <f t="shared" si="12"/>
        <v>81852</v>
      </c>
      <c r="H62" s="162">
        <f>SUM(G62:G63)/SUM(G36:G37)</f>
        <v>1</v>
      </c>
    </row>
    <row r="63" spans="1:8" x14ac:dyDescent="0.25">
      <c r="A63" s="123">
        <f t="shared" si="13"/>
        <v>36</v>
      </c>
      <c r="B63" s="2" t="s">
        <v>91</v>
      </c>
      <c r="C63" s="147">
        <v>0</v>
      </c>
      <c r="D63" s="147">
        <v>65619</v>
      </c>
      <c r="E63" s="147">
        <v>0</v>
      </c>
      <c r="F63" s="147">
        <v>0</v>
      </c>
      <c r="G63" s="148">
        <f t="shared" si="12"/>
        <v>65619</v>
      </c>
      <c r="H63" s="162"/>
    </row>
    <row r="64" spans="1:8" x14ac:dyDescent="0.25">
      <c r="A64" s="123">
        <f t="shared" si="13"/>
        <v>37</v>
      </c>
      <c r="B64" s="2" t="s">
        <v>44</v>
      </c>
      <c r="C64" s="147">
        <v>0</v>
      </c>
      <c r="D64" s="147">
        <v>0</v>
      </c>
      <c r="E64" s="147">
        <v>0</v>
      </c>
      <c r="F64" s="147">
        <v>0</v>
      </c>
      <c r="G64" s="148">
        <f t="shared" si="12"/>
        <v>0</v>
      </c>
      <c r="H64" s="162"/>
    </row>
    <row r="65" spans="1:8" x14ac:dyDescent="0.25">
      <c r="A65" s="123">
        <f t="shared" si="13"/>
        <v>38</v>
      </c>
      <c r="B65" s="2" t="s">
        <v>45</v>
      </c>
      <c r="C65" s="147">
        <v>0</v>
      </c>
      <c r="D65" s="147">
        <v>0</v>
      </c>
      <c r="E65" s="147">
        <v>0</v>
      </c>
      <c r="F65" s="147">
        <v>0</v>
      </c>
      <c r="G65" s="148">
        <f t="shared" si="12"/>
        <v>0</v>
      </c>
      <c r="H65" s="162">
        <f t="shared" ref="H65:H66" si="14">G65/G39</f>
        <v>0</v>
      </c>
    </row>
    <row r="66" spans="1:8" x14ac:dyDescent="0.25">
      <c r="A66" s="124">
        <f t="shared" si="13"/>
        <v>39</v>
      </c>
      <c r="B66" s="3" t="s">
        <v>46</v>
      </c>
      <c r="C66" s="147">
        <v>17520.12</v>
      </c>
      <c r="D66" s="147">
        <v>4315.7</v>
      </c>
      <c r="E66" s="147">
        <v>343.4</v>
      </c>
      <c r="F66" s="147">
        <v>163.1</v>
      </c>
      <c r="G66" s="148">
        <f t="shared" si="12"/>
        <v>22342.32</v>
      </c>
      <c r="H66" s="162">
        <f t="shared" si="14"/>
        <v>1</v>
      </c>
    </row>
    <row r="67" spans="1:8" x14ac:dyDescent="0.25">
      <c r="A67" s="149">
        <f t="shared" si="13"/>
        <v>40</v>
      </c>
      <c r="B67" s="150" t="s">
        <v>133</v>
      </c>
      <c r="C67" s="156">
        <f>SUM(C58:C66)</f>
        <v>960658.12</v>
      </c>
      <c r="D67" s="156">
        <f>SUM(D58:D66)</f>
        <v>293959</v>
      </c>
      <c r="E67" s="156">
        <f t="shared" ref="E67:G67" si="15">SUM(E58:E66)</f>
        <v>343.4</v>
      </c>
      <c r="F67" s="156">
        <f t="shared" si="15"/>
        <v>3664.7999999999997</v>
      </c>
      <c r="G67" s="157">
        <f t="shared" si="15"/>
        <v>1258625.32</v>
      </c>
      <c r="H67" s="162"/>
    </row>
    <row r="68" spans="1:8" x14ac:dyDescent="0.25">
      <c r="H68" s="162"/>
    </row>
    <row r="69" spans="1:8" x14ac:dyDescent="0.25">
      <c r="A69" t="s">
        <v>137</v>
      </c>
      <c r="C69" t="s">
        <v>64</v>
      </c>
      <c r="D69" t="s">
        <v>65</v>
      </c>
      <c r="E69" t="s">
        <v>141</v>
      </c>
      <c r="F69" t="s">
        <v>142</v>
      </c>
    </row>
    <row r="70" spans="1:8" x14ac:dyDescent="0.25">
      <c r="B70" t="s">
        <v>139</v>
      </c>
      <c r="C70" s="109">
        <v>21947745</v>
      </c>
      <c r="D70" s="109">
        <v>38111</v>
      </c>
    </row>
    <row r="71" spans="1:8" x14ac:dyDescent="0.25">
      <c r="B71" t="s">
        <v>140</v>
      </c>
      <c r="C71" s="109">
        <v>7452799</v>
      </c>
      <c r="D71" s="109">
        <v>40925</v>
      </c>
    </row>
    <row r="72" spans="1:8" x14ac:dyDescent="0.25">
      <c r="C72" s="163">
        <f>SUM(C70:C71)</f>
        <v>29400544</v>
      </c>
      <c r="D72" s="163">
        <f>SUM(D70:D71)</f>
        <v>79036</v>
      </c>
      <c r="E72" s="162">
        <f>C72/SUM(G21:G22)</f>
        <v>6.2946321306330433E-2</v>
      </c>
      <c r="F72" s="162">
        <f>D72/SUM(G34:G35)</f>
        <v>6.5229035322352885E-2</v>
      </c>
    </row>
    <row r="73" spans="1:8" x14ac:dyDescent="0.25">
      <c r="B73" t="s">
        <v>138</v>
      </c>
      <c r="C73" s="109">
        <v>31573402.002986562</v>
      </c>
      <c r="D73" s="109">
        <v>65619</v>
      </c>
      <c r="E73" s="108">
        <f>C73/SUM(G23:G24)</f>
        <v>0.48769077995518983</v>
      </c>
      <c r="F73" s="108">
        <f>D73/SUM(G36:G37)</f>
        <v>0.44496206033728664</v>
      </c>
    </row>
  </sheetData>
  <mergeCells count="5">
    <mergeCell ref="A4:G4"/>
    <mergeCell ref="A17:G17"/>
    <mergeCell ref="A30:G30"/>
    <mergeCell ref="A43:G43"/>
    <mergeCell ref="A56:G56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25" zoomScale="110" zoomScaleNormal="110" workbookViewId="0">
      <selection activeCell="N22" sqref="N22"/>
    </sheetView>
  </sheetViews>
  <sheetFormatPr defaultRowHeight="15" x14ac:dyDescent="0.25"/>
  <cols>
    <col min="1" max="1" width="6.85546875" customWidth="1"/>
    <col min="2" max="2" width="39" customWidth="1"/>
    <col min="3" max="6" width="14.7109375" customWidth="1"/>
    <col min="8" max="8" width="14.28515625" bestFit="1" customWidth="1"/>
    <col min="10" max="10" width="11.5703125" bestFit="1" customWidth="1"/>
  </cols>
  <sheetData>
    <row r="1" spans="1:6" ht="18.75" x14ac:dyDescent="0.3">
      <c r="A1" s="251" t="s">
        <v>34</v>
      </c>
      <c r="B1" s="250"/>
      <c r="C1" s="250"/>
      <c r="D1" s="250"/>
      <c r="E1" s="250"/>
    </row>
    <row r="2" spans="1:6" ht="18.75" x14ac:dyDescent="0.3">
      <c r="A2" s="251" t="s">
        <v>170</v>
      </c>
      <c r="B2" s="250"/>
      <c r="C2" s="250"/>
      <c r="D2" s="250"/>
      <c r="E2" s="250"/>
    </row>
    <row r="3" spans="1:6" ht="19.5" thickBot="1" x14ac:dyDescent="0.35">
      <c r="A3" s="252" t="s">
        <v>174</v>
      </c>
      <c r="B3" s="142"/>
      <c r="C3" s="142"/>
      <c r="D3" s="142"/>
      <c r="E3" s="142"/>
      <c r="F3" s="142"/>
    </row>
    <row r="5" spans="1:6" x14ac:dyDescent="0.25">
      <c r="A5" s="118" t="s">
        <v>146</v>
      </c>
      <c r="B5" s="118"/>
      <c r="C5" s="118"/>
      <c r="D5" s="118"/>
      <c r="E5" s="118"/>
    </row>
    <row r="6" spans="1:6" ht="30" x14ac:dyDescent="0.25">
      <c r="A6" s="23" t="s">
        <v>92</v>
      </c>
      <c r="B6" s="120" t="s">
        <v>35</v>
      </c>
      <c r="C6" s="120" t="s">
        <v>36</v>
      </c>
      <c r="D6" s="25" t="s">
        <v>37</v>
      </c>
      <c r="E6" s="26" t="s">
        <v>38</v>
      </c>
    </row>
    <row r="7" spans="1:6" x14ac:dyDescent="0.25">
      <c r="A7" s="122">
        <v>1</v>
      </c>
      <c r="B7" s="119" t="s">
        <v>41</v>
      </c>
      <c r="C7" s="125">
        <v>36333</v>
      </c>
      <c r="D7" s="125">
        <v>277042719.94251806</v>
      </c>
      <c r="E7" s="126">
        <v>0</v>
      </c>
    </row>
    <row r="8" spans="1:6" x14ac:dyDescent="0.25">
      <c r="A8" s="123">
        <f>A7+1</f>
        <v>2</v>
      </c>
      <c r="B8" s="11" t="s">
        <v>42</v>
      </c>
      <c r="C8" s="125">
        <v>3850</v>
      </c>
      <c r="D8" s="127">
        <v>99899667.416754559</v>
      </c>
      <c r="E8" s="128">
        <v>0</v>
      </c>
    </row>
    <row r="9" spans="1:6" x14ac:dyDescent="0.25">
      <c r="A9" s="123">
        <f t="shared" ref="A9:A15" si="0">A8+1</f>
        <v>3</v>
      </c>
      <c r="B9" s="11" t="s">
        <v>43</v>
      </c>
      <c r="C9" s="125">
        <v>491</v>
      </c>
      <c r="D9" s="127">
        <v>483686334.25151187</v>
      </c>
      <c r="E9" s="128">
        <v>1287117.3058017949</v>
      </c>
    </row>
    <row r="10" spans="1:6" x14ac:dyDescent="0.25">
      <c r="A10" s="123">
        <f t="shared" si="0"/>
        <v>4</v>
      </c>
      <c r="B10" s="11" t="s">
        <v>91</v>
      </c>
      <c r="C10" s="125">
        <v>2</v>
      </c>
      <c r="D10" s="127">
        <v>40550980.966088027</v>
      </c>
      <c r="E10" s="128">
        <v>94834</v>
      </c>
    </row>
    <row r="11" spans="1:6" x14ac:dyDescent="0.25">
      <c r="A11" s="123">
        <f t="shared" si="0"/>
        <v>5</v>
      </c>
      <c r="B11" s="11" t="s">
        <v>44</v>
      </c>
      <c r="C11" s="125">
        <v>335</v>
      </c>
      <c r="D11" s="127">
        <v>1288075</v>
      </c>
      <c r="E11" s="128">
        <v>0</v>
      </c>
    </row>
    <row r="12" spans="1:6" x14ac:dyDescent="0.25">
      <c r="A12" s="123">
        <f t="shared" si="0"/>
        <v>6</v>
      </c>
      <c r="B12" s="11" t="s">
        <v>45</v>
      </c>
      <c r="C12" s="125">
        <v>532</v>
      </c>
      <c r="D12" s="127">
        <v>396340</v>
      </c>
      <c r="E12" s="128">
        <v>1110</v>
      </c>
    </row>
    <row r="13" spans="1:6" x14ac:dyDescent="0.25">
      <c r="A13" s="123">
        <f t="shared" si="0"/>
        <v>7</v>
      </c>
      <c r="B13" s="11" t="s">
        <v>46</v>
      </c>
      <c r="C13" s="125">
        <v>12984</v>
      </c>
      <c r="D13" s="127">
        <v>6452814.8100000005</v>
      </c>
      <c r="E13" s="128">
        <v>19358</v>
      </c>
    </row>
    <row r="14" spans="1:6" x14ac:dyDescent="0.25">
      <c r="A14" s="124">
        <f t="shared" si="0"/>
        <v>8</v>
      </c>
      <c r="B14" s="121" t="s">
        <v>155</v>
      </c>
      <c r="C14" s="125">
        <v>1</v>
      </c>
      <c r="D14" s="129">
        <v>4421657</v>
      </c>
      <c r="E14" s="130">
        <v>11231</v>
      </c>
    </row>
    <row r="15" spans="1:6" x14ac:dyDescent="0.25">
      <c r="A15" s="193">
        <f t="shared" si="0"/>
        <v>9</v>
      </c>
      <c r="B15" s="194" t="s">
        <v>32</v>
      </c>
      <c r="C15" s="195">
        <f>SUM(C7:C14)</f>
        <v>54528</v>
      </c>
      <c r="D15" s="195">
        <f>SUM(D7:D14)</f>
        <v>913738589.38687253</v>
      </c>
      <c r="E15" s="196">
        <f>SUM(E7:E14)</f>
        <v>1413650.3058017949</v>
      </c>
    </row>
    <row r="17" spans="1:5" x14ac:dyDescent="0.25">
      <c r="A17" s="107" t="s">
        <v>93</v>
      </c>
      <c r="B17" s="107"/>
      <c r="C17" s="107"/>
      <c r="D17" s="107"/>
      <c r="E17" s="107"/>
    </row>
    <row r="18" spans="1:5" ht="30" x14ac:dyDescent="0.25">
      <c r="A18" s="23" t="s">
        <v>92</v>
      </c>
      <c r="B18" s="120" t="s">
        <v>35</v>
      </c>
      <c r="C18" s="120" t="s">
        <v>36</v>
      </c>
      <c r="D18" s="25" t="s">
        <v>37</v>
      </c>
      <c r="E18" s="26" t="s">
        <v>38</v>
      </c>
    </row>
    <row r="19" spans="1:5" x14ac:dyDescent="0.25">
      <c r="A19" s="122">
        <v>1</v>
      </c>
      <c r="B19" s="119" t="s">
        <v>41</v>
      </c>
      <c r="C19" s="125"/>
      <c r="D19" s="125"/>
      <c r="E19" s="126"/>
    </row>
    <row r="20" spans="1:5" x14ac:dyDescent="0.25">
      <c r="A20" s="123">
        <f>A19+1</f>
        <v>2</v>
      </c>
      <c r="B20" s="11" t="s">
        <v>42</v>
      </c>
      <c r="C20" s="127"/>
      <c r="D20" s="127"/>
      <c r="E20" s="128"/>
    </row>
    <row r="21" spans="1:5" x14ac:dyDescent="0.25">
      <c r="A21" s="123">
        <f t="shared" ref="A21:A27" si="1">A20+1</f>
        <v>3</v>
      </c>
      <c r="B21" s="11" t="s">
        <v>43</v>
      </c>
      <c r="C21" s="127">
        <v>2</v>
      </c>
      <c r="D21" s="127">
        <v>9742011.039449947</v>
      </c>
      <c r="E21" s="128">
        <v>26425.305801794777</v>
      </c>
    </row>
    <row r="22" spans="1:5" x14ac:dyDescent="0.25">
      <c r="A22" s="123">
        <f t="shared" si="1"/>
        <v>4</v>
      </c>
      <c r="B22" s="11" t="s">
        <v>91</v>
      </c>
      <c r="C22" s="127"/>
      <c r="D22" s="127"/>
      <c r="E22" s="128"/>
    </row>
    <row r="23" spans="1:5" x14ac:dyDescent="0.25">
      <c r="A23" s="123">
        <f t="shared" si="1"/>
        <v>5</v>
      </c>
      <c r="B23" s="11" t="s">
        <v>44</v>
      </c>
      <c r="C23" s="127"/>
      <c r="D23" s="127"/>
      <c r="E23" s="128"/>
    </row>
    <row r="24" spans="1:5" x14ac:dyDescent="0.25">
      <c r="A24" s="123">
        <f t="shared" si="1"/>
        <v>6</v>
      </c>
      <c r="B24" s="11" t="s">
        <v>45</v>
      </c>
      <c r="C24" s="127"/>
      <c r="D24" s="127"/>
      <c r="E24" s="128"/>
    </row>
    <row r="25" spans="1:5" x14ac:dyDescent="0.25">
      <c r="A25" s="123">
        <f t="shared" si="1"/>
        <v>7</v>
      </c>
      <c r="B25" s="11" t="s">
        <v>46</v>
      </c>
      <c r="C25" s="127"/>
      <c r="D25" s="127"/>
      <c r="E25" s="128"/>
    </row>
    <row r="26" spans="1:5" x14ac:dyDescent="0.25">
      <c r="A26" s="124">
        <f t="shared" si="1"/>
        <v>8</v>
      </c>
      <c r="B26" s="121" t="s">
        <v>155</v>
      </c>
      <c r="C26" s="129"/>
      <c r="D26" s="129"/>
      <c r="E26" s="130"/>
    </row>
    <row r="27" spans="1:5" x14ac:dyDescent="0.25">
      <c r="A27" s="197">
        <f t="shared" si="1"/>
        <v>9</v>
      </c>
      <c r="B27" s="198" t="s">
        <v>32</v>
      </c>
      <c r="C27" s="199">
        <f>SUM(C19:C26)</f>
        <v>2</v>
      </c>
      <c r="D27" s="199">
        <f>SUM(D19:D26)</f>
        <v>9742011.039449947</v>
      </c>
      <c r="E27" s="200">
        <f>SUM(E19:E26)</f>
        <v>26425.305801794777</v>
      </c>
    </row>
    <row r="29" spans="1:5" x14ac:dyDescent="0.25">
      <c r="A29" s="118" t="s">
        <v>125</v>
      </c>
      <c r="B29" s="118"/>
      <c r="C29" s="118"/>
      <c r="D29" s="118"/>
      <c r="E29" s="118"/>
    </row>
    <row r="30" spans="1:5" ht="30" x14ac:dyDescent="0.25">
      <c r="A30" s="23" t="s">
        <v>92</v>
      </c>
      <c r="B30" s="120" t="s">
        <v>35</v>
      </c>
      <c r="C30" s="120" t="s">
        <v>36</v>
      </c>
      <c r="D30" s="25" t="s">
        <v>37</v>
      </c>
      <c r="E30" s="26" t="s">
        <v>38</v>
      </c>
    </row>
    <row r="31" spans="1:5" x14ac:dyDescent="0.25">
      <c r="A31" s="122">
        <v>1</v>
      </c>
      <c r="B31" s="119" t="s">
        <v>41</v>
      </c>
      <c r="C31" s="125"/>
      <c r="D31" s="125"/>
      <c r="E31" s="126"/>
    </row>
    <row r="32" spans="1:5" x14ac:dyDescent="0.25">
      <c r="A32" s="123">
        <f>A31+1</f>
        <v>2</v>
      </c>
      <c r="B32" s="11" t="s">
        <v>42</v>
      </c>
      <c r="C32" s="127"/>
      <c r="D32" s="127"/>
      <c r="E32" s="128"/>
    </row>
    <row r="33" spans="1:6" x14ac:dyDescent="0.25">
      <c r="A33" s="123">
        <f t="shared" ref="A33:A39" si="2">A32+1</f>
        <v>3</v>
      </c>
      <c r="B33" s="11" t="s">
        <v>43</v>
      </c>
      <c r="C33" s="127"/>
      <c r="D33" s="127"/>
      <c r="E33" s="128"/>
    </row>
    <row r="34" spans="1:6" x14ac:dyDescent="0.25">
      <c r="A34" s="123">
        <f t="shared" si="2"/>
        <v>4</v>
      </c>
      <c r="B34" s="11" t="s">
        <v>91</v>
      </c>
      <c r="C34" s="127">
        <f>C10</f>
        <v>2</v>
      </c>
      <c r="D34" s="127">
        <f>D10</f>
        <v>40550980.966088027</v>
      </c>
      <c r="E34" s="164">
        <f>E10</f>
        <v>94834</v>
      </c>
    </row>
    <row r="35" spans="1:6" x14ac:dyDescent="0.25">
      <c r="A35" s="123">
        <f t="shared" si="2"/>
        <v>5</v>
      </c>
      <c r="B35" s="11" t="s">
        <v>44</v>
      </c>
      <c r="C35" s="127"/>
      <c r="D35" s="127"/>
      <c r="E35" s="128"/>
    </row>
    <row r="36" spans="1:6" x14ac:dyDescent="0.25">
      <c r="A36" s="123">
        <f t="shared" si="2"/>
        <v>6</v>
      </c>
      <c r="B36" s="11" t="s">
        <v>45</v>
      </c>
      <c r="C36" s="127"/>
      <c r="D36" s="127"/>
      <c r="E36" s="128"/>
    </row>
    <row r="37" spans="1:6" x14ac:dyDescent="0.25">
      <c r="A37" s="123">
        <f t="shared" si="2"/>
        <v>7</v>
      </c>
      <c r="B37" s="11" t="s">
        <v>46</v>
      </c>
      <c r="C37" s="127"/>
      <c r="D37" s="127"/>
      <c r="E37" s="128"/>
    </row>
    <row r="38" spans="1:6" x14ac:dyDescent="0.25">
      <c r="A38" s="124">
        <f t="shared" si="2"/>
        <v>8</v>
      </c>
      <c r="B38" s="121" t="s">
        <v>155</v>
      </c>
      <c r="C38" s="129"/>
      <c r="D38" s="129"/>
      <c r="E38" s="130"/>
    </row>
    <row r="39" spans="1:6" x14ac:dyDescent="0.25">
      <c r="A39" s="201">
        <f t="shared" si="2"/>
        <v>9</v>
      </c>
      <c r="B39" s="198" t="s">
        <v>32</v>
      </c>
      <c r="C39" s="199">
        <f>SUM(C31:C38)</f>
        <v>2</v>
      </c>
      <c r="D39" s="199">
        <f>SUM(D31:D38)</f>
        <v>40550980.966088027</v>
      </c>
      <c r="E39" s="200">
        <f>SUM(E31:E38)</f>
        <v>94834</v>
      </c>
    </row>
    <row r="41" spans="1:6" x14ac:dyDescent="0.25">
      <c r="A41" s="118" t="s">
        <v>126</v>
      </c>
      <c r="B41" s="118"/>
      <c r="C41" s="118"/>
      <c r="D41" s="118"/>
      <c r="E41" s="118"/>
      <c r="F41" s="118"/>
    </row>
    <row r="42" spans="1:6" ht="30" x14ac:dyDescent="0.25">
      <c r="A42" s="23" t="s">
        <v>92</v>
      </c>
      <c r="B42" s="120" t="s">
        <v>35</v>
      </c>
      <c r="C42" s="120" t="s">
        <v>151</v>
      </c>
      <c r="D42" s="25" t="s">
        <v>152</v>
      </c>
      <c r="E42" s="25" t="s">
        <v>150</v>
      </c>
      <c r="F42" s="26" t="s">
        <v>153</v>
      </c>
    </row>
    <row r="43" spans="1:6" x14ac:dyDescent="0.25">
      <c r="A43" s="122">
        <v>1</v>
      </c>
      <c r="B43" s="119" t="s">
        <v>41</v>
      </c>
      <c r="C43" s="202">
        <v>9.0281118605656588E-2</v>
      </c>
      <c r="D43" s="125">
        <f t="shared" ref="D43:D50" si="3">C43*D7</f>
        <v>25011726.657964174</v>
      </c>
      <c r="E43" s="204"/>
      <c r="F43" s="126">
        <f t="shared" ref="F43:F50" si="4">E43*E7</f>
        <v>0</v>
      </c>
    </row>
    <row r="44" spans="1:6" x14ac:dyDescent="0.25">
      <c r="A44" s="123">
        <f>A43+1</f>
        <v>2</v>
      </c>
      <c r="B44" s="11" t="s">
        <v>42</v>
      </c>
      <c r="C44" s="202">
        <v>0.1568438114542838</v>
      </c>
      <c r="D44" s="125">
        <f t="shared" si="3"/>
        <v>15668644.600659112</v>
      </c>
      <c r="E44" s="204"/>
      <c r="F44" s="126">
        <f t="shared" si="4"/>
        <v>0</v>
      </c>
    </row>
    <row r="45" spans="1:6" x14ac:dyDescent="0.25">
      <c r="A45" s="123">
        <f t="shared" ref="A45:A51" si="5">A44+1</f>
        <v>3</v>
      </c>
      <c r="B45" s="11" t="s">
        <v>43</v>
      </c>
      <c r="C45" s="202">
        <v>0.90261108027757697</v>
      </c>
      <c r="D45" s="125">
        <f t="shared" si="3"/>
        <v>436580644.67425829</v>
      </c>
      <c r="E45" s="204">
        <v>0.89860514711526007</v>
      </c>
      <c r="F45" s="126">
        <f t="shared" si="4"/>
        <v>1156610.2359346191</v>
      </c>
    </row>
    <row r="46" spans="1:6" x14ac:dyDescent="0.25">
      <c r="A46" s="123">
        <f t="shared" si="5"/>
        <v>4</v>
      </c>
      <c r="B46" s="11" t="s">
        <v>91</v>
      </c>
      <c r="C46" s="202">
        <v>1</v>
      </c>
      <c r="D46" s="125">
        <f t="shared" si="3"/>
        <v>40550980.966088027</v>
      </c>
      <c r="E46" s="204">
        <v>1</v>
      </c>
      <c r="F46" s="126">
        <f t="shared" si="4"/>
        <v>94834</v>
      </c>
    </row>
    <row r="47" spans="1:6" x14ac:dyDescent="0.25">
      <c r="A47" s="123">
        <f t="shared" si="5"/>
        <v>5</v>
      </c>
      <c r="B47" s="11" t="s">
        <v>44</v>
      </c>
      <c r="C47" s="202">
        <v>4.5394072736163376E-3</v>
      </c>
      <c r="D47" s="125">
        <f t="shared" si="3"/>
        <v>5847.0970239633643</v>
      </c>
      <c r="E47" s="204"/>
      <c r="F47" s="126">
        <f t="shared" si="4"/>
        <v>0</v>
      </c>
    </row>
    <row r="48" spans="1:6" x14ac:dyDescent="0.25">
      <c r="A48" s="123">
        <f t="shared" si="5"/>
        <v>6</v>
      </c>
      <c r="B48" s="11" t="s">
        <v>45</v>
      </c>
      <c r="C48" s="202">
        <v>0</v>
      </c>
      <c r="D48" s="125">
        <f t="shared" si="3"/>
        <v>0</v>
      </c>
      <c r="E48" s="204">
        <v>0</v>
      </c>
      <c r="F48" s="126">
        <f t="shared" si="4"/>
        <v>0</v>
      </c>
    </row>
    <row r="49" spans="1:6" x14ac:dyDescent="0.25">
      <c r="A49" s="123">
        <f t="shared" si="5"/>
        <v>7</v>
      </c>
      <c r="B49" s="11" t="s">
        <v>46</v>
      </c>
      <c r="C49" s="202">
        <v>1</v>
      </c>
      <c r="D49" s="125">
        <f t="shared" si="3"/>
        <v>6452814.8100000005</v>
      </c>
      <c r="E49" s="204">
        <v>1</v>
      </c>
      <c r="F49" s="126">
        <f t="shared" si="4"/>
        <v>19358</v>
      </c>
    </row>
    <row r="50" spans="1:6" x14ac:dyDescent="0.25">
      <c r="A50" s="124">
        <f t="shared" si="5"/>
        <v>8</v>
      </c>
      <c r="B50" s="121" t="s">
        <v>155</v>
      </c>
      <c r="C50" s="203">
        <v>1</v>
      </c>
      <c r="D50" s="125">
        <f t="shared" si="3"/>
        <v>4421657</v>
      </c>
      <c r="E50" s="204">
        <v>1</v>
      </c>
      <c r="F50" s="126">
        <f t="shared" si="4"/>
        <v>11231</v>
      </c>
    </row>
    <row r="51" spans="1:6" x14ac:dyDescent="0.25">
      <c r="A51" s="201">
        <f t="shared" si="5"/>
        <v>9</v>
      </c>
      <c r="B51" s="198" t="s">
        <v>32</v>
      </c>
      <c r="C51" s="198"/>
      <c r="D51" s="199">
        <f t="shared" ref="D51" si="6">SUM(D43:D50)</f>
        <v>528692315.80599362</v>
      </c>
      <c r="E51" s="199"/>
      <c r="F51" s="200">
        <f>SUM(F43:F50)</f>
        <v>1282033.2359346191</v>
      </c>
    </row>
  </sheetData>
  <pageMargins left="0.25" right="0.25" top="0.25" bottom="0.25" header="0.3" footer="0.3"/>
  <pageSetup fitToHeight="2" orientation="landscape" r:id="rId1"/>
  <headerFooter>
    <oddFooter>&amp;L&amp;F&amp;R&amp;P/&amp;N</oddFooter>
  </headerFooter>
  <rowBreaks count="1" manualBreakCount="1">
    <brk id="28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showGridLines="0" zoomScale="110" zoomScaleNormal="110" workbookViewId="0">
      <selection activeCell="N22" sqref="N22"/>
    </sheetView>
  </sheetViews>
  <sheetFormatPr defaultRowHeight="15" x14ac:dyDescent="0.25"/>
  <cols>
    <col min="1" max="1" width="43.85546875" style="17" customWidth="1"/>
    <col min="2" max="2" width="13.7109375" style="19" customWidth="1"/>
    <col min="3" max="3" width="14.28515625" style="19" bestFit="1" customWidth="1"/>
    <col min="4" max="5" width="13.7109375" style="19" customWidth="1"/>
    <col min="6" max="12" width="13.7109375" style="17" customWidth="1"/>
    <col min="13" max="13" width="15.5703125" style="17" bestFit="1" customWidth="1"/>
    <col min="14" max="14" width="11.140625" style="17" bestFit="1" customWidth="1"/>
    <col min="15" max="16384" width="9.140625" style="17"/>
  </cols>
  <sheetData>
    <row r="1" spans="1:8" ht="18.75" x14ac:dyDescent="0.3">
      <c r="A1" s="251" t="s">
        <v>34</v>
      </c>
      <c r="B1" s="16"/>
      <c r="C1" s="16"/>
      <c r="D1" s="16"/>
      <c r="E1" s="16"/>
      <c r="F1" s="15"/>
      <c r="G1" s="15"/>
      <c r="H1" s="15"/>
    </row>
    <row r="2" spans="1:8" ht="18.75" x14ac:dyDescent="0.3">
      <c r="A2" s="251" t="s">
        <v>170</v>
      </c>
      <c r="B2" s="16"/>
      <c r="C2" s="16"/>
      <c r="D2" s="16"/>
      <c r="E2" s="16"/>
      <c r="F2" s="15"/>
      <c r="G2" s="15"/>
      <c r="H2" s="15"/>
    </row>
    <row r="3" spans="1:8" ht="19.5" thickBot="1" x14ac:dyDescent="0.35">
      <c r="A3" s="252" t="s">
        <v>175</v>
      </c>
      <c r="B3" s="18"/>
      <c r="C3" s="18"/>
      <c r="D3" s="18"/>
      <c r="E3" s="18"/>
      <c r="F3" s="5"/>
      <c r="G3" s="5"/>
      <c r="H3" s="5"/>
    </row>
    <row r="4" spans="1:8" x14ac:dyDescent="0.25">
      <c r="F4" s="19"/>
      <c r="G4" s="19"/>
    </row>
    <row r="5" spans="1:8" x14ac:dyDescent="0.25">
      <c r="A5" s="20" t="s">
        <v>84</v>
      </c>
      <c r="B5" s="21"/>
      <c r="C5" s="21"/>
      <c r="D5" s="21"/>
      <c r="E5" s="21"/>
      <c r="F5" s="22"/>
    </row>
    <row r="6" spans="1:8" ht="30" x14ac:dyDescent="0.25">
      <c r="A6" s="23" t="s">
        <v>35</v>
      </c>
      <c r="B6" s="24" t="s">
        <v>36</v>
      </c>
      <c r="C6" s="25" t="s">
        <v>37</v>
      </c>
      <c r="D6" s="25" t="s">
        <v>38</v>
      </c>
      <c r="E6" s="25" t="s">
        <v>39</v>
      </c>
      <c r="F6" s="26" t="s">
        <v>40</v>
      </c>
    </row>
    <row r="7" spans="1:8" x14ac:dyDescent="0.25">
      <c r="A7" s="27" t="s">
        <v>41</v>
      </c>
      <c r="B7" s="131">
        <f>'3. 2016 Billing Determinants'!C7</f>
        <v>36333</v>
      </c>
      <c r="C7" s="131">
        <f>'3. 2016 Billing Determinants'!D7</f>
        <v>277042719.94251806</v>
      </c>
      <c r="D7" s="131">
        <f>'3. 2016 Billing Determinants'!E7</f>
        <v>0</v>
      </c>
      <c r="E7" s="125">
        <f>'3. 2016 Billing Determinants'!D43</f>
        <v>25011726.657964174</v>
      </c>
      <c r="F7" s="126">
        <f>'3. 2016 Billing Determinants'!F43</f>
        <v>0</v>
      </c>
    </row>
    <row r="8" spans="1:8" x14ac:dyDescent="0.25">
      <c r="A8" s="28" t="s">
        <v>42</v>
      </c>
      <c r="B8" s="131">
        <f>'3. 2016 Billing Determinants'!C8</f>
        <v>3850</v>
      </c>
      <c r="C8" s="131">
        <f>'3. 2016 Billing Determinants'!D8</f>
        <v>99899667.416754559</v>
      </c>
      <c r="D8" s="131">
        <f>'3. 2016 Billing Determinants'!E8</f>
        <v>0</v>
      </c>
      <c r="E8" s="125">
        <f>'3. 2016 Billing Determinants'!D44</f>
        <v>15668644.600659112</v>
      </c>
      <c r="F8" s="126">
        <f>'3. 2016 Billing Determinants'!F44</f>
        <v>0</v>
      </c>
    </row>
    <row r="9" spans="1:8" x14ac:dyDescent="0.25">
      <c r="A9" s="28" t="s">
        <v>43</v>
      </c>
      <c r="B9" s="131">
        <f>'3. 2016 Billing Determinants'!C9</f>
        <v>491</v>
      </c>
      <c r="C9" s="131">
        <f>'3. 2016 Billing Determinants'!D9-C10</f>
        <v>473944323.21206194</v>
      </c>
      <c r="D9" s="131">
        <f>'3. 2016 Billing Determinants'!E9-D10</f>
        <v>1260692</v>
      </c>
      <c r="E9" s="125">
        <f>'3. 2016 Billing Determinants'!D45-E10</f>
        <v>426838633.63480836</v>
      </c>
      <c r="F9" s="126">
        <f>'3. 2016 Billing Determinants'!F45-F10</f>
        <v>1130184.9301328242</v>
      </c>
      <c r="H9" s="29"/>
    </row>
    <row r="10" spans="1:8" x14ac:dyDescent="0.25">
      <c r="A10" s="111" t="s">
        <v>96</v>
      </c>
      <c r="B10" s="131">
        <f>'3. 2016 Billing Determinants'!C21</f>
        <v>2</v>
      </c>
      <c r="C10" s="131">
        <f>'3. 2016 Billing Determinants'!D21</f>
        <v>9742011.039449947</v>
      </c>
      <c r="D10" s="131">
        <f>'3. 2016 Billing Determinants'!E21</f>
        <v>26425.305801794777</v>
      </c>
      <c r="E10" s="125">
        <f>C10</f>
        <v>9742011.039449947</v>
      </c>
      <c r="F10" s="126">
        <f>D10</f>
        <v>26425.305801794777</v>
      </c>
    </row>
    <row r="11" spans="1:8" x14ac:dyDescent="0.25">
      <c r="A11" s="112" t="s">
        <v>53</v>
      </c>
      <c r="B11" s="131">
        <f>'3. 2016 Billing Determinants'!C34</f>
        <v>2</v>
      </c>
      <c r="C11" s="131">
        <f>'3. 2016 Billing Determinants'!D34</f>
        <v>40550980.966088027</v>
      </c>
      <c r="D11" s="131">
        <f>'3. 2016 Billing Determinants'!E34</f>
        <v>94834</v>
      </c>
      <c r="E11" s="125">
        <f>C11</f>
        <v>40550980.966088027</v>
      </c>
      <c r="F11" s="128">
        <f>D11</f>
        <v>94834</v>
      </c>
    </row>
    <row r="12" spans="1:8" x14ac:dyDescent="0.25">
      <c r="A12" s="28" t="s">
        <v>44</v>
      </c>
      <c r="B12" s="131">
        <f>'3. 2016 Billing Determinants'!C11</f>
        <v>335</v>
      </c>
      <c r="C12" s="131">
        <f>'3. 2016 Billing Determinants'!D11</f>
        <v>1288075</v>
      </c>
      <c r="D12" s="131">
        <f>'3. 2016 Billing Determinants'!E11</f>
        <v>0</v>
      </c>
      <c r="E12" s="125">
        <f>'3. 2016 Billing Determinants'!D47</f>
        <v>5847.0970239633643</v>
      </c>
      <c r="F12" s="128">
        <f>'3. 2016 Billing Determinants'!F47</f>
        <v>0</v>
      </c>
    </row>
    <row r="13" spans="1:8" x14ac:dyDescent="0.25">
      <c r="A13" s="28" t="s">
        <v>45</v>
      </c>
      <c r="B13" s="131">
        <f>'3. 2016 Billing Determinants'!C12</f>
        <v>532</v>
      </c>
      <c r="C13" s="131">
        <f>'3. 2016 Billing Determinants'!D12</f>
        <v>396340</v>
      </c>
      <c r="D13" s="131">
        <f>'3. 2016 Billing Determinants'!E12</f>
        <v>1110</v>
      </c>
      <c r="E13" s="125">
        <f>'3. 2016 Billing Determinants'!D48</f>
        <v>0</v>
      </c>
      <c r="F13" s="128">
        <f>'3. 2016 Billing Determinants'!F48</f>
        <v>0</v>
      </c>
    </row>
    <row r="14" spans="1:8" x14ac:dyDescent="0.25">
      <c r="A14" s="28" t="s">
        <v>46</v>
      </c>
      <c r="B14" s="131">
        <f>'3. 2016 Billing Determinants'!C13</f>
        <v>12984</v>
      </c>
      <c r="C14" s="131">
        <f>'3. 2016 Billing Determinants'!D13</f>
        <v>6452814.8100000005</v>
      </c>
      <c r="D14" s="131">
        <f>'3. 2016 Billing Determinants'!E13</f>
        <v>19358</v>
      </c>
      <c r="E14" s="125">
        <f>'3. 2016 Billing Determinants'!D49</f>
        <v>6452814.8100000005</v>
      </c>
      <c r="F14" s="128">
        <f>'3. 2016 Billing Determinants'!F49</f>
        <v>19358</v>
      </c>
    </row>
    <row r="15" spans="1:8" x14ac:dyDescent="0.25">
      <c r="A15" s="28" t="s">
        <v>155</v>
      </c>
      <c r="B15" s="131">
        <f>'3. 2016 Billing Determinants'!C14</f>
        <v>1</v>
      </c>
      <c r="C15" s="131">
        <f>'3. 2016 Billing Determinants'!D14</f>
        <v>4421657</v>
      </c>
      <c r="D15" s="131">
        <f>'3. 2016 Billing Determinants'!E14</f>
        <v>11231</v>
      </c>
      <c r="E15" s="125">
        <f>'3. 2016 Billing Determinants'!D50</f>
        <v>4421657</v>
      </c>
      <c r="F15" s="128">
        <f>'3. 2016 Billing Determinants'!F50</f>
        <v>11231</v>
      </c>
    </row>
    <row r="16" spans="1:8" x14ac:dyDescent="0.25">
      <c r="A16" s="136" t="s">
        <v>32</v>
      </c>
      <c r="B16" s="137">
        <f>SUM(B7:B15)</f>
        <v>54530</v>
      </c>
      <c r="C16" s="138">
        <f>SUM(C7:C15)</f>
        <v>913738589.38687253</v>
      </c>
      <c r="D16" s="138">
        <f>SUM(D7:D15)</f>
        <v>1413650.3058017949</v>
      </c>
      <c r="E16" s="138">
        <f>SUM(E7:E15)</f>
        <v>528692315.80599362</v>
      </c>
      <c r="F16" s="139">
        <f>SUM(F7:F15)</f>
        <v>1282033.2359346191</v>
      </c>
      <c r="H16" s="19"/>
    </row>
    <row r="17" spans="1:8" x14ac:dyDescent="0.25">
      <c r="A17" s="28" t="s">
        <v>154</v>
      </c>
      <c r="B17" s="131"/>
      <c r="C17" s="131">
        <f>C16-C15</f>
        <v>909316932.38687253</v>
      </c>
      <c r="D17" s="131"/>
      <c r="E17" s="125">
        <f>E16-E15</f>
        <v>524270658.80599362</v>
      </c>
      <c r="F17" s="128"/>
    </row>
    <row r="18" spans="1:8" x14ac:dyDescent="0.25">
      <c r="A18" s="28" t="s">
        <v>156</v>
      </c>
      <c r="B18" s="131"/>
      <c r="C18" s="131">
        <f>C16-C10-C15</f>
        <v>899574921.3474226</v>
      </c>
      <c r="D18" s="131"/>
      <c r="E18" s="125"/>
      <c r="F18" s="128"/>
      <c r="G18" s="34"/>
      <c r="H18" s="33"/>
    </row>
    <row r="19" spans="1:8" ht="30" x14ac:dyDescent="0.25">
      <c r="A19" s="205" t="s">
        <v>158</v>
      </c>
      <c r="B19" s="133"/>
      <c r="C19" s="133"/>
      <c r="D19" s="133"/>
      <c r="E19" s="206">
        <f>E16-E10-E11-E15</f>
        <v>473977666.80045569</v>
      </c>
      <c r="F19" s="135"/>
      <c r="G19" s="34"/>
      <c r="H19" s="33"/>
    </row>
    <row r="21" spans="1:8" x14ac:dyDescent="0.25">
      <c r="A21" s="20" t="s">
        <v>47</v>
      </c>
      <c r="B21" s="21"/>
      <c r="C21" s="21"/>
      <c r="D21" s="21"/>
      <c r="E21" s="21"/>
      <c r="F21" s="21"/>
      <c r="G21" s="21"/>
      <c r="H21" s="22"/>
    </row>
    <row r="22" spans="1:8" x14ac:dyDescent="0.25">
      <c r="A22" s="35" t="s">
        <v>48</v>
      </c>
      <c r="B22" s="36">
        <v>1550</v>
      </c>
      <c r="C22" s="36">
        <v>1551</v>
      </c>
      <c r="D22" s="36">
        <v>1580</v>
      </c>
      <c r="E22" s="36">
        <v>1584</v>
      </c>
      <c r="F22" s="36">
        <v>1586</v>
      </c>
      <c r="G22" s="36">
        <v>1588</v>
      </c>
      <c r="H22" s="37">
        <v>1589</v>
      </c>
    </row>
    <row r="23" spans="1:8" x14ac:dyDescent="0.25">
      <c r="A23" s="38" t="s">
        <v>49</v>
      </c>
      <c r="B23" s="39">
        <f>'2. Disposition'!N8</f>
        <v>332721.49020342465</v>
      </c>
      <c r="C23" s="39">
        <f>'2. Disposition'!N9</f>
        <v>-3258.3231599999986</v>
      </c>
      <c r="D23" s="39">
        <f>'2. Disposition'!N11</f>
        <v>-73970.11703466656</v>
      </c>
      <c r="E23" s="39">
        <f>'2. Disposition'!N12</f>
        <v>33322.193324000014</v>
      </c>
      <c r="F23" s="39">
        <f>'2. Disposition'!N13</f>
        <v>707984.22320800018</v>
      </c>
      <c r="G23" s="39">
        <f>'2. Disposition'!N14</f>
        <v>408838.73660533299</v>
      </c>
      <c r="H23" s="40">
        <f>'2. Disposition'!N15</f>
        <v>1812670.4847986661</v>
      </c>
    </row>
    <row r="24" spans="1:8" s="44" customFormat="1" ht="36" x14ac:dyDescent="0.25">
      <c r="A24" s="41" t="s">
        <v>50</v>
      </c>
      <c r="B24" s="42" t="s">
        <v>51</v>
      </c>
      <c r="C24" s="42" t="s">
        <v>52</v>
      </c>
      <c r="D24" s="42" t="s">
        <v>97</v>
      </c>
      <c r="E24" s="42" t="s">
        <v>51</v>
      </c>
      <c r="F24" s="42" t="s">
        <v>51</v>
      </c>
      <c r="G24" s="42" t="s">
        <v>97</v>
      </c>
      <c r="H24" s="43" t="s">
        <v>98</v>
      </c>
    </row>
    <row r="25" spans="1:8" x14ac:dyDescent="0.25">
      <c r="A25" s="27" t="s">
        <v>41</v>
      </c>
      <c r="B25" s="45">
        <f>$B$23*C7/$C$17</f>
        <v>101370.66994598437</v>
      </c>
      <c r="C25" s="45">
        <f>$C$23*B7/SUM($B$7:$B$8)</f>
        <v>-2946.1378038543648</v>
      </c>
      <c r="D25" s="45">
        <f>$D$23*(C7/$C$18)</f>
        <v>-22780.628863080437</v>
      </c>
      <c r="E25" s="45">
        <f>$E$23*(C7/$C$17)</f>
        <v>10152.314054791766</v>
      </c>
      <c r="F25" s="45">
        <f>$F$23*(C7/$C$17)</f>
        <v>215702.43320893738</v>
      </c>
      <c r="G25" s="45">
        <f>$G$23*(C7/$C$18)</f>
        <v>125910.35267785113</v>
      </c>
      <c r="H25" s="46">
        <f>$H$23*(E7/$E$19)</f>
        <v>95654.335346207183</v>
      </c>
    </row>
    <row r="26" spans="1:8" x14ac:dyDescent="0.25">
      <c r="A26" s="28" t="s">
        <v>42</v>
      </c>
      <c r="B26" s="45">
        <f t="shared" ref="B26:B32" si="0">$B$23*C8/$C$17</f>
        <v>36553.554684702074</v>
      </c>
      <c r="C26" s="45">
        <f>$C$23*B8/SUM($B$7:$B$8)</f>
        <v>-312.18535614563359</v>
      </c>
      <c r="D26" s="45">
        <f>$D$23*(C8/$C$18)</f>
        <v>-8214.5354602295374</v>
      </c>
      <c r="E26" s="45">
        <f t="shared" ref="E26:E32" si="1">$E$23*(C8/$C$17)</f>
        <v>3660.8534517513162</v>
      </c>
      <c r="F26" s="45">
        <f t="shared" ref="F26:F32" si="2">$F$23*(C8/$C$17)</f>
        <v>77780.788980950485</v>
      </c>
      <c r="G26" s="45">
        <f>$G$23*(C8/$C$18)</f>
        <v>45402.392668731438</v>
      </c>
      <c r="H26" s="46">
        <f>$H$23*(E8/$E$19)</f>
        <v>59922.843614427118</v>
      </c>
    </row>
    <row r="27" spans="1:8" x14ac:dyDescent="0.25">
      <c r="A27" s="28" t="s">
        <v>43</v>
      </c>
      <c r="B27" s="45">
        <f t="shared" si="0"/>
        <v>173417.49160949345</v>
      </c>
      <c r="C27" s="47"/>
      <c r="D27" s="45">
        <f>$D$23*(C9/$C$18)</f>
        <v>-38971.425529961503</v>
      </c>
      <c r="E27" s="45">
        <f t="shared" si="1"/>
        <v>17367.832710900777</v>
      </c>
      <c r="F27" s="45">
        <f t="shared" si="2"/>
        <v>369007.86905216676</v>
      </c>
      <c r="G27" s="45">
        <f>$G$23*(C9/$C$18)</f>
        <v>215398.17721136182</v>
      </c>
      <c r="H27" s="46">
        <f>$H$23*(E9/$E$19)</f>
        <v>1632392.9314740119</v>
      </c>
    </row>
    <row r="28" spans="1:8" x14ac:dyDescent="0.25">
      <c r="A28" s="111" t="s">
        <v>96</v>
      </c>
      <c r="B28" s="45">
        <f t="shared" si="0"/>
        <v>3564.6278158657933</v>
      </c>
      <c r="C28" s="47"/>
      <c r="D28" s="45">
        <v>0</v>
      </c>
      <c r="E28" s="45">
        <f t="shared" si="1"/>
        <v>356.99893365999742</v>
      </c>
      <c r="F28" s="45">
        <f t="shared" si="2"/>
        <v>7585.0232989110291</v>
      </c>
      <c r="G28" s="45">
        <v>0</v>
      </c>
      <c r="H28" s="46">
        <v>0</v>
      </c>
    </row>
    <row r="29" spans="1:8" x14ac:dyDescent="0.25">
      <c r="A29" s="112" t="s">
        <v>53</v>
      </c>
      <c r="B29" s="45">
        <f t="shared" si="0"/>
        <v>14837.712062428873</v>
      </c>
      <c r="C29" s="47"/>
      <c r="D29" s="45">
        <f>$D$23*(C11/$C$18)</f>
        <v>-3334.4202208740926</v>
      </c>
      <c r="E29" s="45">
        <f t="shared" si="1"/>
        <v>1486.0029315443742</v>
      </c>
      <c r="F29" s="45">
        <f t="shared" si="2"/>
        <v>31572.550490441852</v>
      </c>
      <c r="G29" s="45">
        <f>$G$23*(C11/$C$18)</f>
        <v>18429.606509538822</v>
      </c>
      <c r="H29" s="46">
        <v>0</v>
      </c>
    </row>
    <row r="30" spans="1:8" x14ac:dyDescent="0.25">
      <c r="A30" s="28" t="s">
        <v>44</v>
      </c>
      <c r="B30" s="45">
        <f t="shared" si="0"/>
        <v>471.31007708040704</v>
      </c>
      <c r="C30" s="47"/>
      <c r="D30" s="45">
        <f>$D$23*(C12/$C$18)</f>
        <v>-105.91564553257552</v>
      </c>
      <c r="E30" s="45">
        <f t="shared" si="1"/>
        <v>47.201896981227883</v>
      </c>
      <c r="F30" s="45">
        <f t="shared" si="2"/>
        <v>1002.8811141951305</v>
      </c>
      <c r="G30" s="45">
        <f>$G$23*(C12/$C$18)</f>
        <v>585.40422054466273</v>
      </c>
      <c r="H30" s="46">
        <f>$H$23*(E12/$E$19)</f>
        <v>22.361518146285619</v>
      </c>
    </row>
    <row r="31" spans="1:8" x14ac:dyDescent="0.25">
      <c r="A31" s="28" t="s">
        <v>45</v>
      </c>
      <c r="B31" s="45">
        <f t="shared" si="0"/>
        <v>145.02186281858474</v>
      </c>
      <c r="C31" s="47"/>
      <c r="D31" s="45">
        <f>$D$23*(C13/$C$18)</f>
        <v>-32.590188421001095</v>
      </c>
      <c r="E31" s="45">
        <f t="shared" si="1"/>
        <v>14.523998873931921</v>
      </c>
      <c r="F31" s="45">
        <f t="shared" si="2"/>
        <v>308.58599134374782</v>
      </c>
      <c r="G31" s="45">
        <f>$G$23*(C13/$C$18)</f>
        <v>180.12857075144819</v>
      </c>
      <c r="H31" s="46">
        <f>$H$23*(E13/$E$19)</f>
        <v>0</v>
      </c>
    </row>
    <row r="32" spans="1:8" x14ac:dyDescent="0.25">
      <c r="A32" s="28" t="s">
        <v>46</v>
      </c>
      <c r="B32" s="45">
        <f t="shared" si="0"/>
        <v>2361.1021450510975</v>
      </c>
      <c r="C32" s="47"/>
      <c r="D32" s="45">
        <f>$D$23*(C14/$C$18)</f>
        <v>-530.60112656740785</v>
      </c>
      <c r="E32" s="45">
        <f t="shared" si="1"/>
        <v>236.46534549662218</v>
      </c>
      <c r="F32" s="45">
        <f t="shared" si="2"/>
        <v>5024.0910710538128</v>
      </c>
      <c r="G32" s="45">
        <f>$G$23*(C14/$C$18)</f>
        <v>2932.674746553661</v>
      </c>
      <c r="H32" s="46">
        <f>$H$23*(E14/$E$19)</f>
        <v>24678.012845873327</v>
      </c>
    </row>
    <row r="33" spans="1:8" x14ac:dyDescent="0.25">
      <c r="A33" s="28" t="s">
        <v>155</v>
      </c>
      <c r="B33" s="45">
        <v>0</v>
      </c>
      <c r="C33" s="47"/>
      <c r="D33" s="45">
        <v>0</v>
      </c>
      <c r="E33" s="45">
        <v>0</v>
      </c>
      <c r="F33" s="45">
        <v>0</v>
      </c>
      <c r="G33" s="45">
        <v>0</v>
      </c>
      <c r="H33" s="46">
        <v>0</v>
      </c>
    </row>
    <row r="34" spans="1:8" x14ac:dyDescent="0.25">
      <c r="A34" s="30" t="s">
        <v>32</v>
      </c>
      <c r="B34" s="48">
        <f t="shared" ref="B34:H34" si="3">SUM(B25:B33)</f>
        <v>332721.49020342465</v>
      </c>
      <c r="C34" s="48">
        <f t="shared" si="3"/>
        <v>-3258.3231599999986</v>
      </c>
      <c r="D34" s="48">
        <f t="shared" si="3"/>
        <v>-73970.117034666546</v>
      </c>
      <c r="E34" s="48">
        <f t="shared" si="3"/>
        <v>33322.193324000014</v>
      </c>
      <c r="F34" s="48">
        <f t="shared" si="3"/>
        <v>707984.22320800018</v>
      </c>
      <c r="G34" s="48">
        <f t="shared" si="3"/>
        <v>408838.73660533299</v>
      </c>
      <c r="H34" s="49">
        <f t="shared" si="3"/>
        <v>1812670.4847986659</v>
      </c>
    </row>
    <row r="36" spans="1:8" x14ac:dyDescent="0.25">
      <c r="A36" s="20" t="s">
        <v>99</v>
      </c>
      <c r="B36" s="21"/>
      <c r="C36" s="21"/>
      <c r="D36" s="21"/>
      <c r="E36" s="21"/>
      <c r="F36" s="22"/>
    </row>
    <row r="37" spans="1:8" x14ac:dyDescent="0.25">
      <c r="A37" s="35" t="s">
        <v>54</v>
      </c>
      <c r="B37" s="293" t="s">
        <v>100</v>
      </c>
      <c r="C37" s="293"/>
      <c r="D37" s="293" t="s">
        <v>101</v>
      </c>
      <c r="E37" s="293"/>
      <c r="F37" s="294" t="s">
        <v>32</v>
      </c>
    </row>
    <row r="38" spans="1:8" x14ac:dyDescent="0.25">
      <c r="A38" s="50" t="s">
        <v>55</v>
      </c>
      <c r="B38" s="295">
        <v>592.09</v>
      </c>
      <c r="C38" s="295"/>
      <c r="D38" s="295">
        <v>-2426.9899999999998</v>
      </c>
      <c r="E38" s="295"/>
      <c r="F38" s="272"/>
    </row>
    <row r="39" spans="1:8" x14ac:dyDescent="0.25">
      <c r="A39" s="51" t="s">
        <v>35</v>
      </c>
      <c r="B39" s="52" t="s">
        <v>56</v>
      </c>
      <c r="C39" s="52" t="s">
        <v>57</v>
      </c>
      <c r="D39" s="52" t="s">
        <v>56</v>
      </c>
      <c r="E39" s="52" t="s">
        <v>57</v>
      </c>
      <c r="F39" s="273"/>
      <c r="H39" s="56"/>
    </row>
    <row r="40" spans="1:8" x14ac:dyDescent="0.25">
      <c r="A40" s="27" t="s">
        <v>41</v>
      </c>
      <c r="B40" s="53">
        <f>'2012 Alloc'!K5</f>
        <v>0.2880595679506347</v>
      </c>
      <c r="C40" s="54">
        <f>ROUND(B40*B$38,2)-0.01</f>
        <v>170.55</v>
      </c>
      <c r="D40" s="53">
        <f>'2012 Alloc'!K22</f>
        <v>0.57370841329712141</v>
      </c>
      <c r="E40" s="54">
        <f>ROUND(D40*D$38,2)</f>
        <v>-1392.38</v>
      </c>
      <c r="F40" s="46">
        <f>C40+E40</f>
        <v>-1221.8300000000002</v>
      </c>
    </row>
    <row r="41" spans="1:8" x14ac:dyDescent="0.25">
      <c r="A41" s="28" t="s">
        <v>42</v>
      </c>
      <c r="B41" s="53">
        <f>'2012 Alloc'!K6</f>
        <v>0.13203062163944448</v>
      </c>
      <c r="C41" s="54">
        <f>ROUND(B41*B$38,2)</f>
        <v>78.17</v>
      </c>
      <c r="D41" s="53">
        <f>'2012 Alloc'!K23</f>
        <v>0.23140936295061112</v>
      </c>
      <c r="E41" s="54">
        <f>ROUND(D41*D$38,2)</f>
        <v>-561.63</v>
      </c>
      <c r="F41" s="46">
        <f t="shared" ref="F41:F48" si="4">C41+E41</f>
        <v>-483.46</v>
      </c>
    </row>
    <row r="42" spans="1:8" x14ac:dyDescent="0.25">
      <c r="A42" s="28" t="s">
        <v>43</v>
      </c>
      <c r="B42" s="53">
        <f>'2012 Alloc'!K7</f>
        <v>0.52043469917812202</v>
      </c>
      <c r="C42" s="54">
        <f>308.14*(C9/(SUM(C9:C10)))</f>
        <v>301.93369837615643</v>
      </c>
      <c r="D42" s="53">
        <f>'2012 Alloc'!K24</f>
        <v>0.19781321392638992</v>
      </c>
      <c r="E42" s="54">
        <f>-480.09*(C9/($C$9+$C$10))</f>
        <v>-470.42042335759373</v>
      </c>
      <c r="F42" s="46">
        <f t="shared" si="4"/>
        <v>-168.48672498143731</v>
      </c>
      <c r="H42" s="56"/>
    </row>
    <row r="43" spans="1:8" ht="15" customHeight="1" x14ac:dyDescent="0.25">
      <c r="A43" s="111" t="s">
        <v>96</v>
      </c>
      <c r="B43" s="55"/>
      <c r="C43" s="54">
        <f>308.14*(C10/(SUM(C9:C10)))</f>
        <v>6.2063016238435793</v>
      </c>
      <c r="D43" s="55"/>
      <c r="E43" s="54">
        <f>-480.09*(C10/($C$9+$C$10))</f>
        <v>-9.6695766424062572</v>
      </c>
      <c r="F43" s="46">
        <f t="shared" si="4"/>
        <v>-3.4632750185626779</v>
      </c>
    </row>
    <row r="44" spans="1:8" x14ac:dyDescent="0.25">
      <c r="A44" s="112" t="s">
        <v>53</v>
      </c>
      <c r="B44" s="57">
        <f>'2012 Alloc'!K9</f>
        <v>4.7111193411919765E-2</v>
      </c>
      <c r="C44" s="54">
        <f>ROUND(B44*B$38,2)</f>
        <v>27.89</v>
      </c>
      <c r="D44" s="55">
        <f>'2012 Alloc'!K25</f>
        <v>-1.9025689519626007E-2</v>
      </c>
      <c r="E44" s="54">
        <f>ROUND(D44*D$38,2)</f>
        <v>46.18</v>
      </c>
      <c r="F44" s="46">
        <f t="shared" si="4"/>
        <v>74.069999999999993</v>
      </c>
    </row>
    <row r="45" spans="1:8" x14ac:dyDescent="0.25">
      <c r="A45" s="28" t="s">
        <v>44</v>
      </c>
      <c r="B45" s="57">
        <f>'2012 Alloc'!K10</f>
        <v>1.4825338906496893E-3</v>
      </c>
      <c r="C45" s="54">
        <f>ROUND(B45*B$38,2)</f>
        <v>0.88</v>
      </c>
      <c r="D45" s="55">
        <f>'2012 Alloc'!K26</f>
        <v>-1.8557505350995712E-3</v>
      </c>
      <c r="E45" s="54">
        <f>ROUND(D45*D$38,2)</f>
        <v>4.5</v>
      </c>
      <c r="F45" s="46">
        <f t="shared" si="4"/>
        <v>5.38</v>
      </c>
    </row>
    <row r="46" spans="1:8" x14ac:dyDescent="0.25">
      <c r="A46" s="28" t="s">
        <v>45</v>
      </c>
      <c r="B46" s="57">
        <f>'2012 Alloc'!K12</f>
        <v>3.6432133844133325E-4</v>
      </c>
      <c r="C46" s="54">
        <f>ROUND(B46*B$38,2)</f>
        <v>0.22</v>
      </c>
      <c r="D46" s="55">
        <f>'2012 Alloc'!K27</f>
        <v>6.2165743086159235E-4</v>
      </c>
      <c r="E46" s="54">
        <f>ROUND(D46*D$38,2)</f>
        <v>-1.51</v>
      </c>
      <c r="F46" s="46">
        <f t="shared" si="4"/>
        <v>-1.29</v>
      </c>
    </row>
    <row r="47" spans="1:8" x14ac:dyDescent="0.25">
      <c r="A47" s="28" t="s">
        <v>46</v>
      </c>
      <c r="B47" s="57">
        <f>'2012 Alloc'!K13</f>
        <v>1.051706259078799E-2</v>
      </c>
      <c r="C47" s="54">
        <f>ROUND(B47*B$38,2)</f>
        <v>6.23</v>
      </c>
      <c r="D47" s="55">
        <f>'2012 Alloc'!K28</f>
        <v>1.732879244974166E-2</v>
      </c>
      <c r="E47" s="54">
        <f>ROUND(D47*D$38,2)</f>
        <v>-42.06</v>
      </c>
      <c r="F47" s="46">
        <f t="shared" si="4"/>
        <v>-35.83</v>
      </c>
    </row>
    <row r="48" spans="1:8" x14ac:dyDescent="0.25">
      <c r="A48" s="28" t="s">
        <v>155</v>
      </c>
      <c r="B48" s="57"/>
      <c r="C48" s="54"/>
      <c r="D48" s="55"/>
      <c r="E48" s="54"/>
      <c r="F48" s="46">
        <f t="shared" si="4"/>
        <v>0</v>
      </c>
    </row>
    <row r="49" spans="1:6" x14ac:dyDescent="0.25">
      <c r="A49" s="30" t="s">
        <v>32</v>
      </c>
      <c r="B49" s="165">
        <f>SUM(B40:B48)</f>
        <v>0.99999999999999989</v>
      </c>
      <c r="C49" s="58">
        <f>SUM(C40:C48)</f>
        <v>592.08000000000004</v>
      </c>
      <c r="D49" s="165">
        <f>SUM(D40:D48)</f>
        <v>1</v>
      </c>
      <c r="E49" s="58">
        <f>SUM(E40:E48)</f>
        <v>-2426.9900000000007</v>
      </c>
      <c r="F49" s="49">
        <f>SUM(F40:F48)</f>
        <v>-1834.9099999999999</v>
      </c>
    </row>
    <row r="50" spans="1:6" x14ac:dyDescent="0.25">
      <c r="A50" s="33"/>
      <c r="B50" s="34"/>
      <c r="C50" s="114"/>
      <c r="D50" s="34"/>
      <c r="E50" s="114"/>
      <c r="F50" s="115"/>
    </row>
    <row r="51" spans="1:6" x14ac:dyDescent="0.25">
      <c r="A51" s="20" t="s">
        <v>124</v>
      </c>
      <c r="B51" s="21"/>
      <c r="C51" s="21"/>
      <c r="D51" s="21"/>
      <c r="E51" s="21"/>
      <c r="F51" s="22"/>
    </row>
    <row r="52" spans="1:6" x14ac:dyDescent="0.25">
      <c r="A52" s="35" t="s">
        <v>54</v>
      </c>
      <c r="B52" s="293" t="s">
        <v>100</v>
      </c>
      <c r="C52" s="293"/>
      <c r="D52" s="293" t="s">
        <v>101</v>
      </c>
      <c r="E52" s="293"/>
      <c r="F52" s="294" t="s">
        <v>32</v>
      </c>
    </row>
    <row r="53" spans="1:6" x14ac:dyDescent="0.25">
      <c r="A53" s="50" t="s">
        <v>55</v>
      </c>
      <c r="B53" s="295">
        <v>-119262.94</v>
      </c>
      <c r="C53" s="295"/>
      <c r="D53" s="295">
        <v>5463.78</v>
      </c>
      <c r="E53" s="295"/>
      <c r="F53" s="272"/>
    </row>
    <row r="54" spans="1:6" x14ac:dyDescent="0.25">
      <c r="A54" s="51" t="s">
        <v>35</v>
      </c>
      <c r="B54" s="52" t="s">
        <v>56</v>
      </c>
      <c r="C54" s="52" t="s">
        <v>57</v>
      </c>
      <c r="D54" s="52" t="s">
        <v>56</v>
      </c>
      <c r="E54" s="52" t="s">
        <v>57</v>
      </c>
      <c r="F54" s="273"/>
    </row>
    <row r="55" spans="1:6" x14ac:dyDescent="0.25">
      <c r="A55" s="27" t="s">
        <v>41</v>
      </c>
      <c r="B55" s="53">
        <f>'2012 Alloc'!L5</f>
        <v>9.3447262863277702E-2</v>
      </c>
      <c r="C55" s="54">
        <f>ROUND(B55*B$53,2)+0.01</f>
        <v>-11144.789999999999</v>
      </c>
      <c r="D55" s="53">
        <f>'2012 Alloc'!L22</f>
        <v>7.5935614511821861E-2</v>
      </c>
      <c r="E55" s="54">
        <f>ROUND(D55*D$53,2)</f>
        <v>414.9</v>
      </c>
      <c r="F55" s="46">
        <f>C55+E55</f>
        <v>-10729.89</v>
      </c>
    </row>
    <row r="56" spans="1:6" x14ac:dyDescent="0.25">
      <c r="A56" s="28" t="s">
        <v>42</v>
      </c>
      <c r="B56" s="53">
        <f>'2012 Alloc'!L6</f>
        <v>3.5841473605025306E-2</v>
      </c>
      <c r="C56" s="54">
        <f>ROUND(B56*B$53,2)-30.44</f>
        <v>-4305</v>
      </c>
      <c r="D56" s="53">
        <f>'2012 Alloc'!L23</f>
        <v>1.855957307450919E-2</v>
      </c>
      <c r="E56" s="54">
        <f>ROUND(D56*D$53,2)+0.35</f>
        <v>101.75999999999999</v>
      </c>
      <c r="F56" s="46">
        <f t="shared" ref="F56:F63" si="5">C56+E56</f>
        <v>-4203.24</v>
      </c>
    </row>
    <row r="57" spans="1:6" x14ac:dyDescent="0.25">
      <c r="A57" s="28" t="s">
        <v>43</v>
      </c>
      <c r="B57" s="53">
        <f>'2012 Alloc'!L7</f>
        <v>0.77559222476175471</v>
      </c>
      <c r="C57" s="54">
        <f>ROUND(B57*B$53,2)</f>
        <v>-92499.41</v>
      </c>
      <c r="D57" s="53">
        <f>'2012 Alloc'!L24</f>
        <v>0.64343800075633373</v>
      </c>
      <c r="E57" s="54">
        <f>ROUND(D57*D$53,2)</f>
        <v>3515.6</v>
      </c>
      <c r="F57" s="46">
        <f t="shared" si="5"/>
        <v>-88983.81</v>
      </c>
    </row>
    <row r="58" spans="1:6" x14ac:dyDescent="0.25">
      <c r="A58" s="111" t="s">
        <v>96</v>
      </c>
      <c r="B58" s="55"/>
      <c r="C58" s="54">
        <f t="shared" ref="C58:C62" si="6">ROUND(B58*B$53,2)</f>
        <v>0</v>
      </c>
      <c r="D58" s="55"/>
      <c r="E58" s="54">
        <f t="shared" ref="E58:E62" si="7">ROUND(D58*D$53,2)</f>
        <v>0</v>
      </c>
      <c r="F58" s="46">
        <f t="shared" si="5"/>
        <v>0</v>
      </c>
    </row>
    <row r="59" spans="1:6" x14ac:dyDescent="0.25">
      <c r="A59" s="112" t="s">
        <v>53</v>
      </c>
      <c r="B59" s="57">
        <f>'2012 Alloc'!L9</f>
        <v>7.7290866396418273E-2</v>
      </c>
      <c r="C59" s="54">
        <f t="shared" si="6"/>
        <v>-9217.94</v>
      </c>
      <c r="D59" s="55">
        <f>'2012 Alloc'!L25</f>
        <v>0.2508702033000087</v>
      </c>
      <c r="E59" s="54">
        <f t="shared" si="7"/>
        <v>1370.7</v>
      </c>
      <c r="F59" s="46">
        <f t="shared" si="5"/>
        <v>-7847.2400000000007</v>
      </c>
    </row>
    <row r="60" spans="1:6" x14ac:dyDescent="0.25">
      <c r="A60" s="28" t="s">
        <v>44</v>
      </c>
      <c r="B60" s="57">
        <f>'2012 Alloc'!L10</f>
        <v>0</v>
      </c>
      <c r="C60" s="54">
        <f t="shared" si="6"/>
        <v>0</v>
      </c>
      <c r="D60" s="55">
        <f>'2012 Alloc'!L26</f>
        <v>4.6691757302657179E-4</v>
      </c>
      <c r="E60" s="54">
        <f t="shared" si="7"/>
        <v>2.5499999999999998</v>
      </c>
      <c r="F60" s="46">
        <f t="shared" si="5"/>
        <v>2.5499999999999998</v>
      </c>
    </row>
    <row r="61" spans="1:6" x14ac:dyDescent="0.25">
      <c r="A61" s="28" t="s">
        <v>45</v>
      </c>
      <c r="B61" s="57">
        <f>'2012 Alloc'!L12</f>
        <v>2.5520988907640397E-4</v>
      </c>
      <c r="C61" s="117">
        <f>ROUND(B61*B$53,2)+30.44</f>
        <v>0</v>
      </c>
      <c r="D61" s="55">
        <f>'2012 Alloc'!L27</f>
        <v>6.4803949073663025E-5</v>
      </c>
      <c r="E61" s="54">
        <f>ROUND(D61*D$53,2)-0.35</f>
        <v>0</v>
      </c>
      <c r="F61" s="116">
        <f t="shared" si="5"/>
        <v>0</v>
      </c>
    </row>
    <row r="62" spans="1:6" x14ac:dyDescent="0.25">
      <c r="A62" s="28" t="s">
        <v>46</v>
      </c>
      <c r="B62" s="57">
        <f>'2012 Alloc'!L13</f>
        <v>1.7572962484447507E-2</v>
      </c>
      <c r="C62" s="54">
        <f t="shared" si="6"/>
        <v>-2095.8000000000002</v>
      </c>
      <c r="D62" s="55">
        <f>'2012 Alloc'!L28</f>
        <v>1.0664886835226223E-2</v>
      </c>
      <c r="E62" s="54">
        <f t="shared" si="7"/>
        <v>58.27</v>
      </c>
      <c r="F62" s="46">
        <f t="shared" si="5"/>
        <v>-2037.5300000000002</v>
      </c>
    </row>
    <row r="63" spans="1:6" x14ac:dyDescent="0.25">
      <c r="A63" s="28" t="s">
        <v>155</v>
      </c>
      <c r="B63" s="57"/>
      <c r="C63" s="54"/>
      <c r="D63" s="55"/>
      <c r="E63" s="54"/>
      <c r="F63" s="46">
        <f t="shared" si="5"/>
        <v>0</v>
      </c>
    </row>
    <row r="64" spans="1:6" x14ac:dyDescent="0.25">
      <c r="A64" s="30" t="s">
        <v>32</v>
      </c>
      <c r="B64" s="165">
        <f>SUM(B55:B63)</f>
        <v>0.99999999999999989</v>
      </c>
      <c r="C64" s="58">
        <f>SUM(C55:C63)</f>
        <v>-119262.94</v>
      </c>
      <c r="D64" s="165">
        <f>SUM(D55:D63)</f>
        <v>1</v>
      </c>
      <c r="E64" s="58">
        <f>SUM(E55:E63)</f>
        <v>5463.7800000000007</v>
      </c>
      <c r="F64" s="49">
        <f>SUM(F55:F63)</f>
        <v>-113799.16</v>
      </c>
    </row>
    <row r="65" spans="1:10" x14ac:dyDescent="0.25">
      <c r="I65" s="59"/>
    </row>
    <row r="66" spans="1:10" ht="15" hidden="1" customHeight="1" x14ac:dyDescent="0.25">
      <c r="A66" s="20" t="s">
        <v>59</v>
      </c>
      <c r="B66" s="21"/>
      <c r="C66" s="21"/>
      <c r="D66" s="21"/>
      <c r="E66" s="21"/>
      <c r="F66" s="21"/>
      <c r="G66" s="21"/>
      <c r="H66" s="22"/>
    </row>
    <row r="67" spans="1:10" ht="60" x14ac:dyDescent="0.25">
      <c r="A67" s="23" t="s">
        <v>35</v>
      </c>
      <c r="B67" s="60" t="s">
        <v>60</v>
      </c>
      <c r="C67" s="61" t="s">
        <v>61</v>
      </c>
      <c r="D67" s="26" t="s">
        <v>62</v>
      </c>
      <c r="E67" s="61" t="s">
        <v>143</v>
      </c>
      <c r="F67" s="26" t="s">
        <v>63</v>
      </c>
      <c r="H67" s="207" t="s">
        <v>58</v>
      </c>
    </row>
    <row r="68" spans="1:10" x14ac:dyDescent="0.25">
      <c r="A68" s="27" t="s">
        <v>41</v>
      </c>
      <c r="B68" s="62" t="s">
        <v>64</v>
      </c>
      <c r="C68" s="63">
        <f t="shared" ref="C68:C76" si="8">SUM(B25:G25)+F40</f>
        <v>426187.17322062986</v>
      </c>
      <c r="D68" s="209">
        <f t="shared" ref="D68:D76" si="9">IF(C68=0,0,IF($B68="kWh",ROUND(C68/SMP_DISYR/$C7,4),ROUND(C68/SMP_DISYR/$D7,4)))</f>
        <v>1.5E-3</v>
      </c>
      <c r="E68" s="63">
        <f t="shared" ref="E68:E76" si="10">H25+F55</f>
        <v>84924.445346207183</v>
      </c>
      <c r="F68" s="210">
        <f t="shared" ref="F68:F76" si="11">IF(E68=0,0,IF($B68="kWh",ROUND(E68/SMP_DISYR/$E7,4),ROUND(E68/SMP_DISYR/$F7,4)))</f>
        <v>3.3999999999999998E-3</v>
      </c>
      <c r="H68" s="296">
        <v>1</v>
      </c>
    </row>
    <row r="69" spans="1:10" x14ac:dyDescent="0.25">
      <c r="A69" s="28" t="s">
        <v>42</v>
      </c>
      <c r="B69" s="64" t="s">
        <v>64</v>
      </c>
      <c r="C69" s="63">
        <f t="shared" si="8"/>
        <v>154387.40896976014</v>
      </c>
      <c r="D69" s="209">
        <f t="shared" si="9"/>
        <v>1.5E-3</v>
      </c>
      <c r="E69" s="63">
        <f t="shared" si="10"/>
        <v>55719.60361442712</v>
      </c>
      <c r="F69" s="209">
        <f t="shared" si="11"/>
        <v>3.5999999999999999E-3</v>
      </c>
      <c r="H69" s="297"/>
    </row>
    <row r="70" spans="1:10" x14ac:dyDescent="0.25">
      <c r="A70" s="28" t="s">
        <v>43</v>
      </c>
      <c r="B70" s="64" t="s">
        <v>65</v>
      </c>
      <c r="C70" s="63">
        <f t="shared" si="8"/>
        <v>736051.4583289799</v>
      </c>
      <c r="D70" s="209">
        <f t="shared" si="9"/>
        <v>0.58379999999999999</v>
      </c>
      <c r="E70" s="63">
        <f t="shared" si="10"/>
        <v>1543409.1214740118</v>
      </c>
      <c r="F70" s="209">
        <f t="shared" si="11"/>
        <v>1.3655999999999999</v>
      </c>
    </row>
    <row r="71" spans="1:10" x14ac:dyDescent="0.25">
      <c r="A71" s="111" t="s">
        <v>96</v>
      </c>
      <c r="B71" s="64" t="s">
        <v>65</v>
      </c>
      <c r="C71" s="63">
        <f t="shared" si="8"/>
        <v>11503.186773418256</v>
      </c>
      <c r="D71" s="209">
        <f t="shared" si="9"/>
        <v>0.43530000000000002</v>
      </c>
      <c r="E71" s="63">
        <f t="shared" si="10"/>
        <v>0</v>
      </c>
      <c r="F71" s="209">
        <f t="shared" si="11"/>
        <v>0</v>
      </c>
    </row>
    <row r="72" spans="1:10" x14ac:dyDescent="0.25">
      <c r="A72" s="112" t="s">
        <v>53</v>
      </c>
      <c r="B72" s="64" t="s">
        <v>65</v>
      </c>
      <c r="C72" s="63">
        <f t="shared" si="8"/>
        <v>63065.521773079825</v>
      </c>
      <c r="D72" s="209">
        <f t="shared" si="9"/>
        <v>0.66500000000000004</v>
      </c>
      <c r="E72" s="63">
        <f t="shared" si="10"/>
        <v>-7847.2400000000007</v>
      </c>
      <c r="F72" s="209">
        <f t="shared" si="11"/>
        <v>-8.2699999999999996E-2</v>
      </c>
    </row>
    <row r="73" spans="1:10" x14ac:dyDescent="0.25">
      <c r="A73" s="28" t="s">
        <v>44</v>
      </c>
      <c r="B73" s="64" t="s">
        <v>64</v>
      </c>
      <c r="C73" s="63">
        <f t="shared" si="8"/>
        <v>2006.2616632688528</v>
      </c>
      <c r="D73" s="209">
        <f t="shared" si="9"/>
        <v>1.6000000000000001E-3</v>
      </c>
      <c r="E73" s="63">
        <f t="shared" si="10"/>
        <v>24.911518146285619</v>
      </c>
      <c r="F73" s="209">
        <f t="shared" si="11"/>
        <v>4.3E-3</v>
      </c>
    </row>
    <row r="74" spans="1:10" x14ac:dyDescent="0.25">
      <c r="A74" s="28" t="s">
        <v>45</v>
      </c>
      <c r="B74" s="64" t="s">
        <v>65</v>
      </c>
      <c r="C74" s="63">
        <f t="shared" si="8"/>
        <v>614.38023536671153</v>
      </c>
      <c r="D74" s="209">
        <f t="shared" si="9"/>
        <v>0.55349999999999999</v>
      </c>
      <c r="E74" s="63">
        <f t="shared" si="10"/>
        <v>0</v>
      </c>
      <c r="F74" s="209">
        <f t="shared" si="11"/>
        <v>0</v>
      </c>
    </row>
    <row r="75" spans="1:10" x14ac:dyDescent="0.25">
      <c r="A75" s="28" t="s">
        <v>46</v>
      </c>
      <c r="B75" s="64" t="s">
        <v>65</v>
      </c>
      <c r="C75" s="63">
        <f t="shared" si="8"/>
        <v>9987.9021815877859</v>
      </c>
      <c r="D75" s="209">
        <f t="shared" si="9"/>
        <v>0.51600000000000001</v>
      </c>
      <c r="E75" s="63">
        <f t="shared" si="10"/>
        <v>22640.482845873328</v>
      </c>
      <c r="F75" s="209">
        <f t="shared" si="11"/>
        <v>1.1696</v>
      </c>
    </row>
    <row r="76" spans="1:10" x14ac:dyDescent="0.25">
      <c r="A76" s="28" t="s">
        <v>155</v>
      </c>
      <c r="B76" s="64" t="s">
        <v>65</v>
      </c>
      <c r="C76" s="63">
        <f t="shared" si="8"/>
        <v>0</v>
      </c>
      <c r="D76" s="209">
        <f t="shared" si="9"/>
        <v>0</v>
      </c>
      <c r="E76" s="63">
        <f t="shared" si="10"/>
        <v>0</v>
      </c>
      <c r="F76" s="209">
        <f t="shared" si="11"/>
        <v>0</v>
      </c>
      <c r="H76" s="17" t="s">
        <v>157</v>
      </c>
    </row>
    <row r="77" spans="1:10" x14ac:dyDescent="0.25">
      <c r="A77" s="30" t="s">
        <v>32</v>
      </c>
      <c r="B77" s="65"/>
      <c r="C77" s="66">
        <f>SUM(C68:C76)</f>
        <v>1403803.2931460913</v>
      </c>
      <c r="D77" s="67"/>
      <c r="E77" s="66">
        <f>SUM(E68:E76)</f>
        <v>1698871.3247986657</v>
      </c>
      <c r="F77" s="68"/>
      <c r="H77" s="56">
        <f>((C77+E77)-(SUM(B34:H34)+F49+F64))</f>
        <v>4.6566128730773926E-10</v>
      </c>
    </row>
    <row r="78" spans="1:10" x14ac:dyDescent="0.25">
      <c r="B78" s="69"/>
      <c r="C78" s="69"/>
      <c r="D78" s="69"/>
      <c r="J78" s="56"/>
    </row>
    <row r="79" spans="1:10" x14ac:dyDescent="0.25">
      <c r="A79" s="70" t="s">
        <v>66</v>
      </c>
      <c r="H79" s="208"/>
    </row>
    <row r="80" spans="1:10" ht="30.75" customHeight="1" x14ac:dyDescent="0.25">
      <c r="A80" s="292"/>
      <c r="B80" s="292"/>
      <c r="C80" s="292"/>
      <c r="D80" s="292"/>
      <c r="E80" s="292"/>
      <c r="F80" s="292"/>
      <c r="G80" s="292"/>
      <c r="H80" s="292"/>
    </row>
  </sheetData>
  <mergeCells count="12">
    <mergeCell ref="A80:H80"/>
    <mergeCell ref="B37:C37"/>
    <mergeCell ref="D37:E37"/>
    <mergeCell ref="F37:F39"/>
    <mergeCell ref="B38:C38"/>
    <mergeCell ref="D38:E38"/>
    <mergeCell ref="B52:C52"/>
    <mergeCell ref="D52:E52"/>
    <mergeCell ref="F52:F54"/>
    <mergeCell ref="B53:C53"/>
    <mergeCell ref="D53:E53"/>
    <mergeCell ref="H68:H69"/>
  </mergeCells>
  <pageMargins left="0.25" right="0.25" top="0.25" bottom="0.25" header="0.3" footer="0.3"/>
  <pageSetup scale="95" fitToHeight="0" orientation="landscape" r:id="rId1"/>
  <headerFooter>
    <oddFooter>&amp;L&amp;F&amp;R&amp;8&amp;P/&amp;N</oddFooter>
  </headerFooter>
  <rowBreaks count="2" manualBreakCount="2">
    <brk id="35" max="7" man="1"/>
    <brk id="65" max="7" man="1"/>
  </rowBreaks>
  <ignoredErrors>
    <ignoredError sqref="C7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zoomScale="110" zoomScaleNormal="110" workbookViewId="0">
      <selection activeCell="N22" sqref="N22"/>
    </sheetView>
  </sheetViews>
  <sheetFormatPr defaultRowHeight="15" x14ac:dyDescent="0.25"/>
  <cols>
    <col min="1" max="1" width="41.42578125" customWidth="1"/>
    <col min="2" max="8" width="12.7109375" customWidth="1"/>
  </cols>
  <sheetData>
    <row r="1" spans="1:8" ht="18.75" x14ac:dyDescent="0.3">
      <c r="A1" s="251" t="s">
        <v>34</v>
      </c>
      <c r="B1" s="16"/>
      <c r="C1" s="16"/>
      <c r="D1" s="16"/>
      <c r="E1" s="16"/>
      <c r="F1" s="15"/>
      <c r="G1" s="15"/>
      <c r="H1" s="15"/>
    </row>
    <row r="2" spans="1:8" ht="18.75" x14ac:dyDescent="0.3">
      <c r="A2" s="251" t="s">
        <v>170</v>
      </c>
      <c r="B2" s="16"/>
      <c r="C2" s="16"/>
      <c r="D2" s="16"/>
      <c r="E2" s="16"/>
      <c r="F2" s="15"/>
      <c r="G2" s="15"/>
      <c r="H2" s="15"/>
    </row>
    <row r="3" spans="1:8" ht="19.5" thickBot="1" x14ac:dyDescent="0.35">
      <c r="A3" s="252" t="s">
        <v>176</v>
      </c>
      <c r="B3" s="18"/>
      <c r="C3" s="18"/>
      <c r="D3" s="18"/>
      <c r="E3" s="18"/>
      <c r="F3" s="5"/>
      <c r="G3" s="5"/>
      <c r="H3" s="15"/>
    </row>
    <row r="4" spans="1:8" ht="18.75" x14ac:dyDescent="0.3">
      <c r="A4" s="17"/>
      <c r="B4" s="19"/>
      <c r="C4" s="19"/>
      <c r="D4" s="19"/>
      <c r="E4" s="19"/>
      <c r="F4" s="19"/>
      <c r="G4" s="19"/>
      <c r="H4" s="15"/>
    </row>
    <row r="5" spans="1:8" ht="15" customHeight="1" x14ac:dyDescent="0.3">
      <c r="A5" s="20" t="s">
        <v>84</v>
      </c>
      <c r="B5" s="21"/>
      <c r="C5" s="21"/>
      <c r="D5" s="21"/>
      <c r="E5" s="17"/>
      <c r="F5" s="17"/>
      <c r="G5" s="17"/>
      <c r="H5" s="15"/>
    </row>
    <row r="6" spans="1:8" ht="30" x14ac:dyDescent="0.3">
      <c r="A6" s="23" t="s">
        <v>35</v>
      </c>
      <c r="B6" s="24" t="s">
        <v>36</v>
      </c>
      <c r="C6" s="25" t="s">
        <v>37</v>
      </c>
      <c r="D6" s="26" t="s">
        <v>38</v>
      </c>
      <c r="E6" s="17"/>
      <c r="F6" s="17"/>
      <c r="G6" s="17"/>
      <c r="H6" s="15"/>
    </row>
    <row r="7" spans="1:8" ht="18.75" x14ac:dyDescent="0.3">
      <c r="A7" s="27" t="s">
        <v>41</v>
      </c>
      <c r="B7" s="131">
        <f>'4. Group One'!B7</f>
        <v>36333</v>
      </c>
      <c r="C7" s="131">
        <f>'4. Group One'!C7</f>
        <v>277042719.94251806</v>
      </c>
      <c r="D7" s="211">
        <f>'4. Group One'!D7</f>
        <v>0</v>
      </c>
      <c r="E7" s="17"/>
      <c r="F7" s="17"/>
      <c r="G7" s="17"/>
      <c r="H7" s="15"/>
    </row>
    <row r="8" spans="1:8" x14ac:dyDescent="0.25">
      <c r="A8" s="28" t="s">
        <v>42</v>
      </c>
      <c r="B8" s="131">
        <f>'4. Group One'!B8</f>
        <v>3850</v>
      </c>
      <c r="C8" s="131">
        <f>'4. Group One'!C8</f>
        <v>99899667.416754559</v>
      </c>
      <c r="D8" s="211">
        <f>'4. Group One'!D8</f>
        <v>0</v>
      </c>
      <c r="E8" s="17"/>
      <c r="F8" s="17"/>
      <c r="G8" s="17"/>
      <c r="H8" s="17"/>
    </row>
    <row r="9" spans="1:8" x14ac:dyDescent="0.25">
      <c r="A9" s="28" t="s">
        <v>43</v>
      </c>
      <c r="B9" s="131">
        <f>SUM('4. Group One'!B9:B10)</f>
        <v>493</v>
      </c>
      <c r="C9" s="131">
        <f>SUM('4. Group One'!C9:C10)</f>
        <v>483686334.25151187</v>
      </c>
      <c r="D9" s="211">
        <f>SUM('4. Group One'!D9:D10)</f>
        <v>1287117.3058017949</v>
      </c>
      <c r="E9" s="29"/>
      <c r="F9" s="29"/>
      <c r="G9" s="29"/>
      <c r="H9" s="29"/>
    </row>
    <row r="10" spans="1:8" x14ac:dyDescent="0.25">
      <c r="A10" s="28" t="s">
        <v>95</v>
      </c>
      <c r="B10" s="131">
        <f>SUM('4. Group One'!B11:B11)</f>
        <v>2</v>
      </c>
      <c r="C10" s="131">
        <f>SUM('4. Group One'!C11:C11)</f>
        <v>40550980.966088027</v>
      </c>
      <c r="D10" s="211">
        <f>SUM('4. Group One'!D11:D11)</f>
        <v>94834</v>
      </c>
      <c r="E10" s="17"/>
      <c r="F10" s="17"/>
      <c r="G10" s="17"/>
      <c r="H10" s="17"/>
    </row>
    <row r="11" spans="1:8" x14ac:dyDescent="0.25">
      <c r="A11" s="28" t="s">
        <v>44</v>
      </c>
      <c r="B11" s="131">
        <f>'4. Group One'!B12</f>
        <v>335</v>
      </c>
      <c r="C11" s="131">
        <f>'4. Group One'!C12</f>
        <v>1288075</v>
      </c>
      <c r="D11" s="211">
        <f>'4. Group One'!D12</f>
        <v>0</v>
      </c>
      <c r="E11" s="17"/>
      <c r="F11" s="17"/>
      <c r="G11" s="17"/>
      <c r="H11" s="17"/>
    </row>
    <row r="12" spans="1:8" x14ac:dyDescent="0.25">
      <c r="A12" s="28" t="s">
        <v>45</v>
      </c>
      <c r="B12" s="131">
        <f>'4. Group One'!B13</f>
        <v>532</v>
      </c>
      <c r="C12" s="131">
        <f>'4. Group One'!C13</f>
        <v>396340</v>
      </c>
      <c r="D12" s="211">
        <f>'4. Group One'!D13</f>
        <v>1110</v>
      </c>
      <c r="E12" s="17"/>
      <c r="F12" s="17"/>
      <c r="G12" s="17"/>
      <c r="H12" s="17"/>
    </row>
    <row r="13" spans="1:8" x14ac:dyDescent="0.25">
      <c r="A13" s="28" t="s">
        <v>46</v>
      </c>
      <c r="B13" s="131">
        <f>'4. Group One'!B14</f>
        <v>12984</v>
      </c>
      <c r="C13" s="131">
        <f>'4. Group One'!C14</f>
        <v>6452814.8100000005</v>
      </c>
      <c r="D13" s="211">
        <f>'4. Group One'!D14</f>
        <v>19358</v>
      </c>
      <c r="E13" s="17"/>
      <c r="F13" s="17"/>
      <c r="G13" s="17"/>
      <c r="H13" s="17"/>
    </row>
    <row r="14" spans="1:8" x14ac:dyDescent="0.25">
      <c r="A14" s="28" t="s">
        <v>155</v>
      </c>
      <c r="B14" s="131">
        <f>'4. Group One'!B15</f>
        <v>1</v>
      </c>
      <c r="C14" s="131">
        <f>'4. Group One'!C15</f>
        <v>4421657</v>
      </c>
      <c r="D14" s="211">
        <f>'4. Group One'!D15</f>
        <v>11231</v>
      </c>
      <c r="E14" s="17"/>
      <c r="F14" s="17"/>
      <c r="G14" s="17"/>
      <c r="H14" s="17"/>
    </row>
    <row r="15" spans="1:8" x14ac:dyDescent="0.25">
      <c r="A15" s="136" t="s">
        <v>32</v>
      </c>
      <c r="B15" s="137">
        <f>SUM(B7:B14)</f>
        <v>54530</v>
      </c>
      <c r="C15" s="138">
        <f>SUM(C7:C14)</f>
        <v>913738589.38687253</v>
      </c>
      <c r="D15" s="139">
        <f>SUM(D7:D14)</f>
        <v>1413650.3058017949</v>
      </c>
      <c r="E15" s="19"/>
      <c r="F15" s="19"/>
      <c r="G15" s="19"/>
      <c r="H15" s="19"/>
    </row>
    <row r="16" spans="1:8" x14ac:dyDescent="0.25">
      <c r="A16" s="132" t="s">
        <v>159</v>
      </c>
      <c r="B16" s="133"/>
      <c r="C16" s="133">
        <f>C15-C14</f>
        <v>909316932.38687253</v>
      </c>
      <c r="D16" s="212">
        <f>D15-D14</f>
        <v>1402419.3058017949</v>
      </c>
      <c r="E16" s="17"/>
      <c r="F16" s="17"/>
      <c r="G16" s="17"/>
      <c r="H16" s="17"/>
    </row>
    <row r="17" spans="1:8" x14ac:dyDescent="0.25">
      <c r="A17" s="17"/>
      <c r="B17" s="19"/>
      <c r="C17" s="19"/>
      <c r="D17" s="19"/>
      <c r="E17" s="19"/>
      <c r="F17" s="17"/>
      <c r="G17" s="17"/>
      <c r="H17" s="17"/>
    </row>
    <row r="18" spans="1:8" x14ac:dyDescent="0.25">
      <c r="A18" s="20" t="s">
        <v>177</v>
      </c>
      <c r="B18" s="21"/>
      <c r="C18" s="21"/>
      <c r="D18" s="21"/>
      <c r="E18" s="21"/>
      <c r="F18" s="21"/>
      <c r="G18" s="21"/>
      <c r="H18" s="17"/>
    </row>
    <row r="19" spans="1:8" ht="30" x14ac:dyDescent="0.25">
      <c r="A19" s="35" t="s">
        <v>48</v>
      </c>
      <c r="B19" s="36" t="s">
        <v>162</v>
      </c>
      <c r="C19" s="36" t="s">
        <v>163</v>
      </c>
      <c r="D19" s="36" t="s">
        <v>161</v>
      </c>
      <c r="E19" s="36" t="s">
        <v>160</v>
      </c>
      <c r="F19" s="36">
        <v>1518</v>
      </c>
      <c r="G19" s="181">
        <v>1534</v>
      </c>
      <c r="H19" s="17"/>
    </row>
    <row r="20" spans="1:8" x14ac:dyDescent="0.25">
      <c r="A20" s="38" t="s">
        <v>164</v>
      </c>
      <c r="B20" s="39">
        <f>'2. Disposition'!N27</f>
        <v>16611.384346666666</v>
      </c>
      <c r="C20" s="39">
        <f>'2. Disposition'!N30</f>
        <v>526655.58817333332</v>
      </c>
      <c r="D20" s="39">
        <f>'2. Disposition'!N29</f>
        <v>20392.289413333328</v>
      </c>
      <c r="E20" s="39">
        <f>'2. Disposition'!N31</f>
        <v>34152.059986666667</v>
      </c>
      <c r="F20" s="39">
        <f>'2. Disposition'!N32</f>
        <v>-240371.60979999998</v>
      </c>
      <c r="G20" s="40">
        <f>'2. Disposition'!N33</f>
        <v>25117.276013333329</v>
      </c>
      <c r="H20" s="17"/>
    </row>
    <row r="21" spans="1:8" x14ac:dyDescent="0.25">
      <c r="A21" s="41" t="s">
        <v>50</v>
      </c>
      <c r="B21" s="42" t="s">
        <v>51</v>
      </c>
      <c r="C21" s="42" t="s">
        <v>51</v>
      </c>
      <c r="D21" s="42" t="s">
        <v>51</v>
      </c>
      <c r="E21" s="42" t="s">
        <v>51</v>
      </c>
      <c r="F21" s="42" t="s">
        <v>51</v>
      </c>
      <c r="G21" s="43" t="s">
        <v>51</v>
      </c>
      <c r="H21" s="17"/>
    </row>
    <row r="22" spans="1:8" x14ac:dyDescent="0.25">
      <c r="A22" s="27" t="s">
        <v>41</v>
      </c>
      <c r="B22" s="45">
        <f>B$20*($C7/$C$16)</f>
        <v>5061.0111144979046</v>
      </c>
      <c r="C22" s="45">
        <f>C$20*($C7/$C$16)</f>
        <v>160456.81260710384</v>
      </c>
      <c r="D22" s="45">
        <f t="shared" ref="D22:G22" si="0">D$20*($C7/$C$16)</f>
        <v>6212.9441602889492</v>
      </c>
      <c r="E22" s="45">
        <f t="shared" si="0"/>
        <v>10405.150562313189</v>
      </c>
      <c r="F22" s="45">
        <f t="shared" si="0"/>
        <v>-73234.317105646158</v>
      </c>
      <c r="G22" s="46">
        <f t="shared" si="0"/>
        <v>7652.511700200349</v>
      </c>
      <c r="H22" s="17"/>
    </row>
    <row r="23" spans="1:8" x14ac:dyDescent="0.25">
      <c r="A23" s="28" t="s">
        <v>42</v>
      </c>
      <c r="B23" s="45">
        <f t="shared" ref="B23:G28" si="1">B$20*($C8/$C$16)</f>
        <v>1824.9652156019172</v>
      </c>
      <c r="C23" s="45">
        <f t="shared" si="1"/>
        <v>57859.604531489102</v>
      </c>
      <c r="D23" s="45">
        <f t="shared" si="1"/>
        <v>2240.3442163017776</v>
      </c>
      <c r="E23" s="45">
        <f t="shared" si="1"/>
        <v>3752.0245282461055</v>
      </c>
      <c r="F23" s="45">
        <f t="shared" si="1"/>
        <v>-26407.782611523453</v>
      </c>
      <c r="G23" s="46">
        <f t="shared" si="1"/>
        <v>2759.4422041173143</v>
      </c>
      <c r="H23" s="17"/>
    </row>
    <row r="24" spans="1:8" x14ac:dyDescent="0.25">
      <c r="A24" s="28" t="s">
        <v>43</v>
      </c>
      <c r="B24" s="45">
        <f t="shared" si="1"/>
        <v>8835.9727123873126</v>
      </c>
      <c r="C24" s="45">
        <f t="shared" si="1"/>
        <v>280140.07194166596</v>
      </c>
      <c r="D24" s="45">
        <f t="shared" si="1"/>
        <v>10847.122012168424</v>
      </c>
      <c r="E24" s="45">
        <f t="shared" si="1"/>
        <v>18166.256575392254</v>
      </c>
      <c r="F24" s="45">
        <f t="shared" si="1"/>
        <v>-127859.12002882577</v>
      </c>
      <c r="G24" s="46">
        <f t="shared" si="1"/>
        <v>13360.449727228697</v>
      </c>
      <c r="H24" s="17"/>
    </row>
    <row r="25" spans="1:8" x14ac:dyDescent="0.25">
      <c r="A25" s="28" t="s">
        <v>95</v>
      </c>
      <c r="B25" s="45">
        <f t="shared" si="1"/>
        <v>740.78454548723107</v>
      </c>
      <c r="C25" s="45">
        <f t="shared" si="1"/>
        <v>23486.201533322561</v>
      </c>
      <c r="D25" s="45">
        <f t="shared" si="1"/>
        <v>909.39397519457896</v>
      </c>
      <c r="E25" s="45">
        <f t="shared" si="1"/>
        <v>1523.0108283992731</v>
      </c>
      <c r="F25" s="45">
        <f t="shared" si="1"/>
        <v>-10719.369921114267</v>
      </c>
      <c r="G25" s="46">
        <f>G$20*($C10/$C$16)</f>
        <v>1120.104712955374</v>
      </c>
      <c r="H25" s="17"/>
    </row>
    <row r="26" spans="1:8" x14ac:dyDescent="0.25">
      <c r="A26" s="28" t="s">
        <v>44</v>
      </c>
      <c r="B26" s="45">
        <f t="shared" si="1"/>
        <v>23.530529488951988</v>
      </c>
      <c r="C26" s="45">
        <f t="shared" si="1"/>
        <v>746.02360582432254</v>
      </c>
      <c r="D26" s="45">
        <f t="shared" si="1"/>
        <v>28.886296131241526</v>
      </c>
      <c r="E26" s="45">
        <f t="shared" si="1"/>
        <v>48.377428265692707</v>
      </c>
      <c r="F26" s="45">
        <f t="shared" si="1"/>
        <v>-340.49367197025572</v>
      </c>
      <c r="G26" s="46">
        <f t="shared" si="1"/>
        <v>35.579382884635038</v>
      </c>
      <c r="H26" s="17"/>
    </row>
    <row r="27" spans="1:8" x14ac:dyDescent="0.25">
      <c r="A27" s="28" t="s">
        <v>45</v>
      </c>
      <c r="B27" s="45">
        <f t="shared" si="1"/>
        <v>7.2403315471934713</v>
      </c>
      <c r="C27" s="45">
        <f t="shared" si="1"/>
        <v>229.55107111962579</v>
      </c>
      <c r="D27" s="45">
        <f t="shared" si="1"/>
        <v>8.8882981260068448</v>
      </c>
      <c r="E27" s="45">
        <f t="shared" si="1"/>
        <v>14.885709231857343</v>
      </c>
      <c r="F27" s="45">
        <f t="shared" si="1"/>
        <v>-104.76972377283245</v>
      </c>
      <c r="G27" s="46">
        <f t="shared" si="1"/>
        <v>10.947757399605031</v>
      </c>
      <c r="H27" s="17"/>
    </row>
    <row r="28" spans="1:8" x14ac:dyDescent="0.25">
      <c r="A28" s="28" t="s">
        <v>46</v>
      </c>
      <c r="B28" s="45">
        <f t="shared" si="1"/>
        <v>117.87989765615444</v>
      </c>
      <c r="C28" s="45">
        <f t="shared" si="1"/>
        <v>3737.3228828079041</v>
      </c>
      <c r="D28" s="45">
        <f t="shared" si="1"/>
        <v>144.71045512235006</v>
      </c>
      <c r="E28" s="45">
        <f t="shared" si="1"/>
        <v>242.35435481829438</v>
      </c>
      <c r="F28" s="45">
        <f t="shared" si="1"/>
        <v>-1705.7567371472533</v>
      </c>
      <c r="G28" s="46">
        <f t="shared" si="1"/>
        <v>178.24052854735439</v>
      </c>
      <c r="H28" s="17"/>
    </row>
    <row r="29" spans="1:8" x14ac:dyDescent="0.25">
      <c r="A29" s="28" t="s">
        <v>155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6">
        <v>0</v>
      </c>
      <c r="H29" s="17"/>
    </row>
    <row r="30" spans="1:8" x14ac:dyDescent="0.25">
      <c r="A30" s="30" t="s">
        <v>32</v>
      </c>
      <c r="B30" s="48">
        <f t="shared" ref="B30:G30" si="2">SUM(B22:B29)</f>
        <v>16611.384346666666</v>
      </c>
      <c r="C30" s="48">
        <f t="shared" si="2"/>
        <v>526655.58817333332</v>
      </c>
      <c r="D30" s="48">
        <f t="shared" si="2"/>
        <v>20392.289413333325</v>
      </c>
      <c r="E30" s="48">
        <f t="shared" si="2"/>
        <v>34152.059986666667</v>
      </c>
      <c r="F30" s="48">
        <f t="shared" si="2"/>
        <v>-240371.60979999998</v>
      </c>
      <c r="G30" s="49">
        <f t="shared" si="2"/>
        <v>25117.276013333329</v>
      </c>
      <c r="H30" s="17"/>
    </row>
    <row r="31" spans="1:8" x14ac:dyDescent="0.25">
      <c r="A31" s="17"/>
      <c r="B31" s="19"/>
      <c r="C31" s="19"/>
      <c r="D31" s="19"/>
      <c r="E31" s="19"/>
      <c r="F31" s="17"/>
      <c r="G31" s="17"/>
      <c r="H31" s="17"/>
    </row>
    <row r="32" spans="1:8" x14ac:dyDescent="0.25">
      <c r="A32" s="20" t="s">
        <v>178</v>
      </c>
      <c r="B32" s="21"/>
      <c r="C32" s="21"/>
      <c r="D32" s="21"/>
      <c r="E32" s="21"/>
      <c r="F32" s="21"/>
      <c r="G32" s="22"/>
      <c r="H32" s="17"/>
    </row>
    <row r="33" spans="1:8" x14ac:dyDescent="0.25">
      <c r="A33" s="35" t="s">
        <v>48</v>
      </c>
      <c r="B33" s="36">
        <v>1548</v>
      </c>
      <c r="C33" s="36">
        <v>1555</v>
      </c>
      <c r="D33" s="36">
        <v>1582</v>
      </c>
      <c r="E33" s="36">
        <v>1592</v>
      </c>
      <c r="F33" s="36">
        <v>1592</v>
      </c>
      <c r="G33" s="181" t="s">
        <v>133</v>
      </c>
      <c r="H33" s="17"/>
    </row>
    <row r="34" spans="1:8" x14ac:dyDescent="0.25">
      <c r="A34" s="50" t="s">
        <v>164</v>
      </c>
      <c r="B34" s="39">
        <f>'2. Disposition'!N34</f>
        <v>160507.10478666666</v>
      </c>
      <c r="C34" s="39">
        <f>'2. Disposition'!N35</f>
        <v>317140.83000000013</v>
      </c>
      <c r="D34" s="39">
        <f>'2. Disposition'!N37</f>
        <v>9544.3585733333312</v>
      </c>
      <c r="E34" s="39">
        <f>'2. Disposition'!N39</f>
        <v>-1660.2279466666662</v>
      </c>
      <c r="F34" s="39">
        <f>'2. Disposition'!N40</f>
        <v>-196193.86637333332</v>
      </c>
      <c r="G34" s="40">
        <f>SUM(B34:F34)+SUM(B20:G20)</f>
        <v>671895.18717333348</v>
      </c>
      <c r="H34" s="17"/>
    </row>
    <row r="35" spans="1:8" x14ac:dyDescent="0.25">
      <c r="A35" s="185" t="s">
        <v>50</v>
      </c>
      <c r="B35" s="42" t="s">
        <v>51</v>
      </c>
      <c r="C35" s="42" t="s">
        <v>148</v>
      </c>
      <c r="D35" s="42" t="s">
        <v>51</v>
      </c>
      <c r="E35" s="42" t="s">
        <v>51</v>
      </c>
      <c r="F35" s="42" t="s">
        <v>51</v>
      </c>
      <c r="G35" s="43"/>
      <c r="H35" s="17"/>
    </row>
    <row r="36" spans="1:8" x14ac:dyDescent="0.25">
      <c r="A36" s="27" t="s">
        <v>41</v>
      </c>
      <c r="B36" s="45">
        <f>B$34*($C7/$C$16)</f>
        <v>48901.899102961048</v>
      </c>
      <c r="C36" s="45">
        <v>97206.449808690028</v>
      </c>
      <c r="D36" s="45">
        <f t="shared" ref="D36:G36" si="3">D$34*($C7/$C$16)</f>
        <v>2907.8915888239217</v>
      </c>
      <c r="E36" s="45">
        <f t="shared" si="3"/>
        <v>-505.82371193922268</v>
      </c>
      <c r="F36" s="45">
        <f t="shared" si="3"/>
        <v>-59774.629109163048</v>
      </c>
      <c r="G36" s="46">
        <f t="shared" si="3"/>
        <v>204707.14174669303</v>
      </c>
      <c r="H36" s="17"/>
    </row>
    <row r="37" spans="1:8" x14ac:dyDescent="0.25">
      <c r="A37" s="28" t="s">
        <v>42</v>
      </c>
      <c r="B37" s="45">
        <f t="shared" ref="B37:G42" si="4">B$34*($C8/$C$16)</f>
        <v>17633.682839408721</v>
      </c>
      <c r="C37" s="45">
        <v>136176.71049281611</v>
      </c>
      <c r="D37" s="45">
        <f t="shared" si="4"/>
        <v>1048.5653716790009</v>
      </c>
      <c r="E37" s="45">
        <f t="shared" si="4"/>
        <v>-182.39649323657056</v>
      </c>
      <c r="F37" s="45">
        <f t="shared" si="4"/>
        <v>-21554.313245279383</v>
      </c>
      <c r="G37" s="46">
        <f t="shared" si="4"/>
        <v>73815.963771118579</v>
      </c>
      <c r="H37" s="17"/>
    </row>
    <row r="38" spans="1:8" x14ac:dyDescent="0.25">
      <c r="A38" s="28" t="s">
        <v>43</v>
      </c>
      <c r="B38" s="45">
        <f t="shared" si="4"/>
        <v>85377.375445765851</v>
      </c>
      <c r="C38" s="45">
        <v>83757.668847161331</v>
      </c>
      <c r="D38" s="45">
        <f t="shared" si="4"/>
        <v>5076.8611544489422</v>
      </c>
      <c r="E38" s="45">
        <f t="shared" si="4"/>
        <v>-883.11296198701177</v>
      </c>
      <c r="F38" s="45">
        <f t="shared" si="4"/>
        <v>-104359.97466763826</v>
      </c>
      <c r="G38" s="46">
        <f t="shared" si="4"/>
        <v>357396.31421141984</v>
      </c>
      <c r="H38" s="56"/>
    </row>
    <row r="39" spans="1:8" x14ac:dyDescent="0.25">
      <c r="A39" s="28" t="s">
        <v>95</v>
      </c>
      <c r="B39" s="45">
        <f t="shared" si="4"/>
        <v>7157.8129905062133</v>
      </c>
      <c r="C39" s="45"/>
      <c r="D39" s="45">
        <f t="shared" si="4"/>
        <v>425.63059045302612</v>
      </c>
      <c r="E39" s="45">
        <f t="shared" si="4"/>
        <v>-74.037851344006626</v>
      </c>
      <c r="F39" s="45">
        <f t="shared" si="4"/>
        <v>-8749.2638238736854</v>
      </c>
      <c r="G39" s="46">
        <f t="shared" si="4"/>
        <v>29963.160231442907</v>
      </c>
    </row>
    <row r="40" spans="1:8" x14ac:dyDescent="0.25">
      <c r="A40" s="28" t="s">
        <v>44</v>
      </c>
      <c r="B40" s="45">
        <f t="shared" si="4"/>
        <v>227.36317958514061</v>
      </c>
      <c r="C40" s="45"/>
      <c r="D40" s="45">
        <f t="shared" si="4"/>
        <v>13.519873249336859</v>
      </c>
      <c r="E40" s="45">
        <f t="shared" si="4"/>
        <v>-2.3517632150424244</v>
      </c>
      <c r="F40" s="45">
        <f t="shared" si="4"/>
        <v>-277.91455919058353</v>
      </c>
      <c r="G40" s="46">
        <f t="shared" si="4"/>
        <v>951.75990063944153</v>
      </c>
    </row>
    <row r="41" spans="1:8" x14ac:dyDescent="0.25">
      <c r="A41" s="28" t="s">
        <v>45</v>
      </c>
      <c r="B41" s="45">
        <f t="shared" si="4"/>
        <v>69.959530770160612</v>
      </c>
      <c r="C41" s="45"/>
      <c r="D41" s="45">
        <f t="shared" si="4"/>
        <v>4.1600578876557428</v>
      </c>
      <c r="E41" s="45">
        <f t="shared" si="4"/>
        <v>-0.72363630429122094</v>
      </c>
      <c r="F41" s="45">
        <f t="shared" si="4"/>
        <v>-85.51416368580702</v>
      </c>
      <c r="G41" s="46">
        <f t="shared" si="4"/>
        <v>292.85602082133124</v>
      </c>
    </row>
    <row r="42" spans="1:8" x14ac:dyDescent="0.25">
      <c r="A42" s="28" t="s">
        <v>46</v>
      </c>
      <c r="B42" s="45">
        <f t="shared" si="4"/>
        <v>1139.0116976695342</v>
      </c>
      <c r="C42" s="45"/>
      <c r="D42" s="45">
        <f t="shared" si="4"/>
        <v>67.729936791447486</v>
      </c>
      <c r="E42" s="45">
        <f t="shared" si="4"/>
        <v>-11.781528640520911</v>
      </c>
      <c r="F42" s="45">
        <f t="shared" si="4"/>
        <v>-1392.2568045025478</v>
      </c>
      <c r="G42" s="46">
        <f t="shared" si="4"/>
        <v>4767.991291198352</v>
      </c>
    </row>
    <row r="43" spans="1:8" x14ac:dyDescent="0.25">
      <c r="A43" s="28" t="s">
        <v>155</v>
      </c>
      <c r="B43" s="45">
        <v>0</v>
      </c>
      <c r="C43" s="45">
        <v>0</v>
      </c>
      <c r="D43" s="45">
        <v>0</v>
      </c>
      <c r="E43" s="45">
        <v>0</v>
      </c>
      <c r="F43" s="45">
        <v>0</v>
      </c>
      <c r="G43" s="46">
        <v>0</v>
      </c>
    </row>
    <row r="44" spans="1:8" x14ac:dyDescent="0.25">
      <c r="A44" s="30" t="s">
        <v>32</v>
      </c>
      <c r="B44" s="48">
        <f t="shared" ref="B44:G44" si="5">SUM(B36:B43)</f>
        <v>160507.10478666666</v>
      </c>
      <c r="C44" s="48">
        <f>SUM(C36:C43)</f>
        <v>317140.82914866746</v>
      </c>
      <c r="D44" s="48">
        <f t="shared" si="5"/>
        <v>9544.3585733333293</v>
      </c>
      <c r="E44" s="48">
        <f t="shared" si="5"/>
        <v>-1660.2279466666662</v>
      </c>
      <c r="F44" s="48">
        <f t="shared" si="5"/>
        <v>-196193.86637333332</v>
      </c>
      <c r="G44" s="49">
        <f t="shared" si="5"/>
        <v>671895.18717333337</v>
      </c>
      <c r="H44" s="17"/>
    </row>
    <row r="45" spans="1:8" x14ac:dyDescent="0.25">
      <c r="A45" s="33"/>
      <c r="B45" s="34"/>
      <c r="C45" s="114"/>
      <c r="D45" s="34"/>
      <c r="E45" s="114"/>
      <c r="F45" s="115"/>
      <c r="G45" s="17"/>
      <c r="H45" s="17"/>
    </row>
    <row r="46" spans="1:8" x14ac:dyDescent="0.25">
      <c r="A46" s="20" t="s">
        <v>59</v>
      </c>
      <c r="B46" s="21"/>
      <c r="C46" s="21"/>
      <c r="D46" s="21"/>
      <c r="E46" s="19"/>
      <c r="F46" s="17"/>
      <c r="G46" s="17"/>
      <c r="H46" s="17"/>
    </row>
    <row r="47" spans="1:8" ht="38.25" x14ac:dyDescent="0.25">
      <c r="A47" s="23" t="s">
        <v>35</v>
      </c>
      <c r="B47" s="60" t="s">
        <v>60</v>
      </c>
      <c r="C47" s="61" t="s">
        <v>61</v>
      </c>
      <c r="D47" s="26" t="s">
        <v>62</v>
      </c>
      <c r="E47" s="19"/>
      <c r="F47" s="214" t="s">
        <v>58</v>
      </c>
      <c r="G47" s="17"/>
      <c r="H47" s="17"/>
    </row>
    <row r="48" spans="1:8" x14ac:dyDescent="0.25">
      <c r="A48" s="27" t="s">
        <v>41</v>
      </c>
      <c r="B48" s="62" t="s">
        <v>147</v>
      </c>
      <c r="C48" s="63">
        <f t="shared" ref="C48:C55" si="6">G36</f>
        <v>204707.14174669303</v>
      </c>
      <c r="D48" s="213">
        <f>ROUND(C48/B7/F48/12,2)</f>
        <v>0.47</v>
      </c>
      <c r="E48" s="19"/>
      <c r="F48" s="296">
        <v>1</v>
      </c>
      <c r="G48" s="17"/>
      <c r="H48" s="17"/>
    </row>
    <row r="49" spans="1:8" x14ac:dyDescent="0.25">
      <c r="A49" s="28" t="s">
        <v>42</v>
      </c>
      <c r="B49" s="64" t="s">
        <v>64</v>
      </c>
      <c r="C49" s="63">
        <f t="shared" si="6"/>
        <v>73815.963771118579</v>
      </c>
      <c r="D49" s="209">
        <f t="shared" ref="D49:D55" si="7">IF(B49="kwh",ROUND(C49/$F$48/C8,4),ROUND(C49/$F$48/D8,4))</f>
        <v>6.9999999999999999E-4</v>
      </c>
      <c r="E49" s="19"/>
      <c r="F49" s="297"/>
      <c r="G49" s="17"/>
      <c r="H49" s="17"/>
    </row>
    <row r="50" spans="1:8" x14ac:dyDescent="0.25">
      <c r="A50" s="28" t="s">
        <v>43</v>
      </c>
      <c r="B50" s="64" t="s">
        <v>65</v>
      </c>
      <c r="C50" s="63">
        <f t="shared" si="6"/>
        <v>357396.31421141984</v>
      </c>
      <c r="D50" s="209">
        <f t="shared" si="7"/>
        <v>0.2777</v>
      </c>
      <c r="E50" s="19"/>
      <c r="G50" s="17"/>
      <c r="H50" s="17"/>
    </row>
    <row r="51" spans="1:8" x14ac:dyDescent="0.25">
      <c r="A51" s="28" t="s">
        <v>95</v>
      </c>
      <c r="B51" s="64" t="s">
        <v>65</v>
      </c>
      <c r="C51" s="63">
        <f t="shared" si="6"/>
        <v>29963.160231442907</v>
      </c>
      <c r="D51" s="209">
        <f t="shared" si="7"/>
        <v>0.316</v>
      </c>
      <c r="E51" s="19"/>
      <c r="G51" s="17"/>
      <c r="H51" s="17"/>
    </row>
    <row r="52" spans="1:8" x14ac:dyDescent="0.25">
      <c r="A52" s="28" t="s">
        <v>44</v>
      </c>
      <c r="B52" s="64" t="s">
        <v>64</v>
      </c>
      <c r="C52" s="63">
        <f t="shared" si="6"/>
        <v>951.75990063944153</v>
      </c>
      <c r="D52" s="209">
        <f t="shared" si="7"/>
        <v>6.9999999999999999E-4</v>
      </c>
      <c r="E52" s="19"/>
      <c r="F52" s="17"/>
      <c r="G52" s="17"/>
      <c r="H52" s="17"/>
    </row>
    <row r="53" spans="1:8" x14ac:dyDescent="0.25">
      <c r="A53" s="28" t="s">
        <v>45</v>
      </c>
      <c r="B53" s="64" t="s">
        <v>65</v>
      </c>
      <c r="C53" s="63">
        <f t="shared" si="6"/>
        <v>292.85602082133124</v>
      </c>
      <c r="D53" s="209">
        <f t="shared" si="7"/>
        <v>0.26379999999999998</v>
      </c>
      <c r="E53" s="19"/>
      <c r="F53" s="17"/>
      <c r="G53" s="17"/>
      <c r="H53" s="17"/>
    </row>
    <row r="54" spans="1:8" x14ac:dyDescent="0.25">
      <c r="A54" s="28" t="s">
        <v>46</v>
      </c>
      <c r="B54" s="64" t="s">
        <v>65</v>
      </c>
      <c r="C54" s="63">
        <f t="shared" si="6"/>
        <v>4767.991291198352</v>
      </c>
      <c r="D54" s="209">
        <f t="shared" si="7"/>
        <v>0.24629999999999999</v>
      </c>
      <c r="E54" s="19"/>
      <c r="F54" s="17"/>
      <c r="G54" s="17"/>
      <c r="H54" s="17"/>
    </row>
    <row r="55" spans="1:8" x14ac:dyDescent="0.25">
      <c r="A55" s="28" t="s">
        <v>86</v>
      </c>
      <c r="B55" s="64" t="s">
        <v>65</v>
      </c>
      <c r="C55" s="63">
        <f t="shared" si="6"/>
        <v>0</v>
      </c>
      <c r="D55" s="209">
        <f t="shared" si="7"/>
        <v>0</v>
      </c>
      <c r="E55" s="19"/>
      <c r="F55" s="17"/>
      <c r="G55" s="17"/>
      <c r="H55" s="17"/>
    </row>
    <row r="56" spans="1:8" x14ac:dyDescent="0.25">
      <c r="A56" s="30" t="s">
        <v>32</v>
      </c>
      <c r="B56" s="65"/>
      <c r="C56" s="66">
        <f>SUM(C48:C55)</f>
        <v>671895.18717333337</v>
      </c>
      <c r="D56" s="67"/>
      <c r="E56" s="19"/>
      <c r="F56" s="17"/>
      <c r="G56" s="17"/>
      <c r="H56" s="17"/>
    </row>
    <row r="57" spans="1:8" x14ac:dyDescent="0.25">
      <c r="E57" s="19"/>
      <c r="F57" s="17"/>
      <c r="G57" s="17"/>
      <c r="H57" s="17"/>
    </row>
    <row r="58" spans="1:8" x14ac:dyDescent="0.25">
      <c r="E58" s="19"/>
      <c r="F58" s="17"/>
      <c r="G58" s="17"/>
      <c r="H58" s="17"/>
    </row>
    <row r="59" spans="1:8" x14ac:dyDescent="0.25">
      <c r="E59" s="19"/>
      <c r="F59" s="17"/>
      <c r="G59" s="17"/>
      <c r="H59" s="17"/>
    </row>
    <row r="60" spans="1:8" x14ac:dyDescent="0.25">
      <c r="E60" s="19"/>
      <c r="F60" s="17"/>
      <c r="G60" s="17"/>
      <c r="H60" s="17"/>
    </row>
  </sheetData>
  <mergeCells count="1">
    <mergeCell ref="F48:F49"/>
  </mergeCells>
  <pageMargins left="0.25" right="0.25" top="0.25" bottom="0.25" header="0.3" footer="0.3"/>
  <pageSetup fitToHeight="0" orientation="landscape" r:id="rId1"/>
  <headerFooter>
    <oddFooter>&amp;L&amp;F&amp;R&amp;P/&amp;N</oddFooter>
  </headerFooter>
  <rowBreaks count="1" manualBreakCount="1">
    <brk id="3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opLeftCell="A13" zoomScale="110" zoomScaleNormal="110" workbookViewId="0">
      <selection activeCell="N22" sqref="N22"/>
    </sheetView>
  </sheetViews>
  <sheetFormatPr defaultRowHeight="15" x14ac:dyDescent="0.25"/>
  <cols>
    <col min="1" max="1" width="38" customWidth="1"/>
    <col min="2" max="8" width="12.7109375" customWidth="1"/>
    <col min="12" max="12" width="10.140625" bestFit="1" customWidth="1"/>
  </cols>
  <sheetData>
    <row r="1" spans="1:7" ht="18.75" x14ac:dyDescent="0.3">
      <c r="A1" s="251" t="s">
        <v>34</v>
      </c>
      <c r="B1" s="16"/>
      <c r="C1" s="16"/>
      <c r="D1" s="16"/>
    </row>
    <row r="2" spans="1:7" ht="18.75" x14ac:dyDescent="0.3">
      <c r="A2" s="251" t="s">
        <v>170</v>
      </c>
      <c r="B2" s="16"/>
      <c r="C2" s="16"/>
      <c r="D2" s="16"/>
    </row>
    <row r="3" spans="1:7" ht="19.5" thickBot="1" x14ac:dyDescent="0.35">
      <c r="A3" s="252" t="s">
        <v>179</v>
      </c>
      <c r="B3" s="18"/>
      <c r="C3" s="18"/>
      <c r="D3" s="18"/>
      <c r="E3" s="18"/>
      <c r="F3" s="18"/>
      <c r="G3" s="18"/>
    </row>
    <row r="4" spans="1:7" x14ac:dyDescent="0.25">
      <c r="B4" s="19"/>
      <c r="C4" s="19"/>
      <c r="D4" s="19"/>
    </row>
    <row r="5" spans="1:7" x14ac:dyDescent="0.25">
      <c r="A5" s="20" t="s">
        <v>84</v>
      </c>
      <c r="B5" s="168"/>
      <c r="C5" s="168"/>
      <c r="D5" s="168"/>
    </row>
    <row r="6" spans="1:7" ht="30" x14ac:dyDescent="0.25">
      <c r="A6" s="143" t="s">
        <v>35</v>
      </c>
      <c r="B6" s="170" t="s">
        <v>36</v>
      </c>
      <c r="C6" s="25" t="s">
        <v>37</v>
      </c>
      <c r="D6" s="26" t="s">
        <v>38</v>
      </c>
    </row>
    <row r="7" spans="1:7" x14ac:dyDescent="0.25">
      <c r="A7" s="171" t="s">
        <v>41</v>
      </c>
      <c r="B7" s="125">
        <f>'3. 2016 Billing Determinants'!C7</f>
        <v>36333</v>
      </c>
      <c r="C7" s="125">
        <f>'3. 2016 Billing Determinants'!D7</f>
        <v>277042719.94251806</v>
      </c>
      <c r="D7" s="126">
        <f>'3. 2016 Billing Determinants'!E7</f>
        <v>0</v>
      </c>
    </row>
    <row r="8" spans="1:7" x14ac:dyDescent="0.25">
      <c r="A8" s="88" t="s">
        <v>42</v>
      </c>
      <c r="B8" s="125">
        <f>'3. 2016 Billing Determinants'!C8</f>
        <v>3850</v>
      </c>
      <c r="C8" s="125">
        <f>'3. 2016 Billing Determinants'!D8</f>
        <v>99899667.416754559</v>
      </c>
      <c r="D8" s="126">
        <f>'3. 2016 Billing Determinants'!E8</f>
        <v>0</v>
      </c>
    </row>
    <row r="9" spans="1:7" x14ac:dyDescent="0.25">
      <c r="A9" s="88" t="s">
        <v>43</v>
      </c>
      <c r="B9" s="125">
        <f>'3. 2016 Billing Determinants'!C9</f>
        <v>491</v>
      </c>
      <c r="C9" s="125">
        <f>'3. 2016 Billing Determinants'!D9</f>
        <v>483686334.25151187</v>
      </c>
      <c r="D9" s="126">
        <f>'3. 2016 Billing Determinants'!E9</f>
        <v>1287117.3058017949</v>
      </c>
    </row>
    <row r="10" spans="1:7" x14ac:dyDescent="0.25">
      <c r="A10" s="88" t="s">
        <v>95</v>
      </c>
      <c r="B10" s="125">
        <f>'3. 2016 Billing Determinants'!C10</f>
        <v>2</v>
      </c>
      <c r="C10" s="125">
        <f>'3. 2016 Billing Determinants'!D10</f>
        <v>40550980.966088027</v>
      </c>
      <c r="D10" s="126">
        <f>'3. 2016 Billing Determinants'!E10</f>
        <v>94834</v>
      </c>
    </row>
    <row r="11" spans="1:7" x14ac:dyDescent="0.25">
      <c r="A11" s="88" t="s">
        <v>44</v>
      </c>
      <c r="B11" s="125">
        <f>'3. 2016 Billing Determinants'!C11</f>
        <v>335</v>
      </c>
      <c r="C11" s="125">
        <f>'3. 2016 Billing Determinants'!D11</f>
        <v>1288075</v>
      </c>
      <c r="D11" s="126">
        <f>'3. 2016 Billing Determinants'!E11</f>
        <v>0</v>
      </c>
    </row>
    <row r="12" spans="1:7" x14ac:dyDescent="0.25">
      <c r="A12" s="88" t="s">
        <v>45</v>
      </c>
      <c r="B12" s="125">
        <f>'3. 2016 Billing Determinants'!C12</f>
        <v>532</v>
      </c>
      <c r="C12" s="125">
        <f>'3. 2016 Billing Determinants'!D12</f>
        <v>396340</v>
      </c>
      <c r="D12" s="126">
        <f>'3. 2016 Billing Determinants'!E12</f>
        <v>1110</v>
      </c>
    </row>
    <row r="13" spans="1:7" x14ac:dyDescent="0.25">
      <c r="A13" s="172" t="s">
        <v>46</v>
      </c>
      <c r="B13" s="125">
        <f>'3. 2016 Billing Determinants'!C13</f>
        <v>12984</v>
      </c>
      <c r="C13" s="125">
        <f>'3. 2016 Billing Determinants'!D13</f>
        <v>6452814.8100000005</v>
      </c>
      <c r="D13" s="126">
        <f>'3. 2016 Billing Determinants'!E13</f>
        <v>19358</v>
      </c>
    </row>
    <row r="14" spans="1:7" x14ac:dyDescent="0.25">
      <c r="A14" s="172" t="s">
        <v>165</v>
      </c>
      <c r="B14" s="125">
        <f>'3. 2016 Billing Determinants'!C14</f>
        <v>1</v>
      </c>
      <c r="C14" s="125">
        <f>'3. 2016 Billing Determinants'!D14</f>
        <v>4421657</v>
      </c>
      <c r="D14" s="126">
        <f>'3. 2016 Billing Determinants'!E14</f>
        <v>11231</v>
      </c>
    </row>
    <row r="15" spans="1:7" x14ac:dyDescent="0.25">
      <c r="A15" s="173" t="s">
        <v>32</v>
      </c>
      <c r="B15" s="174">
        <f>SUM(B7:B14)</f>
        <v>54528</v>
      </c>
      <c r="C15" s="31">
        <f>SUM(C7:C14)</f>
        <v>913738589.38687253</v>
      </c>
      <c r="D15" s="32">
        <f>SUM(D7:D14)</f>
        <v>1413650.3058017949</v>
      </c>
    </row>
    <row r="17" spans="1:15" x14ac:dyDescent="0.25">
      <c r="A17" s="167" t="s">
        <v>180</v>
      </c>
      <c r="B17" s="168"/>
      <c r="C17" s="168"/>
      <c r="D17" s="168"/>
      <c r="E17" s="168"/>
      <c r="F17" s="168"/>
      <c r="G17" s="168"/>
      <c r="H17" s="169"/>
    </row>
    <row r="18" spans="1:15" ht="60" x14ac:dyDescent="0.25">
      <c r="A18" s="143" t="s">
        <v>35</v>
      </c>
      <c r="B18" s="175" t="s">
        <v>60</v>
      </c>
      <c r="C18" s="216" t="s">
        <v>166</v>
      </c>
      <c r="D18" s="216" t="s">
        <v>167</v>
      </c>
      <c r="E18" s="216" t="s">
        <v>168</v>
      </c>
      <c r="F18" s="170" t="s">
        <v>144</v>
      </c>
      <c r="G18" s="255" t="s">
        <v>181</v>
      </c>
      <c r="H18" s="26" t="s">
        <v>182</v>
      </c>
    </row>
    <row r="19" spans="1:15" x14ac:dyDescent="0.25">
      <c r="A19" s="171" t="s">
        <v>41</v>
      </c>
      <c r="B19" s="176" t="s">
        <v>64</v>
      </c>
      <c r="C19" s="183">
        <v>34679.5</v>
      </c>
      <c r="D19" s="183">
        <v>14693.77</v>
      </c>
      <c r="E19" s="183">
        <v>11976.168244526474</v>
      </c>
      <c r="F19" s="178">
        <f>SUM(C19:E19)</f>
        <v>61349.438244526478</v>
      </c>
      <c r="G19" s="209">
        <f>IF(B19="kWh",ROUND(F19/C7,4),ROUND(F19/D7,4))</f>
        <v>2.0000000000000001E-4</v>
      </c>
      <c r="H19" s="253">
        <v>2.0000000000000001E-4</v>
      </c>
      <c r="L19" s="178"/>
      <c r="O19" s="84"/>
    </row>
    <row r="20" spans="1:15" x14ac:dyDescent="0.25">
      <c r="A20" s="88" t="s">
        <v>42</v>
      </c>
      <c r="B20" s="177" t="s">
        <v>64</v>
      </c>
      <c r="C20" s="183">
        <v>63893.65</v>
      </c>
      <c r="D20" s="183">
        <v>3785.62</v>
      </c>
      <c r="E20" s="183">
        <v>4116.0768145998227</v>
      </c>
      <c r="F20" s="178">
        <f t="shared" ref="F20:F26" si="0">SUM(C20:E20)</f>
        <v>71795.346814599819</v>
      </c>
      <c r="G20" s="209">
        <f>IF(B20="kWh",ROUND(F20/C8,4),ROUND(F20/D8,4))</f>
        <v>6.9999999999999999E-4</v>
      </c>
      <c r="H20" s="253">
        <v>6.9999999999999999E-4</v>
      </c>
      <c r="L20" s="178"/>
      <c r="O20" s="84"/>
    </row>
    <row r="21" spans="1:15" x14ac:dyDescent="0.25">
      <c r="A21" s="88" t="s">
        <v>43</v>
      </c>
      <c r="B21" s="177" t="s">
        <v>65</v>
      </c>
      <c r="C21" s="183">
        <f>54426.79+10942.63</f>
        <v>65369.42</v>
      </c>
      <c r="D21" s="183">
        <v>6889.55</v>
      </c>
      <c r="E21" s="183">
        <v>612.39056325509432</v>
      </c>
      <c r="F21" s="178">
        <f t="shared" si="0"/>
        <v>72871.36056325509</v>
      </c>
      <c r="G21" s="209">
        <f>IF(B21="kWh",ROUND(F21/C9,4),ROUND(F21/D9,4))</f>
        <v>5.6599999999999998E-2</v>
      </c>
      <c r="H21" s="253">
        <v>6.3500000000000001E-2</v>
      </c>
      <c r="L21" s="178"/>
      <c r="O21" s="84"/>
    </row>
    <row r="22" spans="1:15" x14ac:dyDescent="0.25">
      <c r="A22" s="88" t="s">
        <v>95</v>
      </c>
      <c r="B22" s="177" t="s">
        <v>65</v>
      </c>
      <c r="C22" s="183">
        <v>23312.11</v>
      </c>
      <c r="D22" s="183">
        <v>52.57</v>
      </c>
      <c r="E22" s="183"/>
      <c r="F22" s="178">
        <f t="shared" si="0"/>
        <v>23364.68</v>
      </c>
      <c r="G22" s="209">
        <f>IF(B22="kWh",ROUND(F22/C10,4),ROUND(F22/D10,4))</f>
        <v>0.24640000000000001</v>
      </c>
      <c r="H22" s="253">
        <v>0.318</v>
      </c>
      <c r="O22" s="84"/>
    </row>
    <row r="23" spans="1:15" x14ac:dyDescent="0.25">
      <c r="A23" s="88" t="s">
        <v>44</v>
      </c>
      <c r="B23" s="177" t="s">
        <v>64</v>
      </c>
      <c r="C23" s="183"/>
      <c r="D23" s="183"/>
      <c r="E23" s="183"/>
      <c r="F23" s="178">
        <f t="shared" si="0"/>
        <v>0</v>
      </c>
      <c r="G23" s="209"/>
      <c r="H23" s="253"/>
    </row>
    <row r="24" spans="1:15" x14ac:dyDescent="0.25">
      <c r="A24" s="88" t="s">
        <v>45</v>
      </c>
      <c r="B24" s="127" t="s">
        <v>65</v>
      </c>
      <c r="C24" s="178"/>
      <c r="D24" s="178"/>
      <c r="E24" s="178"/>
      <c r="F24" s="178">
        <f t="shared" si="0"/>
        <v>0</v>
      </c>
      <c r="G24" s="215"/>
      <c r="H24" s="254"/>
    </row>
    <row r="25" spans="1:15" x14ac:dyDescent="0.25">
      <c r="A25" s="172" t="s">
        <v>46</v>
      </c>
      <c r="B25" s="179" t="s">
        <v>65</v>
      </c>
      <c r="C25" s="184"/>
      <c r="D25" s="184">
        <v>12.778590824376002</v>
      </c>
      <c r="E25" s="184"/>
      <c r="F25" s="178">
        <f t="shared" si="0"/>
        <v>12.778590824376002</v>
      </c>
      <c r="G25" s="209">
        <f>IF(B25="kWh",ROUND(F25/C13,4),ROUND(F25/D13,4))</f>
        <v>6.9999999999999999E-4</v>
      </c>
      <c r="H25" s="253">
        <v>5.9999999999999995E-4</v>
      </c>
    </row>
    <row r="26" spans="1:15" x14ac:dyDescent="0.25">
      <c r="A26" s="172" t="s">
        <v>155</v>
      </c>
      <c r="B26" s="179" t="s">
        <v>65</v>
      </c>
      <c r="C26" s="184"/>
      <c r="D26" s="184"/>
      <c r="E26" s="184"/>
      <c r="F26" s="178">
        <f t="shared" si="0"/>
        <v>0</v>
      </c>
      <c r="G26" s="215"/>
      <c r="H26" s="254"/>
    </row>
    <row r="27" spans="1:15" x14ac:dyDescent="0.25">
      <c r="A27" s="173" t="s">
        <v>32</v>
      </c>
      <c r="B27" s="31"/>
      <c r="C27" s="180">
        <f>SUM(C19:C26)</f>
        <v>187254.68</v>
      </c>
      <c r="D27" s="180">
        <f t="shared" ref="D27:E27" si="1">SUM(D19:D26)</f>
        <v>25434.288590824373</v>
      </c>
      <c r="E27" s="180">
        <f t="shared" si="1"/>
        <v>16704.635622381393</v>
      </c>
      <c r="F27" s="180">
        <f>SUM(F19:F26)</f>
        <v>229393.60421320575</v>
      </c>
      <c r="G27" s="32"/>
      <c r="H27" s="32"/>
    </row>
  </sheetData>
  <pageMargins left="0.25" right="0.25" top="0.25" bottom="0.25" header="0.3" footer="0.3"/>
  <pageSetup orientation="landscape" r:id="rId1"/>
  <headerFooter>
    <oddFooter>&amp;L&amp;F&amp;R&amp;P/&amp;N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opLeftCell="A4" zoomScale="110" zoomScaleNormal="110" workbookViewId="0">
      <selection activeCell="N22" sqref="N22"/>
    </sheetView>
  </sheetViews>
  <sheetFormatPr defaultRowHeight="15" x14ac:dyDescent="0.25"/>
  <cols>
    <col min="1" max="1" width="51.140625" customWidth="1"/>
    <col min="2" max="4" width="14.7109375" customWidth="1"/>
    <col min="6" max="6" width="9.7109375" bestFit="1" customWidth="1"/>
  </cols>
  <sheetData>
    <row r="1" spans="1:4" ht="18.75" x14ac:dyDescent="0.3">
      <c r="A1" s="166" t="s">
        <v>34</v>
      </c>
      <c r="B1" s="16"/>
      <c r="C1" s="16"/>
      <c r="D1" s="16"/>
    </row>
    <row r="2" spans="1:4" ht="18.75" x14ac:dyDescent="0.3">
      <c r="A2" s="166" t="s">
        <v>170</v>
      </c>
      <c r="B2" s="16"/>
      <c r="C2" s="16"/>
      <c r="D2" s="16"/>
    </row>
    <row r="3" spans="1:4" ht="19.5" thickBot="1" x14ac:dyDescent="0.35">
      <c r="A3" s="141" t="s">
        <v>172</v>
      </c>
      <c r="B3" s="18"/>
      <c r="C3" s="18"/>
      <c r="D3" s="18"/>
    </row>
    <row r="4" spans="1:4" x14ac:dyDescent="0.25">
      <c r="B4" s="19"/>
      <c r="C4" s="19"/>
      <c r="D4" s="19"/>
    </row>
    <row r="5" spans="1:4" x14ac:dyDescent="0.25">
      <c r="A5" s="20" t="s">
        <v>84</v>
      </c>
      <c r="B5" s="168"/>
      <c r="C5" s="168"/>
      <c r="D5" s="168"/>
    </row>
    <row r="6" spans="1:4" ht="45" x14ac:dyDescent="0.25">
      <c r="A6" s="143" t="s">
        <v>35</v>
      </c>
      <c r="B6" s="170" t="s">
        <v>36</v>
      </c>
      <c r="C6" s="25" t="s">
        <v>37</v>
      </c>
      <c r="D6" s="26" t="s">
        <v>38</v>
      </c>
    </row>
    <row r="7" spans="1:4" x14ac:dyDescent="0.25">
      <c r="A7" s="171" t="s">
        <v>41</v>
      </c>
      <c r="B7" s="125">
        <f>'3. 2016 Billing Determinants'!C7</f>
        <v>36333</v>
      </c>
      <c r="C7" s="125">
        <f>'3. 2016 Billing Determinants'!D7</f>
        <v>277042719.94251806</v>
      </c>
      <c r="D7" s="126">
        <f>'3. 2016 Billing Determinants'!E7</f>
        <v>0</v>
      </c>
    </row>
    <row r="8" spans="1:4" x14ac:dyDescent="0.25">
      <c r="A8" s="88" t="s">
        <v>42</v>
      </c>
      <c r="B8" s="125">
        <f>'3. 2016 Billing Determinants'!C8</f>
        <v>3850</v>
      </c>
      <c r="C8" s="125">
        <f>'3. 2016 Billing Determinants'!D8</f>
        <v>99899667.416754559</v>
      </c>
      <c r="D8" s="126">
        <f>'3. 2016 Billing Determinants'!E8</f>
        <v>0</v>
      </c>
    </row>
    <row r="9" spans="1:4" x14ac:dyDescent="0.25">
      <c r="A9" s="88" t="s">
        <v>43</v>
      </c>
      <c r="B9" s="125">
        <f>'3. 2016 Billing Determinants'!C9</f>
        <v>491</v>
      </c>
      <c r="C9" s="125">
        <f>'3. 2016 Billing Determinants'!D9</f>
        <v>483686334.25151187</v>
      </c>
      <c r="D9" s="126">
        <f>'3. 2016 Billing Determinants'!E9</f>
        <v>1287117.3058017949</v>
      </c>
    </row>
    <row r="10" spans="1:4" x14ac:dyDescent="0.25">
      <c r="A10" s="88" t="s">
        <v>95</v>
      </c>
      <c r="B10" s="125">
        <f>'3. 2016 Billing Determinants'!C10</f>
        <v>2</v>
      </c>
      <c r="C10" s="125">
        <f>'3. 2016 Billing Determinants'!D10</f>
        <v>40550980.966088027</v>
      </c>
      <c r="D10" s="126">
        <f>'3. 2016 Billing Determinants'!E10</f>
        <v>94834</v>
      </c>
    </row>
    <row r="11" spans="1:4" x14ac:dyDescent="0.25">
      <c r="A11" s="88" t="s">
        <v>44</v>
      </c>
      <c r="B11" s="125">
        <f>'3. 2016 Billing Determinants'!C11</f>
        <v>335</v>
      </c>
      <c r="C11" s="125">
        <f>'3. 2016 Billing Determinants'!D11</f>
        <v>1288075</v>
      </c>
      <c r="D11" s="126">
        <f>'3. 2016 Billing Determinants'!E11</f>
        <v>0</v>
      </c>
    </row>
    <row r="12" spans="1:4" x14ac:dyDescent="0.25">
      <c r="A12" s="88" t="s">
        <v>45</v>
      </c>
      <c r="B12" s="125">
        <f>'3. 2016 Billing Determinants'!C12</f>
        <v>532</v>
      </c>
      <c r="C12" s="125">
        <f>'3. 2016 Billing Determinants'!D12</f>
        <v>396340</v>
      </c>
      <c r="D12" s="126">
        <f>'3. 2016 Billing Determinants'!E12</f>
        <v>1110</v>
      </c>
    </row>
    <row r="13" spans="1:4" x14ac:dyDescent="0.25">
      <c r="A13" s="172" t="s">
        <v>46</v>
      </c>
      <c r="B13" s="125">
        <f>'3. 2016 Billing Determinants'!C13</f>
        <v>12984</v>
      </c>
      <c r="C13" s="125">
        <f>'3. 2016 Billing Determinants'!D13</f>
        <v>6452814.8100000005</v>
      </c>
      <c r="D13" s="126">
        <f>'3. 2016 Billing Determinants'!E13</f>
        <v>19358</v>
      </c>
    </row>
    <row r="14" spans="1:4" x14ac:dyDescent="0.25">
      <c r="A14" s="172" t="s">
        <v>86</v>
      </c>
      <c r="B14" s="125">
        <f>'3. 2016 Billing Determinants'!C14</f>
        <v>1</v>
      </c>
      <c r="C14" s="125">
        <f>'3. 2016 Billing Determinants'!D14</f>
        <v>4421657</v>
      </c>
      <c r="D14" s="126">
        <f>'3. 2016 Billing Determinants'!E14</f>
        <v>11231</v>
      </c>
    </row>
    <row r="15" spans="1:4" x14ac:dyDescent="0.25">
      <c r="A15" s="173" t="s">
        <v>32</v>
      </c>
      <c r="B15" s="174">
        <f>SUM(B7:B14)</f>
        <v>54528</v>
      </c>
      <c r="C15" s="31">
        <f>SUM(C7:C14)</f>
        <v>913738589.38687253</v>
      </c>
      <c r="D15" s="32">
        <f>SUM(D7:D14)</f>
        <v>1413650.3058017949</v>
      </c>
    </row>
    <row r="16" spans="1:4" x14ac:dyDescent="0.25">
      <c r="A16" s="217" t="s">
        <v>159</v>
      </c>
      <c r="B16" s="134"/>
      <c r="C16" s="134">
        <f>C15-C14</f>
        <v>909316932.38687253</v>
      </c>
      <c r="D16" s="218"/>
    </row>
    <row r="18" spans="1:6" x14ac:dyDescent="0.25">
      <c r="A18" s="167" t="s">
        <v>180</v>
      </c>
      <c r="B18" s="168"/>
      <c r="C18" s="168"/>
      <c r="D18" s="169"/>
    </row>
    <row r="19" spans="1:6" ht="30" x14ac:dyDescent="0.25">
      <c r="A19" s="143" t="s">
        <v>35</v>
      </c>
      <c r="B19" s="170" t="s">
        <v>145</v>
      </c>
      <c r="C19" s="175" t="s">
        <v>60</v>
      </c>
      <c r="D19" s="26" t="s">
        <v>169</v>
      </c>
    </row>
    <row r="20" spans="1:6" x14ac:dyDescent="0.25">
      <c r="A20" s="171" t="s">
        <v>41</v>
      </c>
      <c r="B20" s="178">
        <f>'2. Disposition'!$N$36*('7. Accting Changes'!C7/'7. Accting Changes'!$C$16)</f>
        <v>-1217085.4585660086</v>
      </c>
      <c r="C20" s="219" t="s">
        <v>147</v>
      </c>
      <c r="D20" s="209">
        <f>ROUND(B20/24/B7,2)</f>
        <v>-1.4</v>
      </c>
      <c r="F20" s="186"/>
    </row>
    <row r="21" spans="1:6" x14ac:dyDescent="0.25">
      <c r="A21" s="88" t="s">
        <v>42</v>
      </c>
      <c r="B21" s="178">
        <f>'2. Disposition'!$N$36*('7. Accting Changes'!C8/'7. Accting Changes'!$C$16)</f>
        <v>-438872.50512751145</v>
      </c>
      <c r="C21" s="220" t="s">
        <v>64</v>
      </c>
      <c r="D21" s="209">
        <f t="shared" ref="D21:D27" si="0">IF(C21="kwh",ROUND(B21/2/C8,4),ROUND(B21/2/D8,4))</f>
        <v>-2.2000000000000001E-3</v>
      </c>
    </row>
    <row r="22" spans="1:6" x14ac:dyDescent="0.25">
      <c r="A22" s="88" t="s">
        <v>43</v>
      </c>
      <c r="B22" s="178">
        <f>'2. Disposition'!$N$36*('7. Accting Changes'!C9/'7. Accting Changes'!$C$16)</f>
        <v>-2124898.2974422011</v>
      </c>
      <c r="C22" s="220" t="s">
        <v>65</v>
      </c>
      <c r="D22" s="209">
        <f t="shared" si="0"/>
        <v>-0.82540000000000002</v>
      </c>
    </row>
    <row r="23" spans="1:6" x14ac:dyDescent="0.25">
      <c r="A23" s="88" t="s">
        <v>95</v>
      </c>
      <c r="B23" s="178">
        <f>'2. Disposition'!$N$36*('7. Accting Changes'!C10/'7. Accting Changes'!$C$16)</f>
        <v>-178145.84434722885</v>
      </c>
      <c r="C23" s="220" t="s">
        <v>65</v>
      </c>
      <c r="D23" s="209">
        <f t="shared" si="0"/>
        <v>-0.93930000000000002</v>
      </c>
    </row>
    <row r="24" spans="1:6" x14ac:dyDescent="0.25">
      <c r="A24" s="88" t="s">
        <v>44</v>
      </c>
      <c r="B24" s="178">
        <f>'2. Disposition'!$N$36*('7. Accting Changes'!C11/'7. Accting Changes'!$C$16)</f>
        <v>-5658.6845247826177</v>
      </c>
      <c r="C24" s="220" t="s">
        <v>64</v>
      </c>
      <c r="D24" s="209">
        <f t="shared" si="0"/>
        <v>-2.2000000000000001E-3</v>
      </c>
    </row>
    <row r="25" spans="1:6" x14ac:dyDescent="0.25">
      <c r="A25" s="88" t="s">
        <v>45</v>
      </c>
      <c r="B25" s="178">
        <f>'2. Disposition'!$N$36*('7. Accting Changes'!C12/'7. Accting Changes'!$C$16)</f>
        <v>-1741.1742519281429</v>
      </c>
      <c r="C25" s="221" t="s">
        <v>65</v>
      </c>
      <c r="D25" s="209">
        <f t="shared" si="0"/>
        <v>-0.7843</v>
      </c>
    </row>
    <row r="26" spans="1:6" x14ac:dyDescent="0.25">
      <c r="A26" s="172" t="s">
        <v>46</v>
      </c>
      <c r="B26" s="178">
        <f>'2. Disposition'!$N$36*('7. Accting Changes'!C13/'7. Accting Changes'!$C$16)</f>
        <v>-28348.072361186336</v>
      </c>
      <c r="C26" s="222" t="s">
        <v>65</v>
      </c>
      <c r="D26" s="209">
        <f t="shared" si="0"/>
        <v>-0.73219999999999996</v>
      </c>
    </row>
    <row r="27" spans="1:6" x14ac:dyDescent="0.25">
      <c r="A27" s="172" t="s">
        <v>86</v>
      </c>
      <c r="B27" s="178">
        <v>0</v>
      </c>
      <c r="C27" s="222" t="s">
        <v>65</v>
      </c>
      <c r="D27" s="209">
        <f t="shared" si="0"/>
        <v>0</v>
      </c>
    </row>
    <row r="28" spans="1:6" x14ac:dyDescent="0.25">
      <c r="A28" s="173" t="s">
        <v>32</v>
      </c>
      <c r="B28" s="180">
        <f>SUM(B20:B27)</f>
        <v>-3994750.0366208465</v>
      </c>
      <c r="C28" s="31"/>
      <c r="D28" s="32"/>
    </row>
  </sheetData>
  <pageMargins left="0.25" right="0.25" top="0.25" bottom="0.25" header="0.3" footer="0.3"/>
  <pageSetup orientation="landscape" r:id="rId1"/>
  <headerFooter>
    <oddFooter>&amp;L&amp;F&amp;R&amp;P/&amp;N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zoomScale="110" zoomScaleNormal="110" workbookViewId="0">
      <selection activeCell="H22" sqref="H22"/>
    </sheetView>
  </sheetViews>
  <sheetFormatPr defaultRowHeight="15" x14ac:dyDescent="0.25"/>
  <cols>
    <col min="1" max="1" width="41.42578125" customWidth="1"/>
    <col min="2" max="4" width="12.7109375" customWidth="1"/>
    <col min="5" max="5" width="2.28515625" customWidth="1"/>
    <col min="6" max="8" width="12.7109375" customWidth="1"/>
  </cols>
  <sheetData>
    <row r="1" spans="1:8" ht="18.75" x14ac:dyDescent="0.3">
      <c r="A1" s="251" t="s">
        <v>34</v>
      </c>
      <c r="B1" s="16"/>
      <c r="C1" s="16"/>
      <c r="D1" s="16"/>
      <c r="E1" s="16"/>
      <c r="F1" s="15"/>
      <c r="G1" s="15"/>
      <c r="H1" s="15"/>
    </row>
    <row r="2" spans="1:8" ht="18.75" x14ac:dyDescent="0.3">
      <c r="A2" s="251" t="s">
        <v>170</v>
      </c>
      <c r="B2" s="16"/>
      <c r="C2" s="16"/>
      <c r="D2" s="16"/>
      <c r="E2" s="16"/>
      <c r="F2" s="15"/>
      <c r="G2" s="15"/>
      <c r="H2" s="15"/>
    </row>
    <row r="3" spans="1:8" ht="19.5" thickBot="1" x14ac:dyDescent="0.35">
      <c r="A3" s="252" t="s">
        <v>183</v>
      </c>
      <c r="B3" s="18"/>
      <c r="C3" s="18"/>
      <c r="D3" s="18"/>
      <c r="E3" s="18"/>
      <c r="F3" s="15"/>
      <c r="G3" s="15"/>
      <c r="H3" s="15"/>
    </row>
    <row r="4" spans="1:8" ht="18.75" x14ac:dyDescent="0.3">
      <c r="A4" s="17"/>
      <c r="B4" s="19"/>
      <c r="C4" s="19"/>
      <c r="D4" s="19"/>
      <c r="E4" s="19"/>
      <c r="F4" s="15"/>
      <c r="G4" s="15"/>
      <c r="H4" s="15"/>
    </row>
    <row r="5" spans="1:8" ht="15" customHeight="1" x14ac:dyDescent="0.3">
      <c r="A5" s="20" t="s">
        <v>84</v>
      </c>
      <c r="B5" s="21"/>
      <c r="C5" s="21"/>
      <c r="D5" s="21"/>
      <c r="E5" s="17"/>
      <c r="F5" s="15"/>
      <c r="G5" s="15"/>
      <c r="H5" s="15"/>
    </row>
    <row r="6" spans="1:8" ht="30" x14ac:dyDescent="0.3">
      <c r="A6" s="23" t="s">
        <v>35</v>
      </c>
      <c r="B6" s="24" t="s">
        <v>36</v>
      </c>
      <c r="C6" s="25" t="s">
        <v>37</v>
      </c>
      <c r="D6" s="26" t="s">
        <v>38</v>
      </c>
      <c r="E6" s="17"/>
      <c r="F6" s="15"/>
      <c r="G6" s="15"/>
      <c r="H6" s="15"/>
    </row>
    <row r="7" spans="1:8" ht="18.75" x14ac:dyDescent="0.3">
      <c r="A7" s="27" t="s">
        <v>41</v>
      </c>
      <c r="B7" s="131">
        <f>'4. Group One'!B7</f>
        <v>36333</v>
      </c>
      <c r="C7" s="131">
        <f>'4. Group One'!C7</f>
        <v>277042719.94251806</v>
      </c>
      <c r="D7" s="211">
        <f>'4. Group One'!D7</f>
        <v>0</v>
      </c>
      <c r="E7" s="17"/>
      <c r="F7" s="17"/>
      <c r="G7" s="17"/>
      <c r="H7" s="15"/>
    </row>
    <row r="8" spans="1:8" x14ac:dyDescent="0.25">
      <c r="A8" s="28" t="s">
        <v>42</v>
      </c>
      <c r="B8" s="131">
        <f>'4. Group One'!B8</f>
        <v>3850</v>
      </c>
      <c r="C8" s="131">
        <f>'4. Group One'!C8</f>
        <v>99899667.416754559</v>
      </c>
      <c r="D8" s="211">
        <f>'4. Group One'!D8</f>
        <v>0</v>
      </c>
      <c r="E8" s="17"/>
      <c r="F8" s="17"/>
      <c r="G8" s="17"/>
      <c r="H8" s="17"/>
    </row>
    <row r="9" spans="1:8" x14ac:dyDescent="0.25">
      <c r="A9" s="28" t="s">
        <v>43</v>
      </c>
      <c r="B9" s="131">
        <f>SUM('4. Group One'!B9:B10)</f>
        <v>493</v>
      </c>
      <c r="C9" s="131">
        <f>SUM('4. Group One'!C9:C10)</f>
        <v>483686334.25151187</v>
      </c>
      <c r="D9" s="211">
        <f>SUM('4. Group One'!D9:D10)</f>
        <v>1287117.3058017949</v>
      </c>
      <c r="E9" s="29"/>
      <c r="F9" s="29"/>
      <c r="G9" s="29"/>
      <c r="H9" s="29"/>
    </row>
    <row r="10" spans="1:8" x14ac:dyDescent="0.25">
      <c r="A10" s="28" t="s">
        <v>95</v>
      </c>
      <c r="B10" s="131">
        <f>SUM('4. Group One'!B11:B11)</f>
        <v>2</v>
      </c>
      <c r="C10" s="131">
        <f>SUM('4. Group One'!C11:C11)</f>
        <v>40550980.966088027</v>
      </c>
      <c r="D10" s="211">
        <f>SUM('4. Group One'!D11:D11)</f>
        <v>94834</v>
      </c>
      <c r="E10" s="17"/>
      <c r="F10" s="17"/>
      <c r="G10" s="17"/>
      <c r="H10" s="17"/>
    </row>
    <row r="11" spans="1:8" x14ac:dyDescent="0.25">
      <c r="A11" s="28" t="s">
        <v>44</v>
      </c>
      <c r="B11" s="131">
        <f>'4. Group One'!B12</f>
        <v>335</v>
      </c>
      <c r="C11" s="131">
        <f>'4. Group One'!C12</f>
        <v>1288075</v>
      </c>
      <c r="D11" s="211">
        <f>'4. Group One'!D12</f>
        <v>0</v>
      </c>
      <c r="E11" s="17"/>
      <c r="F11" s="17"/>
      <c r="G11" s="17"/>
      <c r="H11" s="17"/>
    </row>
    <row r="12" spans="1:8" x14ac:dyDescent="0.25">
      <c r="A12" s="28" t="s">
        <v>45</v>
      </c>
      <c r="B12" s="131">
        <f>'4. Group One'!B13</f>
        <v>532</v>
      </c>
      <c r="C12" s="131">
        <f>'4. Group One'!C13</f>
        <v>396340</v>
      </c>
      <c r="D12" s="211">
        <f>'4. Group One'!D13</f>
        <v>1110</v>
      </c>
      <c r="E12" s="17"/>
      <c r="F12" s="17"/>
      <c r="G12" s="17"/>
      <c r="H12" s="17"/>
    </row>
    <row r="13" spans="1:8" x14ac:dyDescent="0.25">
      <c r="A13" s="28" t="s">
        <v>46</v>
      </c>
      <c r="B13" s="131">
        <f>'4. Group One'!B14</f>
        <v>12984</v>
      </c>
      <c r="C13" s="131">
        <f>'4. Group One'!C14</f>
        <v>6452814.8100000005</v>
      </c>
      <c r="D13" s="211">
        <f>'4. Group One'!D14</f>
        <v>19358</v>
      </c>
      <c r="E13" s="17"/>
      <c r="F13" s="17"/>
      <c r="G13" s="17"/>
      <c r="H13" s="17"/>
    </row>
    <row r="14" spans="1:8" x14ac:dyDescent="0.25">
      <c r="A14" s="28" t="s">
        <v>155</v>
      </c>
      <c r="B14" s="131">
        <f>'4. Group One'!B15</f>
        <v>1</v>
      </c>
      <c r="C14" s="131">
        <f>'4. Group One'!C15</f>
        <v>4421657</v>
      </c>
      <c r="D14" s="211">
        <f>'4. Group One'!D15</f>
        <v>11231</v>
      </c>
      <c r="E14" s="17"/>
      <c r="F14" s="17"/>
      <c r="G14" s="17"/>
      <c r="H14" s="17"/>
    </row>
    <row r="15" spans="1:8" x14ac:dyDescent="0.25">
      <c r="A15" s="136" t="s">
        <v>32</v>
      </c>
      <c r="B15" s="137">
        <f>SUM(B7:B14)</f>
        <v>54530</v>
      </c>
      <c r="C15" s="138">
        <f>SUM(C7:C14)</f>
        <v>913738589.38687253</v>
      </c>
      <c r="D15" s="139">
        <f>SUM(D7:D14)</f>
        <v>1413650.3058017949</v>
      </c>
      <c r="E15" s="19"/>
      <c r="F15" s="19"/>
      <c r="G15" s="19"/>
      <c r="H15" s="19"/>
    </row>
    <row r="16" spans="1:8" x14ac:dyDescent="0.25">
      <c r="A16" s="132" t="s">
        <v>159</v>
      </c>
      <c r="B16" s="133"/>
      <c r="C16" s="133">
        <f>C15-C14</f>
        <v>909316932.38687253</v>
      </c>
      <c r="D16" s="212">
        <f>D15-D14</f>
        <v>1402419.3058017949</v>
      </c>
      <c r="E16" s="17"/>
      <c r="F16" s="17"/>
      <c r="G16" s="17"/>
      <c r="H16" s="17"/>
    </row>
    <row r="17" spans="1:8" x14ac:dyDescent="0.25">
      <c r="A17" s="17"/>
      <c r="B17" s="19"/>
      <c r="C17" s="19"/>
      <c r="D17" s="19"/>
      <c r="E17" s="19"/>
      <c r="F17" s="17"/>
      <c r="G17" s="17"/>
      <c r="H17" s="17"/>
    </row>
    <row r="18" spans="1:8" x14ac:dyDescent="0.25">
      <c r="A18" s="20" t="s">
        <v>184</v>
      </c>
      <c r="B18" s="21"/>
      <c r="C18" s="21"/>
      <c r="D18" s="22"/>
    </row>
    <row r="19" spans="1:8" x14ac:dyDescent="0.25">
      <c r="A19" s="35" t="s">
        <v>48</v>
      </c>
      <c r="B19" s="256">
        <v>1555</v>
      </c>
      <c r="C19" s="298" t="s">
        <v>60</v>
      </c>
      <c r="D19" s="301" t="s">
        <v>62</v>
      </c>
    </row>
    <row r="20" spans="1:8" x14ac:dyDescent="0.25">
      <c r="A20" s="50" t="s">
        <v>164</v>
      </c>
      <c r="B20" s="257">
        <f>'2. Disposition'!N35</f>
        <v>317140.83000000013</v>
      </c>
      <c r="C20" s="299"/>
      <c r="D20" s="302"/>
    </row>
    <row r="21" spans="1:8" x14ac:dyDescent="0.25">
      <c r="A21" s="185" t="s">
        <v>50</v>
      </c>
      <c r="B21" s="258" t="s">
        <v>148</v>
      </c>
      <c r="C21" s="300"/>
      <c r="D21" s="303"/>
    </row>
    <row r="22" spans="1:8" x14ac:dyDescent="0.25">
      <c r="A22" s="27" t="s">
        <v>41</v>
      </c>
      <c r="B22" s="259">
        <v>97206.449808690028</v>
      </c>
      <c r="C22" s="261" t="s">
        <v>147</v>
      </c>
      <c r="D22" s="213">
        <f>ROUND(B22/B7/A34/12,2)</f>
        <v>0.22</v>
      </c>
    </row>
    <row r="23" spans="1:8" x14ac:dyDescent="0.25">
      <c r="A23" s="28" t="s">
        <v>42</v>
      </c>
      <c r="B23" s="259">
        <v>136176.71049281611</v>
      </c>
      <c r="C23" s="262" t="s">
        <v>64</v>
      </c>
      <c r="D23" s="209">
        <f>IF(C23="kwh",ROUND(B23/$A$34/C8,4),ROUND(#REF!/$A$34/D8,4))</f>
        <v>1.4E-3</v>
      </c>
    </row>
    <row r="24" spans="1:8" x14ac:dyDescent="0.25">
      <c r="A24" s="28" t="s">
        <v>43</v>
      </c>
      <c r="B24" s="259">
        <v>83757.668847161331</v>
      </c>
      <c r="C24" s="262" t="s">
        <v>65</v>
      </c>
      <c r="D24" s="209">
        <f>IF(C24="kwh",ROUND(B24/$A$34/C9,4),ROUND(B24/$A$34/D9,4))</f>
        <v>6.5100000000000005E-2</v>
      </c>
    </row>
    <row r="25" spans="1:8" x14ac:dyDescent="0.25">
      <c r="A25" s="28" t="s">
        <v>95</v>
      </c>
      <c r="B25" s="259"/>
      <c r="C25" s="262" t="s">
        <v>65</v>
      </c>
      <c r="D25" s="209"/>
    </row>
    <row r="26" spans="1:8" x14ac:dyDescent="0.25">
      <c r="A26" s="28" t="s">
        <v>44</v>
      </c>
      <c r="B26" s="259"/>
      <c r="C26" s="262" t="s">
        <v>64</v>
      </c>
      <c r="D26" s="209"/>
    </row>
    <row r="27" spans="1:8" x14ac:dyDescent="0.25">
      <c r="A27" s="28" t="s">
        <v>45</v>
      </c>
      <c r="B27" s="259"/>
      <c r="C27" s="262" t="s">
        <v>65</v>
      </c>
      <c r="D27" s="209"/>
    </row>
    <row r="28" spans="1:8" x14ac:dyDescent="0.25">
      <c r="A28" s="28" t="s">
        <v>46</v>
      </c>
      <c r="B28" s="259"/>
      <c r="C28" s="262" t="s">
        <v>65</v>
      </c>
      <c r="D28" s="209"/>
    </row>
    <row r="29" spans="1:8" x14ac:dyDescent="0.25">
      <c r="A29" s="28" t="s">
        <v>155</v>
      </c>
      <c r="B29" s="259">
        <v>0</v>
      </c>
      <c r="C29" s="262" t="s">
        <v>65</v>
      </c>
      <c r="D29" s="209"/>
    </row>
    <row r="30" spans="1:8" x14ac:dyDescent="0.25">
      <c r="A30" s="30" t="s">
        <v>32</v>
      </c>
      <c r="B30" s="260">
        <f>SUM(B22:B29)</f>
        <v>317140.82914866746</v>
      </c>
      <c r="C30" s="263"/>
      <c r="D30" s="67"/>
    </row>
    <row r="31" spans="1:8" x14ac:dyDescent="0.25">
      <c r="A31" s="33"/>
      <c r="B31" s="34"/>
      <c r="C31" s="114"/>
      <c r="D31" s="34"/>
      <c r="E31" s="114"/>
      <c r="F31" s="115"/>
      <c r="G31" s="17"/>
      <c r="H31" s="17"/>
    </row>
    <row r="32" spans="1:8" x14ac:dyDescent="0.25">
      <c r="E32" s="19"/>
      <c r="F32" s="17"/>
      <c r="G32" s="17"/>
      <c r="H32" s="17"/>
    </row>
    <row r="33" spans="1:8" x14ac:dyDescent="0.25">
      <c r="A33" s="214" t="s">
        <v>58</v>
      </c>
      <c r="E33" s="19"/>
      <c r="G33" s="17"/>
      <c r="H33" s="17"/>
    </row>
    <row r="34" spans="1:8" x14ac:dyDescent="0.25">
      <c r="A34" s="296">
        <v>1</v>
      </c>
      <c r="E34" s="19"/>
      <c r="G34" s="17"/>
      <c r="H34" s="17"/>
    </row>
    <row r="35" spans="1:8" x14ac:dyDescent="0.25">
      <c r="A35" s="297"/>
      <c r="E35" s="19"/>
      <c r="G35" s="17"/>
      <c r="H35" s="17"/>
    </row>
    <row r="36" spans="1:8" x14ac:dyDescent="0.25">
      <c r="E36" s="19"/>
      <c r="G36" s="17"/>
      <c r="H36" s="17"/>
    </row>
    <row r="37" spans="1:8" x14ac:dyDescent="0.25">
      <c r="E37" s="19"/>
      <c r="G37" s="17"/>
      <c r="H37" s="17"/>
    </row>
    <row r="38" spans="1:8" x14ac:dyDescent="0.25">
      <c r="E38" s="19"/>
      <c r="F38" s="17"/>
      <c r="G38" s="17"/>
      <c r="H38" s="17"/>
    </row>
    <row r="39" spans="1:8" x14ac:dyDescent="0.25">
      <c r="E39" s="19"/>
      <c r="F39" s="17"/>
      <c r="G39" s="17"/>
      <c r="H39" s="17"/>
    </row>
    <row r="40" spans="1:8" x14ac:dyDescent="0.25">
      <c r="E40" s="19"/>
      <c r="F40" s="17"/>
      <c r="G40" s="17"/>
      <c r="H40" s="17"/>
    </row>
    <row r="41" spans="1:8" x14ac:dyDescent="0.25">
      <c r="E41" s="19"/>
      <c r="F41" s="17"/>
      <c r="G41" s="17"/>
      <c r="H41" s="17"/>
    </row>
    <row r="42" spans="1:8" x14ac:dyDescent="0.25">
      <c r="E42" s="19"/>
      <c r="F42" s="17"/>
      <c r="G42" s="17"/>
      <c r="H42" s="17"/>
    </row>
    <row r="43" spans="1:8" x14ac:dyDescent="0.25">
      <c r="E43" s="19"/>
      <c r="F43" s="17"/>
      <c r="G43" s="17"/>
      <c r="H43" s="17"/>
    </row>
    <row r="44" spans="1:8" x14ac:dyDescent="0.25">
      <c r="E44" s="19"/>
      <c r="F44" s="17"/>
      <c r="G44" s="17"/>
      <c r="H44" s="17"/>
    </row>
    <row r="45" spans="1:8" x14ac:dyDescent="0.25">
      <c r="E45" s="19"/>
      <c r="F45" s="17"/>
      <c r="G45" s="17"/>
      <c r="H45" s="17"/>
    </row>
    <row r="46" spans="1:8" x14ac:dyDescent="0.25">
      <c r="E46" s="19"/>
      <c r="F46" s="17"/>
      <c r="G46" s="17"/>
      <c r="H46" s="17"/>
    </row>
  </sheetData>
  <mergeCells count="3">
    <mergeCell ref="A34:A35"/>
    <mergeCell ref="C19:C21"/>
    <mergeCell ref="D19:D21"/>
  </mergeCells>
  <pageMargins left="0.25" right="0.25" top="0.25" bottom="0.25" header="0.3" footer="0.3"/>
  <pageSetup orientation="landscape" r:id="rId1"/>
  <headerFooter>
    <oddFooter>&amp;L&amp;F&amp;R&amp;P/&amp;N</oddFooter>
  </headerFooter>
  <rowBreaks count="1" manualBreakCount="1">
    <brk id="1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14</vt:i4>
      </vt:variant>
    </vt:vector>
  </HeadingPairs>
  <TitlesOfParts>
    <vt:vector size="24" baseType="lpstr">
      <vt:lpstr>1. Deferral Continuity</vt:lpstr>
      <vt:lpstr>2. Disposition</vt:lpstr>
      <vt:lpstr>2014 Biling Determinants</vt:lpstr>
      <vt:lpstr>3. 2016 Billing Determinants</vt:lpstr>
      <vt:lpstr>4. Group One</vt:lpstr>
      <vt:lpstr>5. Group Two</vt:lpstr>
      <vt:lpstr>6. LRAM &amp; LRAMVA</vt:lpstr>
      <vt:lpstr>7. Accting Changes</vt:lpstr>
      <vt:lpstr>5a. Stranded Meter</vt:lpstr>
      <vt:lpstr>2012 Alloc</vt:lpstr>
      <vt:lpstr>'1. Deferral Continuity'!Print_Area</vt:lpstr>
      <vt:lpstr>'2. Disposition'!Print_Area</vt:lpstr>
      <vt:lpstr>'3. 2016 Billing Determinants'!Print_Area</vt:lpstr>
      <vt:lpstr>'4. Group One'!Print_Area</vt:lpstr>
      <vt:lpstr>'5. Group Two'!Print_Area</vt:lpstr>
      <vt:lpstr>'5a. Stranded Meter'!Print_Area</vt:lpstr>
      <vt:lpstr>'6. LRAM &amp; LRAMVA'!Print_Area</vt:lpstr>
      <vt:lpstr>'7. Accting Changes'!Print_Area</vt:lpstr>
      <vt:lpstr>'1. Deferral Continuity'!Print_Titles</vt:lpstr>
      <vt:lpstr>'3. 2016 Billing Determinants'!Print_Titles</vt:lpstr>
      <vt:lpstr>'4. Group One'!Print_Titles</vt:lpstr>
      <vt:lpstr>'5. Group Two'!Print_Titles</vt:lpstr>
      <vt:lpstr>'5a. Stranded Meter'!Print_Titles</vt:lpstr>
      <vt:lpstr>SMP_DISYR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andrya.eagen</dc:creator>
  <cp:lastModifiedBy>Andrya Eagen</cp:lastModifiedBy>
  <cp:lastPrinted>2015-12-16T14:41:15Z</cp:lastPrinted>
  <dcterms:created xsi:type="dcterms:W3CDTF">2015-06-29T19:53:44Z</dcterms:created>
  <dcterms:modified xsi:type="dcterms:W3CDTF">2015-12-17T13:21:20Z</dcterms:modified>
</cp:coreProperties>
</file>