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ory\2016 Cost Of Service EB-2015-0061\10_IR Responses\0_Submission\"/>
    </mc:Choice>
  </mc:AlternateContent>
  <bookViews>
    <workbookView xWindow="0" yWindow="0" windowWidth="20460" windowHeight="7080" tabRatio="860" activeTab="4"/>
  </bookViews>
  <sheets>
    <sheet name="General Input" sheetId="3" r:id="rId1"/>
    <sheet name="2015 Approved" sheetId="4" r:id="rId2"/>
    <sheet name="2016 Proposed" sheetId="1" r:id="rId3"/>
    <sheet name="Notice" sheetId="24" r:id="rId4"/>
    <sheet name="Summary" sheetId="19" r:id="rId5"/>
    <sheet name="Residential Summary" sheetId="21" r:id="rId6"/>
    <sheet name="Residential Detail" sheetId="10" r:id="rId7"/>
    <sheet name="GS&lt;50 Summary" sheetId="22" r:id="rId8"/>
    <sheet name="GS&lt;50 Detail" sheetId="11" r:id="rId9"/>
    <sheet name="GS&gt;50" sheetId="12" r:id="rId10"/>
    <sheet name="Large Use" sheetId="20" r:id="rId11"/>
    <sheet name="USL" sheetId="13" r:id="rId12"/>
    <sheet name="Sentinel" sheetId="14" r:id="rId13"/>
    <sheet name="Street" sheetId="15" r:id="rId14"/>
    <sheet name="Embedded" sheetId="16" r:id="rId15"/>
    <sheet name="DU GS&lt;50 to GS&gt;50" sheetId="17" r:id="rId16"/>
    <sheet name="CK Inter to GS&gt;50" sheetId="18" r:id="rId17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Input'!$B$24</definedName>
    <definedName name="NEW_LOSS">'General Input'!$E$6</definedName>
    <definedName name="_xlnm.Print_Area" localSheetId="16">'CK Inter to GS&gt;50'!$A$1:$G$66</definedName>
    <definedName name="_xlnm.Print_Area" localSheetId="14">Embedded!$A$1:$G$66</definedName>
    <definedName name="_xlnm.Print_Area" localSheetId="8">'GS&lt;50 Detail'!$A$1:$V$318</definedName>
    <definedName name="_xlnm.Print_Area" localSheetId="7">'GS&lt;50 Summary'!$A$1:$S$16</definedName>
    <definedName name="_xlnm.Print_Area" localSheetId="9">'GS&gt;50'!$A$1:$V$255</definedName>
    <definedName name="_xlnm.Print_Area" localSheetId="10">'Large Use'!$A$1:$L$67</definedName>
    <definedName name="_xlnm.Print_Area" localSheetId="6">'Residential Detail'!$A$1:$V$507</definedName>
    <definedName name="_xlnm.Print_Area" localSheetId="5">'Residential Summary'!$A$1:$S$22</definedName>
    <definedName name="_xlnm.Print_Area" localSheetId="12">Sentinel!$A$1:$V$66</definedName>
    <definedName name="_xlnm.Print_Area" localSheetId="13">Street!$A$1:$V$66</definedName>
    <definedName name="_xlnm.Print_Area" localSheetId="4">Summary!$A$1:$J$34</definedName>
    <definedName name="_xlnm.Print_Area" localSheetId="11">USL!$A$1:$V$66</definedName>
    <definedName name="_xlnm.Print_Titles" localSheetId="8">'GS&lt;50 Detail'!$1:$4</definedName>
    <definedName name="_xlnm.Print_Titles" localSheetId="9">'GS&gt;50'!$1:$4</definedName>
    <definedName name="_xlnm.Print_Titles" localSheetId="6">'Residential Detail'!$1:$4</definedName>
    <definedName name="RRRP">'General Input'!$B$16</definedName>
    <definedName name="SMP_LOSS">'General Input'!$D$6</definedName>
    <definedName name="SMP_LOSS2">'General Input'!$D$7</definedName>
    <definedName name="SSS">'General Input'!$B$17</definedName>
    <definedName name="TOU_MID">'General Input'!$B$28</definedName>
    <definedName name="TOU_OFF">'General Input'!$B$27</definedName>
    <definedName name="TOU_ON">'General Input'!$B$29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4" l="1"/>
  <c r="A21" i="24" s="1"/>
  <c r="A22" i="24" s="1"/>
  <c r="A23" i="24" s="1"/>
  <c r="A24" i="24" s="1"/>
  <c r="A25" i="24" s="1"/>
  <c r="A26" i="24" s="1"/>
  <c r="A27" i="24" s="1"/>
  <c r="A8" i="24" l="1"/>
  <c r="A9" i="24" s="1"/>
  <c r="A10" i="24" s="1"/>
  <c r="A11" i="24" s="1"/>
  <c r="A12" i="24" s="1"/>
  <c r="A13" i="24" s="1"/>
  <c r="A14" i="24" s="1"/>
  <c r="A15" i="24" s="1"/>
  <c r="D221" i="12" l="1"/>
  <c r="T211" i="12"/>
  <c r="R211" i="12"/>
  <c r="S211" i="12" s="1"/>
  <c r="J211" i="12"/>
  <c r="H211" i="12"/>
  <c r="I211" i="12" s="1"/>
  <c r="E211" i="12"/>
  <c r="C211" i="12"/>
  <c r="D211" i="12" s="1"/>
  <c r="J210" i="12"/>
  <c r="T210" i="12"/>
  <c r="U210" i="12" s="1"/>
  <c r="R210" i="12"/>
  <c r="H210" i="12"/>
  <c r="I210" i="12" s="1"/>
  <c r="E210" i="12"/>
  <c r="F210" i="12" s="1"/>
  <c r="C210" i="12"/>
  <c r="D210" i="12" s="1"/>
  <c r="I164" i="12"/>
  <c r="D156" i="12"/>
  <c r="D151" i="12"/>
  <c r="T148" i="12"/>
  <c r="U148" i="12" s="1"/>
  <c r="R148" i="12"/>
  <c r="J148" i="12"/>
  <c r="K148" i="12" s="1"/>
  <c r="H148" i="12"/>
  <c r="I148" i="12" s="1"/>
  <c r="E148" i="12"/>
  <c r="C148" i="12"/>
  <c r="J147" i="12"/>
  <c r="T147" i="12"/>
  <c r="U147" i="12" s="1"/>
  <c r="R147" i="12"/>
  <c r="S147" i="12" s="1"/>
  <c r="H147" i="12"/>
  <c r="E147" i="12"/>
  <c r="C147" i="12"/>
  <c r="D147" i="12" s="1"/>
  <c r="S93" i="12"/>
  <c r="T85" i="12"/>
  <c r="R85" i="12"/>
  <c r="S85" i="12" s="1"/>
  <c r="J85" i="12"/>
  <c r="K85" i="12" s="1"/>
  <c r="H85" i="12"/>
  <c r="I85" i="12" s="1"/>
  <c r="E85" i="12"/>
  <c r="C85" i="12"/>
  <c r="D85" i="12" s="1"/>
  <c r="J84" i="12"/>
  <c r="K84" i="12" s="1"/>
  <c r="T84" i="12"/>
  <c r="R84" i="12"/>
  <c r="H84" i="12"/>
  <c r="I84" i="12" s="1"/>
  <c r="E84" i="12"/>
  <c r="F84" i="12" s="1"/>
  <c r="C84" i="12"/>
  <c r="I8" i="20"/>
  <c r="P254" i="12"/>
  <c r="N254" i="12"/>
  <c r="P252" i="12"/>
  <c r="Q252" i="12" s="1"/>
  <c r="Q253" i="12" s="1"/>
  <c r="N252" i="12"/>
  <c r="P248" i="12"/>
  <c r="N248" i="12"/>
  <c r="R244" i="12"/>
  <c r="S244" i="12" s="1"/>
  <c r="H244" i="12"/>
  <c r="I244" i="12" s="1"/>
  <c r="C244" i="12"/>
  <c r="D244" i="12" s="1"/>
  <c r="R243" i="12"/>
  <c r="T243" i="12" s="1"/>
  <c r="H243" i="12"/>
  <c r="I243" i="12" s="1"/>
  <c r="C243" i="12"/>
  <c r="D243" i="12" s="1"/>
  <c r="P235" i="12"/>
  <c r="N235" i="12"/>
  <c r="S233" i="12"/>
  <c r="I233" i="12"/>
  <c r="D233" i="12"/>
  <c r="T232" i="12"/>
  <c r="U232" i="12" s="1"/>
  <c r="R232" i="12"/>
  <c r="S232" i="12" s="1"/>
  <c r="J232" i="12"/>
  <c r="K232" i="12" s="1"/>
  <c r="H232" i="12"/>
  <c r="I232" i="12" s="1"/>
  <c r="E232" i="12"/>
  <c r="F232" i="12" s="1"/>
  <c r="C232" i="12"/>
  <c r="D232" i="12" s="1"/>
  <c r="T231" i="12"/>
  <c r="R231" i="12"/>
  <c r="J231" i="12"/>
  <c r="H231" i="12"/>
  <c r="E231" i="12"/>
  <c r="C231" i="12"/>
  <c r="P228" i="12"/>
  <c r="N228" i="12"/>
  <c r="R227" i="12"/>
  <c r="S227" i="12" s="1"/>
  <c r="H227" i="12"/>
  <c r="I227" i="12" s="1"/>
  <c r="C227" i="12"/>
  <c r="D227" i="12" s="1"/>
  <c r="R226" i="12"/>
  <c r="S226" i="12" s="1"/>
  <c r="H226" i="12"/>
  <c r="I226" i="12" s="1"/>
  <c r="C226" i="12"/>
  <c r="D226" i="12" s="1"/>
  <c r="P223" i="12"/>
  <c r="Q223" i="12" s="1"/>
  <c r="Q224" i="12" s="1"/>
  <c r="N223" i="12"/>
  <c r="R222" i="12"/>
  <c r="S222" i="12" s="1"/>
  <c r="H222" i="12"/>
  <c r="I222" i="12" s="1"/>
  <c r="C222" i="12"/>
  <c r="D222" i="12" s="1"/>
  <c r="R221" i="12"/>
  <c r="S221" i="12" s="1"/>
  <c r="H221" i="12"/>
  <c r="I221" i="12" s="1"/>
  <c r="C221" i="12"/>
  <c r="R220" i="12"/>
  <c r="S220" i="12" s="1"/>
  <c r="H220" i="12"/>
  <c r="I220" i="12" s="1"/>
  <c r="C220" i="12"/>
  <c r="D220" i="12" s="1"/>
  <c r="R219" i="12"/>
  <c r="S219" i="12" s="1"/>
  <c r="H219" i="12"/>
  <c r="I219" i="12" s="1"/>
  <c r="C219" i="12"/>
  <c r="D219" i="12" s="1"/>
  <c r="R218" i="12"/>
  <c r="S218" i="12" s="1"/>
  <c r="H218" i="12"/>
  <c r="I218" i="12" s="1"/>
  <c r="C218" i="12"/>
  <c r="D218" i="12" s="1"/>
  <c r="R217" i="12"/>
  <c r="S217" i="12" s="1"/>
  <c r="H217" i="12"/>
  <c r="I217" i="12" s="1"/>
  <c r="C217" i="12"/>
  <c r="D217" i="12" s="1"/>
  <c r="R216" i="12"/>
  <c r="S216" i="12" s="1"/>
  <c r="H216" i="12"/>
  <c r="I216" i="12" s="1"/>
  <c r="C216" i="12"/>
  <c r="D216" i="12" s="1"/>
  <c r="R215" i="12"/>
  <c r="S215" i="12" s="1"/>
  <c r="H215" i="12"/>
  <c r="I215" i="12" s="1"/>
  <c r="C215" i="12"/>
  <c r="D215" i="12" s="1"/>
  <c r="R214" i="12"/>
  <c r="S214" i="12" s="1"/>
  <c r="H214" i="12"/>
  <c r="I214" i="12" s="1"/>
  <c r="C214" i="12"/>
  <c r="D214" i="12" s="1"/>
  <c r="R213" i="12"/>
  <c r="S213" i="12" s="1"/>
  <c r="H213" i="12"/>
  <c r="I213" i="12" s="1"/>
  <c r="C213" i="12"/>
  <c r="D213" i="12" s="1"/>
  <c r="U211" i="12"/>
  <c r="K211" i="12"/>
  <c r="F211" i="12"/>
  <c r="S210" i="12"/>
  <c r="K210" i="12"/>
  <c r="R209" i="12"/>
  <c r="S209" i="12" s="1"/>
  <c r="H209" i="12"/>
  <c r="I209" i="12" s="1"/>
  <c r="C209" i="12"/>
  <c r="D209" i="12" s="1"/>
  <c r="R208" i="12"/>
  <c r="S208" i="12" s="1"/>
  <c r="H208" i="12"/>
  <c r="I208" i="12" s="1"/>
  <c r="C208" i="12"/>
  <c r="D208" i="12" s="1"/>
  <c r="R207" i="12"/>
  <c r="S207" i="12" s="1"/>
  <c r="H207" i="12"/>
  <c r="I207" i="12" s="1"/>
  <c r="C207" i="12"/>
  <c r="D207" i="12" s="1"/>
  <c r="P204" i="12"/>
  <c r="N204" i="12"/>
  <c r="T203" i="12"/>
  <c r="R203" i="12"/>
  <c r="J203" i="12"/>
  <c r="H203" i="12"/>
  <c r="E203" i="12"/>
  <c r="C203" i="12"/>
  <c r="T202" i="12"/>
  <c r="R202" i="12"/>
  <c r="J202" i="12"/>
  <c r="H202" i="12"/>
  <c r="E202" i="12"/>
  <c r="C202" i="12"/>
  <c r="T201" i="12"/>
  <c r="R201" i="12"/>
  <c r="J201" i="12"/>
  <c r="H201" i="12"/>
  <c r="E201" i="12"/>
  <c r="C201" i="12"/>
  <c r="I199" i="12"/>
  <c r="U198" i="12"/>
  <c r="S198" i="12"/>
  <c r="S199" i="12" s="1"/>
  <c r="P198" i="12"/>
  <c r="N198" i="12"/>
  <c r="N199" i="12" s="1"/>
  <c r="K198" i="12"/>
  <c r="I198" i="12"/>
  <c r="F198" i="12"/>
  <c r="D198" i="12"/>
  <c r="D199" i="12" s="1"/>
  <c r="U197" i="12"/>
  <c r="P197" i="12"/>
  <c r="K197" i="12"/>
  <c r="F197" i="12"/>
  <c r="A197" i="12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1" i="12" s="1"/>
  <c r="A252" i="12" s="1"/>
  <c r="A253" i="12" s="1"/>
  <c r="A254" i="12" s="1"/>
  <c r="A255" i="12" s="1"/>
  <c r="U196" i="12"/>
  <c r="P196" i="12"/>
  <c r="K196" i="12"/>
  <c r="K233" i="12" s="1"/>
  <c r="F196" i="12"/>
  <c r="P191" i="12"/>
  <c r="N191" i="12"/>
  <c r="P189" i="12"/>
  <c r="N189" i="12"/>
  <c r="P185" i="12"/>
  <c r="Q185" i="12" s="1"/>
  <c r="Q186" i="12" s="1"/>
  <c r="N185" i="12"/>
  <c r="R181" i="12"/>
  <c r="S181" i="12" s="1"/>
  <c r="H181" i="12"/>
  <c r="I181" i="12" s="1"/>
  <c r="C181" i="12"/>
  <c r="D181" i="12" s="1"/>
  <c r="S180" i="12"/>
  <c r="R180" i="12"/>
  <c r="T180" i="12" s="1"/>
  <c r="H180" i="12"/>
  <c r="C180" i="12"/>
  <c r="D180" i="12" s="1"/>
  <c r="P172" i="12"/>
  <c r="N172" i="12"/>
  <c r="S170" i="12"/>
  <c r="I170" i="12"/>
  <c r="D170" i="12"/>
  <c r="U169" i="12"/>
  <c r="T169" i="12"/>
  <c r="R169" i="12"/>
  <c r="S169" i="12" s="1"/>
  <c r="J169" i="12"/>
  <c r="K169" i="12" s="1"/>
  <c r="H169" i="12"/>
  <c r="I169" i="12" s="1"/>
  <c r="E169" i="12"/>
  <c r="F169" i="12" s="1"/>
  <c r="C169" i="12"/>
  <c r="D169" i="12" s="1"/>
  <c r="T168" i="12"/>
  <c r="R168" i="12"/>
  <c r="J168" i="12"/>
  <c r="H168" i="12"/>
  <c r="E168" i="12"/>
  <c r="C168" i="12"/>
  <c r="P165" i="12"/>
  <c r="Q165" i="12" s="1"/>
  <c r="Q166" i="12" s="1"/>
  <c r="N165" i="12"/>
  <c r="R164" i="12"/>
  <c r="S164" i="12" s="1"/>
  <c r="H164" i="12"/>
  <c r="C164" i="12"/>
  <c r="D164" i="12" s="1"/>
  <c r="R163" i="12"/>
  <c r="S163" i="12" s="1"/>
  <c r="H163" i="12"/>
  <c r="I163" i="12" s="1"/>
  <c r="C163" i="12"/>
  <c r="D163" i="12" s="1"/>
  <c r="Q160" i="12"/>
  <c r="Q161" i="12" s="1"/>
  <c r="P160" i="12"/>
  <c r="N160" i="12"/>
  <c r="R159" i="12"/>
  <c r="S159" i="12" s="1"/>
  <c r="H159" i="12"/>
  <c r="I159" i="12" s="1"/>
  <c r="C159" i="12"/>
  <c r="D159" i="12" s="1"/>
  <c r="R158" i="12"/>
  <c r="S158" i="12" s="1"/>
  <c r="H158" i="12"/>
  <c r="I158" i="12" s="1"/>
  <c r="C158" i="12"/>
  <c r="D158" i="12" s="1"/>
  <c r="R157" i="12"/>
  <c r="S157" i="12" s="1"/>
  <c r="H157" i="12"/>
  <c r="I157" i="12" s="1"/>
  <c r="C157" i="12"/>
  <c r="D157" i="12" s="1"/>
  <c r="R156" i="12"/>
  <c r="S156" i="12" s="1"/>
  <c r="H156" i="12"/>
  <c r="I156" i="12" s="1"/>
  <c r="C156" i="12"/>
  <c r="R155" i="12"/>
  <c r="H155" i="12"/>
  <c r="I155" i="12" s="1"/>
  <c r="C155" i="12"/>
  <c r="D155" i="12" s="1"/>
  <c r="R154" i="12"/>
  <c r="S154" i="12" s="1"/>
  <c r="H154" i="12"/>
  <c r="I154" i="12" s="1"/>
  <c r="C154" i="12"/>
  <c r="D154" i="12" s="1"/>
  <c r="R153" i="12"/>
  <c r="S153" i="12" s="1"/>
  <c r="H153" i="12"/>
  <c r="I153" i="12" s="1"/>
  <c r="C153" i="12"/>
  <c r="D153" i="12" s="1"/>
  <c r="R152" i="12"/>
  <c r="S152" i="12" s="1"/>
  <c r="H152" i="12"/>
  <c r="I152" i="12" s="1"/>
  <c r="C152" i="12"/>
  <c r="D152" i="12" s="1"/>
  <c r="R151" i="12"/>
  <c r="S151" i="12" s="1"/>
  <c r="H151" i="12"/>
  <c r="I151" i="12" s="1"/>
  <c r="C151" i="12"/>
  <c r="R150" i="12"/>
  <c r="S150" i="12" s="1"/>
  <c r="H150" i="12"/>
  <c r="I150" i="12" s="1"/>
  <c r="C150" i="12"/>
  <c r="D150" i="12" s="1"/>
  <c r="S148" i="12"/>
  <c r="F148" i="12"/>
  <c r="D148" i="12"/>
  <c r="K147" i="12"/>
  <c r="I147" i="12"/>
  <c r="F147" i="12"/>
  <c r="R146" i="12"/>
  <c r="S146" i="12" s="1"/>
  <c r="I146" i="12"/>
  <c r="H146" i="12"/>
  <c r="C146" i="12"/>
  <c r="D146" i="12" s="1"/>
  <c r="R145" i="12"/>
  <c r="S145" i="12" s="1"/>
  <c r="H145" i="12"/>
  <c r="I145" i="12" s="1"/>
  <c r="C145" i="12"/>
  <c r="D145" i="12" s="1"/>
  <c r="R144" i="12"/>
  <c r="S144" i="12" s="1"/>
  <c r="H144" i="12"/>
  <c r="I144" i="12" s="1"/>
  <c r="C144" i="12"/>
  <c r="D144" i="12" s="1"/>
  <c r="P141" i="12"/>
  <c r="N141" i="12"/>
  <c r="T140" i="12"/>
  <c r="R140" i="12"/>
  <c r="J140" i="12"/>
  <c r="H140" i="12"/>
  <c r="E140" i="12"/>
  <c r="C140" i="12"/>
  <c r="T139" i="12"/>
  <c r="R139" i="12"/>
  <c r="J139" i="12"/>
  <c r="H139" i="12"/>
  <c r="E139" i="12"/>
  <c r="C139" i="12"/>
  <c r="T138" i="12"/>
  <c r="R138" i="12"/>
  <c r="J138" i="12"/>
  <c r="H138" i="12"/>
  <c r="E138" i="12"/>
  <c r="C138" i="12"/>
  <c r="U135" i="12"/>
  <c r="S135" i="12"/>
  <c r="S136" i="12" s="1"/>
  <c r="P135" i="12"/>
  <c r="N135" i="12"/>
  <c r="N136" i="12" s="1"/>
  <c r="K135" i="12"/>
  <c r="I135" i="12"/>
  <c r="I136" i="12" s="1"/>
  <c r="F135" i="12"/>
  <c r="D135" i="12"/>
  <c r="D136" i="12" s="1"/>
  <c r="U134" i="12"/>
  <c r="P134" i="12"/>
  <c r="K134" i="12"/>
  <c r="F134" i="12"/>
  <c r="A134" i="12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8" i="12" s="1"/>
  <c r="A189" i="12" s="1"/>
  <c r="A190" i="12" s="1"/>
  <c r="A191" i="12" s="1"/>
  <c r="A192" i="12" s="1"/>
  <c r="U133" i="12"/>
  <c r="U170" i="12" s="1"/>
  <c r="P133" i="12"/>
  <c r="P136" i="12" s="1"/>
  <c r="K133" i="12"/>
  <c r="F133" i="12"/>
  <c r="F170" i="12" s="1"/>
  <c r="P128" i="12"/>
  <c r="N128" i="12"/>
  <c r="Q128" i="12" s="1"/>
  <c r="P126" i="12"/>
  <c r="N126" i="12"/>
  <c r="P122" i="12"/>
  <c r="N122" i="12"/>
  <c r="R118" i="12"/>
  <c r="S118" i="12" s="1"/>
  <c r="H118" i="12"/>
  <c r="I118" i="12" s="1"/>
  <c r="C118" i="12"/>
  <c r="D118" i="12" s="1"/>
  <c r="T117" i="12"/>
  <c r="R117" i="12"/>
  <c r="S117" i="12" s="1"/>
  <c r="H117" i="12"/>
  <c r="J117" i="12" s="1"/>
  <c r="E117" i="12"/>
  <c r="C117" i="12"/>
  <c r="D117" i="12" s="1"/>
  <c r="P109" i="12"/>
  <c r="Q109" i="12" s="1"/>
  <c r="Q110" i="12" s="1"/>
  <c r="N109" i="12"/>
  <c r="S107" i="12"/>
  <c r="I107" i="12"/>
  <c r="D107" i="12"/>
  <c r="T106" i="12"/>
  <c r="U106" i="12" s="1"/>
  <c r="R106" i="12"/>
  <c r="S106" i="12" s="1"/>
  <c r="J106" i="12"/>
  <c r="K106" i="12" s="1"/>
  <c r="H106" i="12"/>
  <c r="I106" i="12" s="1"/>
  <c r="E106" i="12"/>
  <c r="F106" i="12" s="1"/>
  <c r="C106" i="12"/>
  <c r="D106" i="12" s="1"/>
  <c r="T105" i="12"/>
  <c r="R105" i="12"/>
  <c r="J105" i="12"/>
  <c r="H105" i="12"/>
  <c r="E105" i="12"/>
  <c r="C105" i="12"/>
  <c r="P102" i="12"/>
  <c r="N102" i="12"/>
  <c r="R101" i="12"/>
  <c r="S101" i="12" s="1"/>
  <c r="H101" i="12"/>
  <c r="I101" i="12" s="1"/>
  <c r="C101" i="12"/>
  <c r="D101" i="12" s="1"/>
  <c r="R100" i="12"/>
  <c r="S100" i="12" s="1"/>
  <c r="H100" i="12"/>
  <c r="I100" i="12" s="1"/>
  <c r="C100" i="12"/>
  <c r="D100" i="12" s="1"/>
  <c r="P97" i="12"/>
  <c r="N97" i="12"/>
  <c r="R96" i="12"/>
  <c r="S96" i="12" s="1"/>
  <c r="H96" i="12"/>
  <c r="I96" i="12" s="1"/>
  <c r="C96" i="12"/>
  <c r="D96" i="12" s="1"/>
  <c r="R95" i="12"/>
  <c r="S95" i="12" s="1"/>
  <c r="H95" i="12"/>
  <c r="I95" i="12" s="1"/>
  <c r="C95" i="12"/>
  <c r="D95" i="12" s="1"/>
  <c r="R94" i="12"/>
  <c r="S94" i="12" s="1"/>
  <c r="H94" i="12"/>
  <c r="I94" i="12" s="1"/>
  <c r="C94" i="12"/>
  <c r="D94" i="12" s="1"/>
  <c r="R93" i="12"/>
  <c r="H93" i="12"/>
  <c r="I93" i="12" s="1"/>
  <c r="C93" i="12"/>
  <c r="D93" i="12" s="1"/>
  <c r="R92" i="12"/>
  <c r="T92" i="12" s="1"/>
  <c r="H92" i="12"/>
  <c r="I92" i="12" s="1"/>
  <c r="C92" i="12"/>
  <c r="D92" i="12" s="1"/>
  <c r="R91" i="12"/>
  <c r="S91" i="12" s="1"/>
  <c r="H91" i="12"/>
  <c r="I91" i="12" s="1"/>
  <c r="C91" i="12"/>
  <c r="D91" i="12" s="1"/>
  <c r="R90" i="12"/>
  <c r="S90" i="12" s="1"/>
  <c r="H90" i="12"/>
  <c r="I90" i="12" s="1"/>
  <c r="C90" i="12"/>
  <c r="D90" i="12" s="1"/>
  <c r="R89" i="12"/>
  <c r="S89" i="12" s="1"/>
  <c r="H89" i="12"/>
  <c r="I89" i="12" s="1"/>
  <c r="C89" i="12"/>
  <c r="D89" i="12" s="1"/>
  <c r="R88" i="12"/>
  <c r="S88" i="12" s="1"/>
  <c r="H88" i="12"/>
  <c r="I88" i="12" s="1"/>
  <c r="C88" i="12"/>
  <c r="D88" i="12" s="1"/>
  <c r="R87" i="12"/>
  <c r="S87" i="12" s="1"/>
  <c r="H87" i="12"/>
  <c r="I87" i="12" s="1"/>
  <c r="C87" i="12"/>
  <c r="D87" i="12" s="1"/>
  <c r="U85" i="12"/>
  <c r="F85" i="12"/>
  <c r="U84" i="12"/>
  <c r="S84" i="12"/>
  <c r="D84" i="12"/>
  <c r="R83" i="12"/>
  <c r="S83" i="12" s="1"/>
  <c r="H83" i="12"/>
  <c r="I83" i="12" s="1"/>
  <c r="C83" i="12"/>
  <c r="D83" i="12" s="1"/>
  <c r="R82" i="12"/>
  <c r="S82" i="12" s="1"/>
  <c r="H82" i="12"/>
  <c r="I82" i="12" s="1"/>
  <c r="C82" i="12"/>
  <c r="D82" i="12" s="1"/>
  <c r="R81" i="12"/>
  <c r="S81" i="12" s="1"/>
  <c r="H81" i="12"/>
  <c r="I81" i="12" s="1"/>
  <c r="C81" i="12"/>
  <c r="D81" i="12" s="1"/>
  <c r="P78" i="12"/>
  <c r="N78" i="12"/>
  <c r="T77" i="12"/>
  <c r="R77" i="12"/>
  <c r="J77" i="12"/>
  <c r="H77" i="12"/>
  <c r="E77" i="12"/>
  <c r="C77" i="12"/>
  <c r="T76" i="12"/>
  <c r="R76" i="12"/>
  <c r="J76" i="12"/>
  <c r="H76" i="12"/>
  <c r="E76" i="12"/>
  <c r="C76" i="12"/>
  <c r="T75" i="12"/>
  <c r="R75" i="12"/>
  <c r="J75" i="12"/>
  <c r="H75" i="12"/>
  <c r="E75" i="12"/>
  <c r="C75" i="12"/>
  <c r="U72" i="12"/>
  <c r="S72" i="12"/>
  <c r="S73" i="12" s="1"/>
  <c r="P72" i="12"/>
  <c r="N72" i="12"/>
  <c r="N73" i="12" s="1"/>
  <c r="K72" i="12"/>
  <c r="I72" i="12"/>
  <c r="I73" i="12" s="1"/>
  <c r="F72" i="12"/>
  <c r="D72" i="12"/>
  <c r="D73" i="12" s="1"/>
  <c r="U71" i="12"/>
  <c r="P71" i="12"/>
  <c r="K71" i="12"/>
  <c r="F71" i="12"/>
  <c r="A71" i="12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5" i="12" s="1"/>
  <c r="A126" i="12" s="1"/>
  <c r="A127" i="12" s="1"/>
  <c r="A128" i="12" s="1"/>
  <c r="A129" i="12" s="1"/>
  <c r="U70" i="12"/>
  <c r="U107" i="12" s="1"/>
  <c r="P70" i="12"/>
  <c r="P73" i="12" s="1"/>
  <c r="K70" i="12"/>
  <c r="K107" i="12" s="1"/>
  <c r="F70" i="12"/>
  <c r="A7" i="22"/>
  <c r="T273" i="11"/>
  <c r="R273" i="11"/>
  <c r="S273" i="11" s="1"/>
  <c r="O273" i="11"/>
  <c r="M273" i="11"/>
  <c r="N273" i="11" s="1"/>
  <c r="J273" i="11"/>
  <c r="K273" i="11" s="1"/>
  <c r="H273" i="11"/>
  <c r="I273" i="11" s="1"/>
  <c r="E273" i="11"/>
  <c r="C273" i="11"/>
  <c r="D273" i="11" s="1"/>
  <c r="D215" i="11"/>
  <c r="T210" i="11"/>
  <c r="R210" i="11"/>
  <c r="S210" i="11" s="1"/>
  <c r="O210" i="11"/>
  <c r="M210" i="11"/>
  <c r="N210" i="11" s="1"/>
  <c r="J210" i="11"/>
  <c r="H210" i="11"/>
  <c r="E210" i="11"/>
  <c r="C210" i="11"/>
  <c r="D210" i="11" s="1"/>
  <c r="T147" i="11"/>
  <c r="R147" i="11"/>
  <c r="O147" i="11"/>
  <c r="M147" i="11"/>
  <c r="N147" i="11" s="1"/>
  <c r="J147" i="11"/>
  <c r="H147" i="11"/>
  <c r="E147" i="11"/>
  <c r="C147" i="11"/>
  <c r="D147" i="11" s="1"/>
  <c r="T84" i="11"/>
  <c r="U84" i="11" s="1"/>
  <c r="R84" i="11"/>
  <c r="S84" i="11" s="1"/>
  <c r="O84" i="11"/>
  <c r="M84" i="11"/>
  <c r="J84" i="11"/>
  <c r="K84" i="11" s="1"/>
  <c r="H84" i="11"/>
  <c r="I84" i="11" s="1"/>
  <c r="E84" i="11"/>
  <c r="C84" i="11"/>
  <c r="D84" i="11" s="1"/>
  <c r="R307" i="11"/>
  <c r="M307" i="11"/>
  <c r="H307" i="11"/>
  <c r="C307" i="11"/>
  <c r="D307" i="11" s="1"/>
  <c r="R306" i="11"/>
  <c r="M306" i="11"/>
  <c r="H306" i="11"/>
  <c r="C306" i="11"/>
  <c r="D296" i="11"/>
  <c r="T295" i="11"/>
  <c r="U295" i="11" s="1"/>
  <c r="R295" i="11"/>
  <c r="S295" i="11" s="1"/>
  <c r="O295" i="11"/>
  <c r="P295" i="11" s="1"/>
  <c r="M295" i="11"/>
  <c r="N295" i="11" s="1"/>
  <c r="J295" i="11"/>
  <c r="K295" i="11" s="1"/>
  <c r="H295" i="11"/>
  <c r="I295" i="11" s="1"/>
  <c r="E295" i="11"/>
  <c r="F295" i="11" s="1"/>
  <c r="C295" i="11"/>
  <c r="D295" i="11" s="1"/>
  <c r="T294" i="11"/>
  <c r="R294" i="11"/>
  <c r="O294" i="11"/>
  <c r="M294" i="11"/>
  <c r="J294" i="11"/>
  <c r="H294" i="11"/>
  <c r="E294" i="11"/>
  <c r="C294" i="11"/>
  <c r="R290" i="11"/>
  <c r="M290" i="11"/>
  <c r="H290" i="11"/>
  <c r="C290" i="11"/>
  <c r="R289" i="11"/>
  <c r="M289" i="11"/>
  <c r="H289" i="11"/>
  <c r="C289" i="11"/>
  <c r="R285" i="11"/>
  <c r="M285" i="11"/>
  <c r="H285" i="11"/>
  <c r="C285" i="11"/>
  <c r="D285" i="11" s="1"/>
  <c r="R284" i="11"/>
  <c r="M284" i="11"/>
  <c r="H284" i="11"/>
  <c r="C284" i="11"/>
  <c r="D284" i="11" s="1"/>
  <c r="R283" i="11"/>
  <c r="M283" i="11"/>
  <c r="H283" i="11"/>
  <c r="C283" i="11"/>
  <c r="D283" i="11" s="1"/>
  <c r="R282" i="11"/>
  <c r="M282" i="11"/>
  <c r="H282" i="11"/>
  <c r="C282" i="11"/>
  <c r="D282" i="11" s="1"/>
  <c r="R281" i="11"/>
  <c r="M281" i="11"/>
  <c r="O281" i="11" s="1"/>
  <c r="H281" i="11"/>
  <c r="C281" i="11"/>
  <c r="D281" i="11" s="1"/>
  <c r="R280" i="11"/>
  <c r="M280" i="11"/>
  <c r="H280" i="11"/>
  <c r="C280" i="11"/>
  <c r="D280" i="11" s="1"/>
  <c r="R279" i="11"/>
  <c r="M279" i="11"/>
  <c r="H279" i="11"/>
  <c r="C279" i="11"/>
  <c r="D279" i="11" s="1"/>
  <c r="R278" i="11"/>
  <c r="M278" i="11"/>
  <c r="H278" i="11"/>
  <c r="C278" i="11"/>
  <c r="D278" i="11" s="1"/>
  <c r="R277" i="11"/>
  <c r="S277" i="11" s="1"/>
  <c r="M277" i="11"/>
  <c r="H277" i="11"/>
  <c r="C277" i="11"/>
  <c r="D277" i="11" s="1"/>
  <c r="R276" i="11"/>
  <c r="M276" i="11"/>
  <c r="H276" i="11"/>
  <c r="C276" i="11"/>
  <c r="D276" i="11" s="1"/>
  <c r="R274" i="11"/>
  <c r="S274" i="11" s="1"/>
  <c r="M274" i="11"/>
  <c r="N274" i="11" s="1"/>
  <c r="H274" i="11"/>
  <c r="I274" i="11" s="1"/>
  <c r="C274" i="11"/>
  <c r="D274" i="11" s="1"/>
  <c r="U273" i="11"/>
  <c r="P273" i="11"/>
  <c r="F273" i="11"/>
  <c r="S272" i="11"/>
  <c r="R272" i="11"/>
  <c r="M272" i="11"/>
  <c r="N272" i="11" s="1"/>
  <c r="H272" i="11"/>
  <c r="I272" i="11" s="1"/>
  <c r="D272" i="11"/>
  <c r="C272" i="11"/>
  <c r="S271" i="11"/>
  <c r="R271" i="11"/>
  <c r="N271" i="11"/>
  <c r="M271" i="11"/>
  <c r="I271" i="11"/>
  <c r="H271" i="11"/>
  <c r="D271" i="11"/>
  <c r="C271" i="11"/>
  <c r="R270" i="11"/>
  <c r="S270" i="11" s="1"/>
  <c r="M270" i="11"/>
  <c r="N270" i="11" s="1"/>
  <c r="H270" i="11"/>
  <c r="I270" i="11" s="1"/>
  <c r="C270" i="11"/>
  <c r="D270" i="11" s="1"/>
  <c r="T266" i="11"/>
  <c r="R266" i="11"/>
  <c r="O266" i="11"/>
  <c r="M266" i="11"/>
  <c r="J266" i="11"/>
  <c r="H266" i="11"/>
  <c r="E266" i="11"/>
  <c r="C266" i="11"/>
  <c r="T265" i="11"/>
  <c r="R265" i="11"/>
  <c r="O265" i="11"/>
  <c r="M265" i="11"/>
  <c r="J265" i="11"/>
  <c r="H265" i="11"/>
  <c r="E265" i="11"/>
  <c r="C265" i="11"/>
  <c r="T264" i="11"/>
  <c r="R264" i="11"/>
  <c r="O264" i="11"/>
  <c r="M264" i="11"/>
  <c r="J264" i="11"/>
  <c r="H264" i="11"/>
  <c r="E264" i="11"/>
  <c r="C264" i="11"/>
  <c r="U261" i="11"/>
  <c r="S261" i="11"/>
  <c r="P261" i="11"/>
  <c r="N261" i="11"/>
  <c r="K261" i="11"/>
  <c r="I261" i="11"/>
  <c r="F261" i="11"/>
  <c r="D261" i="11"/>
  <c r="D262" i="11" s="1"/>
  <c r="U260" i="11"/>
  <c r="P260" i="11"/>
  <c r="K260" i="11"/>
  <c r="F260" i="11"/>
  <c r="A260" i="1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4" i="11" s="1"/>
  <c r="A315" i="11" s="1"/>
  <c r="A316" i="11" s="1"/>
  <c r="A317" i="11" s="1"/>
  <c r="A318" i="11" s="1"/>
  <c r="S259" i="11"/>
  <c r="U259" i="11" s="1"/>
  <c r="U296" i="11" s="1"/>
  <c r="N259" i="11"/>
  <c r="N296" i="11" s="1"/>
  <c r="I259" i="11"/>
  <c r="F259" i="11"/>
  <c r="R244" i="11"/>
  <c r="M244" i="11"/>
  <c r="H244" i="11"/>
  <c r="D244" i="11"/>
  <c r="C244" i="11"/>
  <c r="T243" i="11"/>
  <c r="R243" i="11"/>
  <c r="O243" i="11"/>
  <c r="M243" i="11"/>
  <c r="J243" i="11"/>
  <c r="H243" i="11"/>
  <c r="E243" i="11"/>
  <c r="C243" i="11"/>
  <c r="D243" i="11" s="1"/>
  <c r="D233" i="11"/>
  <c r="T232" i="11"/>
  <c r="U232" i="11" s="1"/>
  <c r="R232" i="11"/>
  <c r="S232" i="11" s="1"/>
  <c r="O232" i="11"/>
  <c r="P232" i="11" s="1"/>
  <c r="M232" i="11"/>
  <c r="N232" i="11" s="1"/>
  <c r="J232" i="11"/>
  <c r="K232" i="11" s="1"/>
  <c r="H232" i="11"/>
  <c r="I232" i="11" s="1"/>
  <c r="E232" i="11"/>
  <c r="F232" i="11" s="1"/>
  <c r="D232" i="11"/>
  <c r="C232" i="11"/>
  <c r="T231" i="11"/>
  <c r="R231" i="11"/>
  <c r="O231" i="11"/>
  <c r="M231" i="11"/>
  <c r="J231" i="11"/>
  <c r="H231" i="11"/>
  <c r="E231" i="11"/>
  <c r="C231" i="11"/>
  <c r="R227" i="11"/>
  <c r="M227" i="11"/>
  <c r="H227" i="11"/>
  <c r="C227" i="11"/>
  <c r="R226" i="11"/>
  <c r="M226" i="11"/>
  <c r="H226" i="11"/>
  <c r="C226" i="11"/>
  <c r="R222" i="11"/>
  <c r="M222" i="11"/>
  <c r="N222" i="11" s="1"/>
  <c r="H222" i="11"/>
  <c r="C222" i="11"/>
  <c r="D222" i="11" s="1"/>
  <c r="R221" i="11"/>
  <c r="M221" i="11"/>
  <c r="H221" i="11"/>
  <c r="C221" i="11"/>
  <c r="D221" i="11" s="1"/>
  <c r="R220" i="11"/>
  <c r="M220" i="11"/>
  <c r="H220" i="11"/>
  <c r="C220" i="11"/>
  <c r="D220" i="11" s="1"/>
  <c r="R219" i="11"/>
  <c r="M219" i="11"/>
  <c r="H219" i="11"/>
  <c r="C219" i="11"/>
  <c r="D219" i="11" s="1"/>
  <c r="R218" i="11"/>
  <c r="S218" i="11" s="1"/>
  <c r="M218" i="11"/>
  <c r="H218" i="11"/>
  <c r="C218" i="11"/>
  <c r="D218" i="11" s="1"/>
  <c r="R217" i="11"/>
  <c r="M217" i="11"/>
  <c r="H217" i="11"/>
  <c r="C217" i="11"/>
  <c r="D217" i="11" s="1"/>
  <c r="R216" i="11"/>
  <c r="M216" i="11"/>
  <c r="H216" i="11"/>
  <c r="C216" i="11"/>
  <c r="D216" i="11" s="1"/>
  <c r="R215" i="11"/>
  <c r="M215" i="11"/>
  <c r="H215" i="11"/>
  <c r="C215" i="11"/>
  <c r="R214" i="11"/>
  <c r="M214" i="11"/>
  <c r="H214" i="11"/>
  <c r="C214" i="11"/>
  <c r="D214" i="11" s="1"/>
  <c r="R213" i="11"/>
  <c r="M213" i="11"/>
  <c r="H213" i="11"/>
  <c r="C213" i="11"/>
  <c r="D213" i="11" s="1"/>
  <c r="R211" i="11"/>
  <c r="S211" i="11" s="1"/>
  <c r="M211" i="11"/>
  <c r="N211" i="11" s="1"/>
  <c r="H211" i="11"/>
  <c r="I211" i="11" s="1"/>
  <c r="C211" i="11"/>
  <c r="D211" i="11" s="1"/>
  <c r="U210" i="11"/>
  <c r="P210" i="11"/>
  <c r="K210" i="11"/>
  <c r="I210" i="11"/>
  <c r="F210" i="11"/>
  <c r="R209" i="11"/>
  <c r="S209" i="11" s="1"/>
  <c r="M209" i="11"/>
  <c r="N209" i="11" s="1"/>
  <c r="H209" i="11"/>
  <c r="I209" i="11" s="1"/>
  <c r="C209" i="11"/>
  <c r="D209" i="11" s="1"/>
  <c r="S208" i="11"/>
  <c r="R208" i="11"/>
  <c r="N208" i="11"/>
  <c r="M208" i="11"/>
  <c r="I208" i="11"/>
  <c r="H208" i="11"/>
  <c r="D208" i="11"/>
  <c r="C208" i="11"/>
  <c r="R207" i="11"/>
  <c r="S207" i="11" s="1"/>
  <c r="M207" i="11"/>
  <c r="N207" i="11" s="1"/>
  <c r="H207" i="11"/>
  <c r="I207" i="11" s="1"/>
  <c r="C207" i="11"/>
  <c r="D207" i="11" s="1"/>
  <c r="T203" i="11"/>
  <c r="R203" i="11"/>
  <c r="O203" i="11"/>
  <c r="M203" i="11"/>
  <c r="J203" i="11"/>
  <c r="H203" i="11"/>
  <c r="E203" i="11"/>
  <c r="C203" i="11"/>
  <c r="T202" i="11"/>
  <c r="R202" i="11"/>
  <c r="O202" i="11"/>
  <c r="M202" i="11"/>
  <c r="J202" i="11"/>
  <c r="H202" i="11"/>
  <c r="E202" i="11"/>
  <c r="C202" i="11"/>
  <c r="T201" i="11"/>
  <c r="R201" i="11"/>
  <c r="O201" i="11"/>
  <c r="M201" i="11"/>
  <c r="J201" i="11"/>
  <c r="H201" i="11"/>
  <c r="E201" i="11"/>
  <c r="C201" i="11"/>
  <c r="U198" i="11"/>
  <c r="S198" i="11"/>
  <c r="P198" i="11"/>
  <c r="N198" i="11"/>
  <c r="K198" i="11"/>
  <c r="I198" i="11"/>
  <c r="F198" i="11"/>
  <c r="D198" i="11"/>
  <c r="D199" i="11" s="1"/>
  <c r="A198" i="1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1" i="11" s="1"/>
  <c r="A252" i="11" s="1"/>
  <c r="A253" i="11" s="1"/>
  <c r="A254" i="11" s="1"/>
  <c r="A255" i="11" s="1"/>
  <c r="U197" i="11"/>
  <c r="P197" i="11"/>
  <c r="K197" i="11"/>
  <c r="F197" i="11"/>
  <c r="A197" i="11"/>
  <c r="S196" i="11"/>
  <c r="U196" i="11" s="1"/>
  <c r="U233" i="11" s="1"/>
  <c r="N196" i="11"/>
  <c r="I196" i="11"/>
  <c r="I199" i="11" s="1"/>
  <c r="F196" i="11"/>
  <c r="F233" i="11" s="1"/>
  <c r="R181" i="11"/>
  <c r="M181" i="11"/>
  <c r="H181" i="11"/>
  <c r="C181" i="11"/>
  <c r="D181" i="11" s="1"/>
  <c r="R180" i="11"/>
  <c r="M180" i="11"/>
  <c r="O180" i="11" s="1"/>
  <c r="H180" i="11"/>
  <c r="E180" i="11"/>
  <c r="C180" i="11"/>
  <c r="D180" i="11" s="1"/>
  <c r="D170" i="11"/>
  <c r="T169" i="11"/>
  <c r="U169" i="11" s="1"/>
  <c r="R169" i="11"/>
  <c r="S169" i="11" s="1"/>
  <c r="O169" i="11"/>
  <c r="P169" i="11" s="1"/>
  <c r="M169" i="11"/>
  <c r="N169" i="11" s="1"/>
  <c r="J169" i="11"/>
  <c r="K169" i="11" s="1"/>
  <c r="H169" i="11"/>
  <c r="I169" i="11" s="1"/>
  <c r="E169" i="11"/>
  <c r="F169" i="11" s="1"/>
  <c r="C169" i="11"/>
  <c r="D169" i="11" s="1"/>
  <c r="T168" i="11"/>
  <c r="R168" i="11"/>
  <c r="O168" i="11"/>
  <c r="M168" i="11"/>
  <c r="J168" i="11"/>
  <c r="H168" i="11"/>
  <c r="E168" i="11"/>
  <c r="C168" i="11"/>
  <c r="R164" i="11"/>
  <c r="M164" i="11"/>
  <c r="H164" i="11"/>
  <c r="C164" i="11"/>
  <c r="R163" i="11"/>
  <c r="M163" i="11"/>
  <c r="H163" i="11"/>
  <c r="C163" i="11"/>
  <c r="R159" i="11"/>
  <c r="S159" i="11" s="1"/>
  <c r="M159" i="11"/>
  <c r="H159" i="11"/>
  <c r="C159" i="11"/>
  <c r="D159" i="11" s="1"/>
  <c r="R158" i="11"/>
  <c r="S158" i="11" s="1"/>
  <c r="M158" i="11"/>
  <c r="H158" i="11"/>
  <c r="C158" i="11"/>
  <c r="D158" i="11" s="1"/>
  <c r="R157" i="11"/>
  <c r="M157" i="11"/>
  <c r="H157" i="11"/>
  <c r="C157" i="11"/>
  <c r="D157" i="11" s="1"/>
  <c r="R156" i="11"/>
  <c r="M156" i="11"/>
  <c r="H156" i="11"/>
  <c r="C156" i="11"/>
  <c r="D156" i="11" s="1"/>
  <c r="R155" i="11"/>
  <c r="T155" i="11" s="1"/>
  <c r="M155" i="11"/>
  <c r="O155" i="11" s="1"/>
  <c r="H155" i="11"/>
  <c r="C155" i="11"/>
  <c r="D155" i="11" s="1"/>
  <c r="R154" i="11"/>
  <c r="M154" i="11"/>
  <c r="H154" i="11"/>
  <c r="C154" i="11"/>
  <c r="D154" i="11" s="1"/>
  <c r="R153" i="11"/>
  <c r="M153" i="11"/>
  <c r="H153" i="11"/>
  <c r="C153" i="11"/>
  <c r="D153" i="11" s="1"/>
  <c r="R152" i="11"/>
  <c r="M152" i="11"/>
  <c r="H152" i="11"/>
  <c r="C152" i="11"/>
  <c r="D152" i="11" s="1"/>
  <c r="R151" i="11"/>
  <c r="M151" i="11"/>
  <c r="H151" i="11"/>
  <c r="C151" i="11"/>
  <c r="D151" i="11" s="1"/>
  <c r="R150" i="11"/>
  <c r="M150" i="11"/>
  <c r="H150" i="11"/>
  <c r="C150" i="11"/>
  <c r="D150" i="11" s="1"/>
  <c r="S148" i="11"/>
  <c r="R148" i="11"/>
  <c r="N148" i="11"/>
  <c r="M148" i="11"/>
  <c r="I148" i="11"/>
  <c r="H148" i="11"/>
  <c r="D148" i="11"/>
  <c r="C148" i="11"/>
  <c r="U147" i="11"/>
  <c r="S147" i="11"/>
  <c r="P147" i="11"/>
  <c r="K147" i="11"/>
  <c r="I147" i="11"/>
  <c r="F147" i="11"/>
  <c r="R146" i="11"/>
  <c r="S146" i="11" s="1"/>
  <c r="M146" i="11"/>
  <c r="N146" i="11" s="1"/>
  <c r="H146" i="11"/>
  <c r="I146" i="11" s="1"/>
  <c r="D146" i="11"/>
  <c r="C146" i="11"/>
  <c r="R145" i="11"/>
  <c r="S145" i="11" s="1"/>
  <c r="M145" i="11"/>
  <c r="N145" i="11" s="1"/>
  <c r="H145" i="11"/>
  <c r="I145" i="11" s="1"/>
  <c r="C145" i="11"/>
  <c r="D145" i="11" s="1"/>
  <c r="R144" i="11"/>
  <c r="S144" i="11" s="1"/>
  <c r="M144" i="11"/>
  <c r="N144" i="11" s="1"/>
  <c r="H144" i="11"/>
  <c r="I144" i="11" s="1"/>
  <c r="D144" i="11"/>
  <c r="C144" i="11"/>
  <c r="T140" i="11"/>
  <c r="R140" i="11"/>
  <c r="O140" i="11"/>
  <c r="M140" i="11"/>
  <c r="J140" i="11"/>
  <c r="H140" i="11"/>
  <c r="E140" i="11"/>
  <c r="C140" i="11"/>
  <c r="T139" i="11"/>
  <c r="R139" i="11"/>
  <c r="O139" i="11"/>
  <c r="M139" i="11"/>
  <c r="J139" i="11"/>
  <c r="H139" i="11"/>
  <c r="E139" i="11"/>
  <c r="C139" i="11"/>
  <c r="T138" i="11"/>
  <c r="R138" i="11"/>
  <c r="O138" i="11"/>
  <c r="M138" i="11"/>
  <c r="J138" i="11"/>
  <c r="H138" i="11"/>
  <c r="E138" i="11"/>
  <c r="C138" i="11"/>
  <c r="A136" i="1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8" i="11" s="1"/>
  <c r="A189" i="11" s="1"/>
  <c r="A190" i="11" s="1"/>
  <c r="A191" i="11" s="1"/>
  <c r="A192" i="11" s="1"/>
  <c r="U135" i="11"/>
  <c r="S135" i="11"/>
  <c r="P135" i="11"/>
  <c r="N135" i="11"/>
  <c r="K135" i="11"/>
  <c r="I135" i="11"/>
  <c r="F135" i="11"/>
  <c r="D135" i="11"/>
  <c r="D136" i="11" s="1"/>
  <c r="U134" i="11"/>
  <c r="P134" i="11"/>
  <c r="K134" i="11"/>
  <c r="F134" i="11"/>
  <c r="A134" i="11"/>
  <c r="A135" i="11" s="1"/>
  <c r="S133" i="11"/>
  <c r="S170" i="11" s="1"/>
  <c r="N133" i="11"/>
  <c r="I133" i="11"/>
  <c r="I152" i="11" s="1"/>
  <c r="F133" i="11"/>
  <c r="F170" i="11" s="1"/>
  <c r="R118" i="11"/>
  <c r="M118" i="11"/>
  <c r="H118" i="11"/>
  <c r="C118" i="11"/>
  <c r="D118" i="11" s="1"/>
  <c r="R117" i="11"/>
  <c r="T117" i="11" s="1"/>
  <c r="M117" i="11"/>
  <c r="O117" i="11" s="1"/>
  <c r="H117" i="11"/>
  <c r="J117" i="11" s="1"/>
  <c r="C117" i="11"/>
  <c r="E117" i="11" s="1"/>
  <c r="D107" i="11"/>
  <c r="T106" i="11"/>
  <c r="U106" i="11" s="1"/>
  <c r="R106" i="11"/>
  <c r="S106" i="11" s="1"/>
  <c r="O106" i="11"/>
  <c r="P106" i="11" s="1"/>
  <c r="M106" i="11"/>
  <c r="N106" i="11" s="1"/>
  <c r="J106" i="11"/>
  <c r="K106" i="11" s="1"/>
  <c r="H106" i="11"/>
  <c r="I106" i="11" s="1"/>
  <c r="E106" i="11"/>
  <c r="F106" i="11" s="1"/>
  <c r="C106" i="11"/>
  <c r="D106" i="11" s="1"/>
  <c r="T105" i="11"/>
  <c r="R105" i="11"/>
  <c r="O105" i="11"/>
  <c r="M105" i="11"/>
  <c r="J105" i="11"/>
  <c r="H105" i="11"/>
  <c r="E105" i="11"/>
  <c r="C105" i="11"/>
  <c r="R101" i="11"/>
  <c r="M101" i="11"/>
  <c r="H101" i="11"/>
  <c r="C101" i="11"/>
  <c r="R100" i="11"/>
  <c r="M100" i="11"/>
  <c r="H100" i="11"/>
  <c r="C100" i="11"/>
  <c r="R96" i="11"/>
  <c r="S96" i="11" s="1"/>
  <c r="M96" i="11"/>
  <c r="H96" i="11"/>
  <c r="C96" i="11"/>
  <c r="D96" i="11" s="1"/>
  <c r="R95" i="11"/>
  <c r="S95" i="11" s="1"/>
  <c r="M95" i="11"/>
  <c r="H95" i="11"/>
  <c r="C95" i="11"/>
  <c r="D95" i="11" s="1"/>
  <c r="R94" i="11"/>
  <c r="S94" i="11" s="1"/>
  <c r="M94" i="11"/>
  <c r="N94" i="11" s="1"/>
  <c r="H94" i="11"/>
  <c r="C94" i="11"/>
  <c r="D94" i="11" s="1"/>
  <c r="R93" i="11"/>
  <c r="S93" i="11" s="1"/>
  <c r="M93" i="11"/>
  <c r="H93" i="11"/>
  <c r="C93" i="11"/>
  <c r="D93" i="11" s="1"/>
  <c r="T92" i="11"/>
  <c r="R92" i="11"/>
  <c r="M92" i="11"/>
  <c r="H92" i="11"/>
  <c r="C92" i="11"/>
  <c r="D92" i="11" s="1"/>
  <c r="R91" i="11"/>
  <c r="M91" i="11"/>
  <c r="H91" i="11"/>
  <c r="C91" i="11"/>
  <c r="D91" i="11" s="1"/>
  <c r="R90" i="11"/>
  <c r="M90" i="11"/>
  <c r="H90" i="11"/>
  <c r="C90" i="11"/>
  <c r="D90" i="11" s="1"/>
  <c r="R89" i="11"/>
  <c r="M89" i="11"/>
  <c r="H89" i="11"/>
  <c r="C89" i="11"/>
  <c r="D89" i="11" s="1"/>
  <c r="R88" i="11"/>
  <c r="M88" i="11"/>
  <c r="H88" i="11"/>
  <c r="C88" i="11"/>
  <c r="D88" i="11" s="1"/>
  <c r="R87" i="11"/>
  <c r="M87" i="11"/>
  <c r="H87" i="11"/>
  <c r="C87" i="11"/>
  <c r="D87" i="11" s="1"/>
  <c r="R85" i="11"/>
  <c r="S85" i="11" s="1"/>
  <c r="N85" i="11"/>
  <c r="M85" i="11"/>
  <c r="H85" i="11"/>
  <c r="I85" i="11" s="1"/>
  <c r="C85" i="11"/>
  <c r="D85" i="11" s="1"/>
  <c r="P84" i="11"/>
  <c r="N84" i="11"/>
  <c r="F84" i="11"/>
  <c r="S83" i="11"/>
  <c r="R83" i="11"/>
  <c r="M83" i="11"/>
  <c r="N83" i="11" s="1"/>
  <c r="H83" i="11"/>
  <c r="I83" i="11" s="1"/>
  <c r="C83" i="11"/>
  <c r="D83" i="11" s="1"/>
  <c r="R82" i="11"/>
  <c r="S82" i="11" s="1"/>
  <c r="M82" i="11"/>
  <c r="N82" i="11" s="1"/>
  <c r="H82" i="11"/>
  <c r="I82" i="11" s="1"/>
  <c r="C82" i="11"/>
  <c r="D82" i="11" s="1"/>
  <c r="R81" i="11"/>
  <c r="S81" i="11" s="1"/>
  <c r="M81" i="11"/>
  <c r="N81" i="11" s="1"/>
  <c r="H81" i="11"/>
  <c r="I81" i="11" s="1"/>
  <c r="C81" i="11"/>
  <c r="D81" i="11" s="1"/>
  <c r="T77" i="11"/>
  <c r="R77" i="11"/>
  <c r="O77" i="11"/>
  <c r="M77" i="11"/>
  <c r="J77" i="11"/>
  <c r="H77" i="11"/>
  <c r="E77" i="11"/>
  <c r="C77" i="1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U72" i="11"/>
  <c r="S72" i="11"/>
  <c r="P72" i="11"/>
  <c r="N72" i="11"/>
  <c r="K72" i="11"/>
  <c r="I72" i="11"/>
  <c r="F72" i="11"/>
  <c r="D72" i="11"/>
  <c r="D73" i="11" s="1"/>
  <c r="D101" i="11" s="1"/>
  <c r="U71" i="11"/>
  <c r="P71" i="11"/>
  <c r="K71" i="11"/>
  <c r="F71" i="11"/>
  <c r="A71" i="1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5" i="11" s="1"/>
  <c r="A126" i="11" s="1"/>
  <c r="A127" i="11" s="1"/>
  <c r="A128" i="11" s="1"/>
  <c r="A129" i="11" s="1"/>
  <c r="S70" i="11"/>
  <c r="N70" i="11"/>
  <c r="I70" i="11"/>
  <c r="K70" i="11" s="1"/>
  <c r="K107" i="11" s="1"/>
  <c r="F70" i="11"/>
  <c r="S7" i="11"/>
  <c r="N7" i="11"/>
  <c r="I7" i="11"/>
  <c r="T462" i="10"/>
  <c r="R462" i="10"/>
  <c r="O462" i="10"/>
  <c r="M462" i="10"/>
  <c r="J462" i="10"/>
  <c r="H462" i="10"/>
  <c r="E462" i="10"/>
  <c r="C462" i="10"/>
  <c r="T399" i="10"/>
  <c r="R399" i="10"/>
  <c r="O399" i="10"/>
  <c r="M399" i="10"/>
  <c r="J399" i="10"/>
  <c r="H399" i="10"/>
  <c r="E399" i="10"/>
  <c r="C399" i="10"/>
  <c r="T336" i="10"/>
  <c r="R336" i="10"/>
  <c r="O336" i="10"/>
  <c r="M336" i="10"/>
  <c r="J336" i="10"/>
  <c r="H336" i="10"/>
  <c r="E336" i="10"/>
  <c r="C336" i="10"/>
  <c r="T273" i="10"/>
  <c r="R273" i="10"/>
  <c r="O273" i="10"/>
  <c r="M273" i="10"/>
  <c r="J273" i="10"/>
  <c r="H273" i="10"/>
  <c r="E273" i="10"/>
  <c r="C273" i="10"/>
  <c r="T210" i="10"/>
  <c r="R210" i="10"/>
  <c r="O210" i="10"/>
  <c r="M210" i="10"/>
  <c r="J210" i="10"/>
  <c r="H210" i="10"/>
  <c r="E210" i="10"/>
  <c r="C210" i="10"/>
  <c r="T147" i="10"/>
  <c r="R147" i="10"/>
  <c r="O147" i="10"/>
  <c r="M147" i="10"/>
  <c r="J147" i="10"/>
  <c r="H147" i="10"/>
  <c r="E147" i="10"/>
  <c r="C147" i="10"/>
  <c r="S448" i="10"/>
  <c r="U448" i="10" s="1"/>
  <c r="N448" i="10"/>
  <c r="P448" i="10" s="1"/>
  <c r="I448" i="10"/>
  <c r="K448" i="10" s="1"/>
  <c r="F448" i="10"/>
  <c r="S385" i="10"/>
  <c r="U385" i="10" s="1"/>
  <c r="N385" i="10"/>
  <c r="P385" i="10" s="1"/>
  <c r="I385" i="10"/>
  <c r="K385" i="10" s="1"/>
  <c r="F385" i="10"/>
  <c r="S322" i="10"/>
  <c r="U322" i="10" s="1"/>
  <c r="N322" i="10"/>
  <c r="P322" i="10" s="1"/>
  <c r="I322" i="10"/>
  <c r="K322" i="10" s="1"/>
  <c r="F322" i="10"/>
  <c r="S259" i="10"/>
  <c r="U259" i="10" s="1"/>
  <c r="N259" i="10"/>
  <c r="P259" i="10" s="1"/>
  <c r="I259" i="10"/>
  <c r="K259" i="10" s="1"/>
  <c r="F259" i="10"/>
  <c r="S196" i="10"/>
  <c r="U196" i="10" s="1"/>
  <c r="N196" i="10"/>
  <c r="P196" i="10" s="1"/>
  <c r="I196" i="10"/>
  <c r="K196" i="10" s="1"/>
  <c r="F196" i="10"/>
  <c r="S133" i="10"/>
  <c r="U133" i="10" s="1"/>
  <c r="N133" i="10"/>
  <c r="P133" i="10" s="1"/>
  <c r="I133" i="10"/>
  <c r="K133" i="10" s="1"/>
  <c r="F133" i="10"/>
  <c r="S70" i="10"/>
  <c r="U70" i="10" s="1"/>
  <c r="N70" i="10"/>
  <c r="P70" i="10" s="1"/>
  <c r="I70" i="10"/>
  <c r="K70" i="10" s="1"/>
  <c r="F70" i="10"/>
  <c r="S7" i="10"/>
  <c r="N7" i="10"/>
  <c r="I7" i="10"/>
  <c r="A7" i="21"/>
  <c r="A8" i="21" s="1"/>
  <c r="A9" i="21" s="1"/>
  <c r="A10" i="21" s="1"/>
  <c r="A11" i="21" s="1"/>
  <c r="A12" i="21" s="1"/>
  <c r="A13" i="21" s="1"/>
  <c r="A14" i="21" s="1"/>
  <c r="S215" i="11" l="1"/>
  <c r="S217" i="11"/>
  <c r="S220" i="11"/>
  <c r="S222" i="11"/>
  <c r="I87" i="11"/>
  <c r="I88" i="11"/>
  <c r="I89" i="11"/>
  <c r="I90" i="11"/>
  <c r="I91" i="11"/>
  <c r="I92" i="11"/>
  <c r="I276" i="11"/>
  <c r="I277" i="11"/>
  <c r="I278" i="11"/>
  <c r="Q78" i="12"/>
  <c r="Q79" i="12" s="1"/>
  <c r="Q97" i="12"/>
  <c r="Q98" i="12" s="1"/>
  <c r="K117" i="12"/>
  <c r="E180" i="12"/>
  <c r="J243" i="12"/>
  <c r="K243" i="12" s="1"/>
  <c r="S213" i="11"/>
  <c r="S214" i="11"/>
  <c r="S216" i="11"/>
  <c r="S219" i="11"/>
  <c r="S221" i="11"/>
  <c r="I213" i="11"/>
  <c r="I252" i="11" s="1"/>
  <c r="I214" i="11"/>
  <c r="I215" i="11"/>
  <c r="I216" i="11"/>
  <c r="I217" i="11"/>
  <c r="I218" i="11"/>
  <c r="I219" i="11"/>
  <c r="I220" i="11"/>
  <c r="I221" i="11"/>
  <c r="I222" i="11"/>
  <c r="N276" i="11"/>
  <c r="N277" i="11"/>
  <c r="N278" i="11"/>
  <c r="N279" i="11"/>
  <c r="N280" i="11"/>
  <c r="S276" i="11"/>
  <c r="D315" i="11"/>
  <c r="S92" i="11"/>
  <c r="N93" i="11"/>
  <c r="N95" i="11"/>
  <c r="N96" i="11"/>
  <c r="D117" i="11"/>
  <c r="N150" i="11"/>
  <c r="N151" i="11"/>
  <c r="N152" i="11"/>
  <c r="N153" i="11"/>
  <c r="N154" i="11"/>
  <c r="N156" i="11"/>
  <c r="N157" i="11"/>
  <c r="N158" i="11"/>
  <c r="N159" i="11"/>
  <c r="S278" i="11"/>
  <c r="S279" i="11"/>
  <c r="S280" i="11"/>
  <c r="S282" i="11"/>
  <c r="S283" i="11"/>
  <c r="S284" i="11"/>
  <c r="S285" i="11"/>
  <c r="U92" i="12"/>
  <c r="I102" i="12"/>
  <c r="Q126" i="12"/>
  <c r="Q127" i="12" s="1"/>
  <c r="F180" i="12"/>
  <c r="Q172" i="12"/>
  <c r="Q173" i="12" s="1"/>
  <c r="E243" i="12"/>
  <c r="S243" i="12"/>
  <c r="D126" i="11"/>
  <c r="I150" i="11"/>
  <c r="I151" i="11"/>
  <c r="I153" i="11"/>
  <c r="I154" i="11"/>
  <c r="I155" i="11"/>
  <c r="F107" i="11"/>
  <c r="N199" i="11"/>
  <c r="N231" i="11" s="1"/>
  <c r="P196" i="11"/>
  <c r="P243" i="11" s="1"/>
  <c r="N221" i="11"/>
  <c r="N220" i="11"/>
  <c r="N219" i="11"/>
  <c r="N213" i="11"/>
  <c r="N252" i="11" s="1"/>
  <c r="N214" i="11"/>
  <c r="N215" i="11"/>
  <c r="N216" i="11"/>
  <c r="N217" i="11"/>
  <c r="N218" i="11"/>
  <c r="N87" i="11"/>
  <c r="N88" i="11"/>
  <c r="N89" i="11"/>
  <c r="N90" i="11"/>
  <c r="N91" i="11"/>
  <c r="N92" i="11"/>
  <c r="S150" i="11"/>
  <c r="S189" i="11" s="1"/>
  <c r="S151" i="11"/>
  <c r="S152" i="11"/>
  <c r="S153" i="11"/>
  <c r="S154" i="11"/>
  <c r="S252" i="11"/>
  <c r="T281" i="11"/>
  <c r="U281" i="11" s="1"/>
  <c r="S281" i="11"/>
  <c r="S156" i="11"/>
  <c r="S92" i="12"/>
  <c r="S102" i="12"/>
  <c r="S87" i="11"/>
  <c r="S126" i="11" s="1"/>
  <c r="S88" i="11"/>
  <c r="S89" i="11"/>
  <c r="S90" i="11"/>
  <c r="S91" i="11"/>
  <c r="O92" i="11"/>
  <c r="I93" i="11"/>
  <c r="I94" i="11"/>
  <c r="I95" i="11"/>
  <c r="I96" i="11"/>
  <c r="I126" i="11" s="1"/>
  <c r="D189" i="11"/>
  <c r="D163" i="11"/>
  <c r="D164" i="11"/>
  <c r="I262" i="11"/>
  <c r="S157" i="11"/>
  <c r="D252" i="11"/>
  <c r="I156" i="11"/>
  <c r="I157" i="11"/>
  <c r="I158" i="11"/>
  <c r="I159" i="11"/>
  <c r="A8" i="22"/>
  <c r="A9" i="22" s="1"/>
  <c r="A10" i="22" s="1"/>
  <c r="A11" i="22" s="1"/>
  <c r="N155" i="11"/>
  <c r="Q189" i="12"/>
  <c r="Q190" i="12" s="1"/>
  <c r="I117" i="12"/>
  <c r="I279" i="11"/>
  <c r="I280" i="11"/>
  <c r="I281" i="11"/>
  <c r="I282" i="11"/>
  <c r="I283" i="11"/>
  <c r="I284" i="11"/>
  <c r="I285" i="11"/>
  <c r="I315" i="11" s="1"/>
  <c r="S155" i="12"/>
  <c r="T155" i="12"/>
  <c r="U155" i="12" s="1"/>
  <c r="D165" i="12"/>
  <c r="S199" i="11"/>
  <c r="S231" i="11" s="1"/>
  <c r="N282" i="11"/>
  <c r="N283" i="11"/>
  <c r="N284" i="11"/>
  <c r="N285" i="11"/>
  <c r="N315" i="11" s="1"/>
  <c r="S155" i="11"/>
  <c r="N281" i="11"/>
  <c r="F73" i="12"/>
  <c r="F105" i="12" s="1"/>
  <c r="I180" i="12"/>
  <c r="J180" i="12"/>
  <c r="K180" i="12" s="1"/>
  <c r="U233" i="12"/>
  <c r="U199" i="12"/>
  <c r="U231" i="12" s="1"/>
  <c r="U235" i="12" s="1"/>
  <c r="U73" i="12"/>
  <c r="U105" i="12" s="1"/>
  <c r="P111" i="12"/>
  <c r="Q129" i="12"/>
  <c r="S168" i="12"/>
  <c r="S172" i="12" s="1"/>
  <c r="F199" i="12"/>
  <c r="F231" i="12" s="1"/>
  <c r="K199" i="12"/>
  <c r="K231" i="12" s="1"/>
  <c r="K235" i="12" s="1"/>
  <c r="S231" i="12"/>
  <c r="Q235" i="12"/>
  <c r="Q236" i="12" s="1"/>
  <c r="U180" i="12"/>
  <c r="P199" i="12"/>
  <c r="N237" i="12"/>
  <c r="N238" i="12" s="1"/>
  <c r="N239" i="12" s="1"/>
  <c r="D228" i="12"/>
  <c r="S228" i="12"/>
  <c r="I228" i="12"/>
  <c r="S235" i="12"/>
  <c r="U243" i="12"/>
  <c r="S191" i="12"/>
  <c r="I165" i="12"/>
  <c r="I191" i="12"/>
  <c r="U136" i="12"/>
  <c r="U168" i="12" s="1"/>
  <c r="U172" i="12" s="1"/>
  <c r="V172" i="12" s="1"/>
  <c r="V173" i="12" s="1"/>
  <c r="U117" i="12"/>
  <c r="K73" i="12"/>
  <c r="K105" i="12" s="1"/>
  <c r="K109" i="12" s="1"/>
  <c r="L109" i="12" s="1"/>
  <c r="L110" i="12" s="1"/>
  <c r="P237" i="12"/>
  <c r="Q204" i="12"/>
  <c r="Q205" i="12" s="1"/>
  <c r="T218" i="12"/>
  <c r="U218" i="12" s="1"/>
  <c r="S254" i="12"/>
  <c r="Q228" i="12"/>
  <c r="Q229" i="12" s="1"/>
  <c r="D254" i="12"/>
  <c r="I254" i="12"/>
  <c r="D231" i="12"/>
  <c r="D235" i="12" s="1"/>
  <c r="F233" i="12"/>
  <c r="F243" i="12"/>
  <c r="I231" i="12"/>
  <c r="I235" i="12" s="1"/>
  <c r="Q248" i="12"/>
  <c r="Q249" i="12" s="1"/>
  <c r="Q254" i="12"/>
  <c r="Q255" i="12" s="1"/>
  <c r="K170" i="12"/>
  <c r="K136" i="12"/>
  <c r="D168" i="12"/>
  <c r="D172" i="12" s="1"/>
  <c r="I168" i="12"/>
  <c r="I172" i="12" s="1"/>
  <c r="Q141" i="12"/>
  <c r="Q142" i="12" s="1"/>
  <c r="N174" i="12"/>
  <c r="D191" i="12"/>
  <c r="F136" i="12"/>
  <c r="P174" i="12"/>
  <c r="S165" i="12"/>
  <c r="Q191" i="12"/>
  <c r="Q192" i="12" s="1"/>
  <c r="U109" i="12"/>
  <c r="S128" i="12"/>
  <c r="I128" i="12"/>
  <c r="D102" i="12"/>
  <c r="N111" i="12"/>
  <c r="D128" i="12"/>
  <c r="S105" i="12"/>
  <c r="S109" i="12" s="1"/>
  <c r="D105" i="12"/>
  <c r="D109" i="12" s="1"/>
  <c r="F107" i="12"/>
  <c r="F109" i="12" s="1"/>
  <c r="F117" i="12"/>
  <c r="P112" i="12"/>
  <c r="P113" i="12" s="1"/>
  <c r="Q102" i="12"/>
  <c r="Q103" i="12" s="1"/>
  <c r="I105" i="12"/>
  <c r="I109" i="12" s="1"/>
  <c r="Q122" i="12"/>
  <c r="Q123" i="12" s="1"/>
  <c r="I290" i="11"/>
  <c r="I289" i="11"/>
  <c r="I231" i="11"/>
  <c r="I227" i="11"/>
  <c r="I226" i="11"/>
  <c r="N227" i="11"/>
  <c r="D100" i="11"/>
  <c r="D102" i="11" s="1"/>
  <c r="S227" i="11"/>
  <c r="D231" i="11"/>
  <c r="D235" i="11" s="1"/>
  <c r="D227" i="11"/>
  <c r="D226" i="11"/>
  <c r="D290" i="11"/>
  <c r="D289" i="11"/>
  <c r="D291" i="11" s="1"/>
  <c r="N226" i="11"/>
  <c r="D165" i="11"/>
  <c r="N307" i="11"/>
  <c r="P259" i="11"/>
  <c r="P262" i="11" s="1"/>
  <c r="K196" i="11"/>
  <c r="F117" i="11"/>
  <c r="F73" i="11"/>
  <c r="J306" i="11"/>
  <c r="I306" i="11"/>
  <c r="P296" i="11"/>
  <c r="U262" i="11"/>
  <c r="S296" i="11"/>
  <c r="T306" i="11"/>
  <c r="U306" i="11" s="1"/>
  <c r="S306" i="11"/>
  <c r="S307" i="11"/>
  <c r="F296" i="11"/>
  <c r="F262" i="11"/>
  <c r="I296" i="11"/>
  <c r="K259" i="11"/>
  <c r="S262" i="11"/>
  <c r="D294" i="11"/>
  <c r="D298" i="11" s="1"/>
  <c r="N262" i="11"/>
  <c r="I294" i="11"/>
  <c r="E306" i="11"/>
  <c r="F306" i="11" s="1"/>
  <c r="D306" i="11"/>
  <c r="O306" i="11"/>
  <c r="P306" i="11" s="1"/>
  <c r="N306" i="11"/>
  <c r="I307" i="11"/>
  <c r="P233" i="11"/>
  <c r="I244" i="11"/>
  <c r="I243" i="11"/>
  <c r="I233" i="11"/>
  <c r="S244" i="11"/>
  <c r="S243" i="11"/>
  <c r="S233" i="11"/>
  <c r="S235" i="11" s="1"/>
  <c r="U199" i="11"/>
  <c r="F243" i="11"/>
  <c r="O218" i="11"/>
  <c r="P218" i="11" s="1"/>
  <c r="T218" i="11"/>
  <c r="U218" i="11" s="1"/>
  <c r="U243" i="11"/>
  <c r="N244" i="11"/>
  <c r="N233" i="11"/>
  <c r="N235" i="11" s="1"/>
  <c r="N243" i="11"/>
  <c r="F199" i="11"/>
  <c r="P199" i="11"/>
  <c r="I228" i="11"/>
  <c r="N136" i="11"/>
  <c r="N170" i="11"/>
  <c r="N181" i="11"/>
  <c r="P133" i="11"/>
  <c r="P155" i="11" s="1"/>
  <c r="F136" i="11"/>
  <c r="U133" i="11"/>
  <c r="U155" i="11" s="1"/>
  <c r="S181" i="11"/>
  <c r="S136" i="11"/>
  <c r="S168" i="11" s="1"/>
  <c r="S172" i="11" s="1"/>
  <c r="N168" i="11"/>
  <c r="F180" i="11"/>
  <c r="K133" i="11"/>
  <c r="I181" i="11"/>
  <c r="I170" i="11"/>
  <c r="I136" i="11"/>
  <c r="S180" i="11"/>
  <c r="T180" i="11"/>
  <c r="N180" i="11"/>
  <c r="D168" i="11"/>
  <c r="D172" i="11" s="1"/>
  <c r="I180" i="11"/>
  <c r="J180" i="11"/>
  <c r="F105" i="11"/>
  <c r="K73" i="11"/>
  <c r="N107" i="11"/>
  <c r="P70" i="11"/>
  <c r="N117" i="11"/>
  <c r="N73" i="11"/>
  <c r="S107" i="11"/>
  <c r="S73" i="11"/>
  <c r="S117" i="11"/>
  <c r="I107" i="11"/>
  <c r="I117" i="11"/>
  <c r="I73" i="11"/>
  <c r="U70" i="11"/>
  <c r="U92" i="11" s="1"/>
  <c r="D105" i="11"/>
  <c r="D109" i="11" s="1"/>
  <c r="K117" i="11"/>
  <c r="I118" i="11"/>
  <c r="S118" i="11"/>
  <c r="N118" i="11"/>
  <c r="A15" i="21"/>
  <c r="A16" i="21" s="1"/>
  <c r="A17" i="21" s="1"/>
  <c r="A18" i="21" s="1"/>
  <c r="A19" i="21" s="1"/>
  <c r="A20" i="21" s="1"/>
  <c r="A21" i="21" s="1"/>
  <c r="A22" i="21" s="1"/>
  <c r="R496" i="10"/>
  <c r="S496" i="10" s="1"/>
  <c r="M496" i="10"/>
  <c r="N496" i="10" s="1"/>
  <c r="H496" i="10"/>
  <c r="I496" i="10" s="1"/>
  <c r="C496" i="10"/>
  <c r="D496" i="10" s="1"/>
  <c r="R495" i="10"/>
  <c r="T495" i="10" s="1"/>
  <c r="M495" i="10"/>
  <c r="O495" i="10" s="1"/>
  <c r="P495" i="10" s="1"/>
  <c r="H495" i="10"/>
  <c r="J495" i="10" s="1"/>
  <c r="C495" i="10"/>
  <c r="E495" i="10" s="1"/>
  <c r="S485" i="10"/>
  <c r="N485" i="10"/>
  <c r="K485" i="10"/>
  <c r="I485" i="10"/>
  <c r="D485" i="10"/>
  <c r="T484" i="10"/>
  <c r="U484" i="10" s="1"/>
  <c r="R484" i="10"/>
  <c r="S484" i="10" s="1"/>
  <c r="O484" i="10"/>
  <c r="P484" i="10" s="1"/>
  <c r="M484" i="10"/>
  <c r="N484" i="10" s="1"/>
  <c r="J484" i="10"/>
  <c r="K484" i="10" s="1"/>
  <c r="H484" i="10"/>
  <c r="I484" i="10" s="1"/>
  <c r="E484" i="10"/>
  <c r="F484" i="10" s="1"/>
  <c r="C484" i="10"/>
  <c r="D484" i="10" s="1"/>
  <c r="T483" i="10"/>
  <c r="R483" i="10"/>
  <c r="O483" i="10"/>
  <c r="M483" i="10"/>
  <c r="J483" i="10"/>
  <c r="H483" i="10"/>
  <c r="E483" i="10"/>
  <c r="C483" i="10"/>
  <c r="R479" i="10"/>
  <c r="M479" i="10"/>
  <c r="H479" i="10"/>
  <c r="C479" i="10"/>
  <c r="R478" i="10"/>
  <c r="M478" i="10"/>
  <c r="H478" i="10"/>
  <c r="C478" i="10"/>
  <c r="R474" i="10"/>
  <c r="S474" i="10" s="1"/>
  <c r="M474" i="10"/>
  <c r="N474" i="10" s="1"/>
  <c r="H474" i="10"/>
  <c r="I474" i="10" s="1"/>
  <c r="C474" i="10"/>
  <c r="D474" i="10" s="1"/>
  <c r="R473" i="10"/>
  <c r="S473" i="10" s="1"/>
  <c r="M473" i="10"/>
  <c r="N473" i="10" s="1"/>
  <c r="H473" i="10"/>
  <c r="I473" i="10" s="1"/>
  <c r="C473" i="10"/>
  <c r="D473" i="10" s="1"/>
  <c r="R472" i="10"/>
  <c r="S472" i="10" s="1"/>
  <c r="M472" i="10"/>
  <c r="N472" i="10" s="1"/>
  <c r="H472" i="10"/>
  <c r="I472" i="10" s="1"/>
  <c r="C472" i="10"/>
  <c r="D472" i="10" s="1"/>
  <c r="R471" i="10"/>
  <c r="S471" i="10" s="1"/>
  <c r="M471" i="10"/>
  <c r="N471" i="10" s="1"/>
  <c r="H471" i="10"/>
  <c r="I471" i="10" s="1"/>
  <c r="C471" i="10"/>
  <c r="D471" i="10" s="1"/>
  <c r="R470" i="10"/>
  <c r="S470" i="10" s="1"/>
  <c r="M470" i="10"/>
  <c r="N470" i="10" s="1"/>
  <c r="H470" i="10"/>
  <c r="I470" i="10" s="1"/>
  <c r="C470" i="10"/>
  <c r="D470" i="10" s="1"/>
  <c r="R469" i="10"/>
  <c r="S469" i="10" s="1"/>
  <c r="M469" i="10"/>
  <c r="N469" i="10" s="1"/>
  <c r="H469" i="10"/>
  <c r="I469" i="10" s="1"/>
  <c r="C469" i="10"/>
  <c r="D469" i="10" s="1"/>
  <c r="R468" i="10"/>
  <c r="S468" i="10" s="1"/>
  <c r="M468" i="10"/>
  <c r="N468" i="10" s="1"/>
  <c r="H468" i="10"/>
  <c r="I468" i="10" s="1"/>
  <c r="C468" i="10"/>
  <c r="D468" i="10" s="1"/>
  <c r="R467" i="10"/>
  <c r="S467" i="10" s="1"/>
  <c r="M467" i="10"/>
  <c r="N467" i="10" s="1"/>
  <c r="H467" i="10"/>
  <c r="I467" i="10" s="1"/>
  <c r="C467" i="10"/>
  <c r="D467" i="10" s="1"/>
  <c r="R466" i="10"/>
  <c r="S466" i="10" s="1"/>
  <c r="M466" i="10"/>
  <c r="N466" i="10" s="1"/>
  <c r="H466" i="10"/>
  <c r="I466" i="10" s="1"/>
  <c r="C466" i="10"/>
  <c r="D466" i="10" s="1"/>
  <c r="R465" i="10"/>
  <c r="S465" i="10" s="1"/>
  <c r="M465" i="10"/>
  <c r="N465" i="10" s="1"/>
  <c r="H465" i="10"/>
  <c r="I465" i="10" s="1"/>
  <c r="C465" i="10"/>
  <c r="D465" i="10" s="1"/>
  <c r="R463" i="10"/>
  <c r="S463" i="10" s="1"/>
  <c r="M463" i="10"/>
  <c r="N463" i="10" s="1"/>
  <c r="H463" i="10"/>
  <c r="I463" i="10" s="1"/>
  <c r="C463" i="10"/>
  <c r="D463" i="10" s="1"/>
  <c r="U462" i="10"/>
  <c r="S462" i="10"/>
  <c r="P462" i="10"/>
  <c r="N462" i="10"/>
  <c r="K462" i="10"/>
  <c r="I462" i="10"/>
  <c r="F462" i="10"/>
  <c r="D462" i="10"/>
  <c r="R461" i="10"/>
  <c r="S461" i="10" s="1"/>
  <c r="M461" i="10"/>
  <c r="N461" i="10" s="1"/>
  <c r="H461" i="10"/>
  <c r="I461" i="10" s="1"/>
  <c r="C461" i="10"/>
  <c r="D461" i="10" s="1"/>
  <c r="R460" i="10"/>
  <c r="S460" i="10" s="1"/>
  <c r="M460" i="10"/>
  <c r="N460" i="10" s="1"/>
  <c r="H460" i="10"/>
  <c r="I460" i="10" s="1"/>
  <c r="C460" i="10"/>
  <c r="D460" i="10" s="1"/>
  <c r="R459" i="10"/>
  <c r="S459" i="10" s="1"/>
  <c r="M459" i="10"/>
  <c r="N459" i="10" s="1"/>
  <c r="H459" i="10"/>
  <c r="I459" i="10" s="1"/>
  <c r="C459" i="10"/>
  <c r="D459" i="10" s="1"/>
  <c r="T455" i="10"/>
  <c r="R455" i="10"/>
  <c r="O455" i="10"/>
  <c r="M455" i="10"/>
  <c r="J455" i="10"/>
  <c r="H455" i="10"/>
  <c r="E455" i="10"/>
  <c r="C455" i="10"/>
  <c r="T454" i="10"/>
  <c r="R454" i="10"/>
  <c r="O454" i="10"/>
  <c r="M454" i="10"/>
  <c r="J454" i="10"/>
  <c r="H454" i="10"/>
  <c r="E454" i="10"/>
  <c r="C454" i="10"/>
  <c r="T453" i="10"/>
  <c r="R453" i="10"/>
  <c r="O453" i="10"/>
  <c r="M453" i="10"/>
  <c r="J453" i="10"/>
  <c r="H453" i="10"/>
  <c r="E453" i="10"/>
  <c r="C453" i="10"/>
  <c r="U450" i="10"/>
  <c r="S450" i="10"/>
  <c r="S451" i="10" s="1"/>
  <c r="P450" i="10"/>
  <c r="N450" i="10"/>
  <c r="N451" i="10" s="1"/>
  <c r="K450" i="10"/>
  <c r="K451" i="10" s="1"/>
  <c r="I450" i="10"/>
  <c r="I451" i="10" s="1"/>
  <c r="F450" i="10"/>
  <c r="D450" i="10"/>
  <c r="D451" i="10" s="1"/>
  <c r="U449" i="10"/>
  <c r="P449" i="10"/>
  <c r="K449" i="10"/>
  <c r="F449" i="10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3" i="10" s="1"/>
  <c r="A504" i="10" s="1"/>
  <c r="A505" i="10" s="1"/>
  <c r="A506" i="10" s="1"/>
  <c r="A507" i="10" s="1"/>
  <c r="U485" i="10"/>
  <c r="P485" i="10"/>
  <c r="F485" i="10"/>
  <c r="R433" i="10"/>
  <c r="S433" i="10" s="1"/>
  <c r="M433" i="10"/>
  <c r="N433" i="10" s="1"/>
  <c r="H433" i="10"/>
  <c r="I433" i="10" s="1"/>
  <c r="C433" i="10"/>
  <c r="D433" i="10" s="1"/>
  <c r="R432" i="10"/>
  <c r="T432" i="10" s="1"/>
  <c r="U432" i="10" s="1"/>
  <c r="M432" i="10"/>
  <c r="O432" i="10" s="1"/>
  <c r="H432" i="10"/>
  <c r="J432" i="10" s="1"/>
  <c r="K432" i="10" s="1"/>
  <c r="C432" i="10"/>
  <c r="E432" i="10" s="1"/>
  <c r="S422" i="10"/>
  <c r="N422" i="10"/>
  <c r="I422" i="10"/>
  <c r="D422" i="10"/>
  <c r="T421" i="10"/>
  <c r="U421" i="10" s="1"/>
  <c r="R421" i="10"/>
  <c r="S421" i="10" s="1"/>
  <c r="O421" i="10"/>
  <c r="P421" i="10" s="1"/>
  <c r="M421" i="10"/>
  <c r="N421" i="10" s="1"/>
  <c r="J421" i="10"/>
  <c r="K421" i="10" s="1"/>
  <c r="H421" i="10"/>
  <c r="I421" i="10" s="1"/>
  <c r="E421" i="10"/>
  <c r="F421" i="10" s="1"/>
  <c r="C421" i="10"/>
  <c r="D421" i="10" s="1"/>
  <c r="T420" i="10"/>
  <c r="R420" i="10"/>
  <c r="O420" i="10"/>
  <c r="M420" i="10"/>
  <c r="J420" i="10"/>
  <c r="H420" i="10"/>
  <c r="E420" i="10"/>
  <c r="C420" i="10"/>
  <c r="R416" i="10"/>
  <c r="M416" i="10"/>
  <c r="H416" i="10"/>
  <c r="C416" i="10"/>
  <c r="R415" i="10"/>
  <c r="M415" i="10"/>
  <c r="H415" i="10"/>
  <c r="C415" i="10"/>
  <c r="R411" i="10"/>
  <c r="S411" i="10" s="1"/>
  <c r="M411" i="10"/>
  <c r="N411" i="10" s="1"/>
  <c r="H411" i="10"/>
  <c r="I411" i="10" s="1"/>
  <c r="C411" i="10"/>
  <c r="D411" i="10" s="1"/>
  <c r="R410" i="10"/>
  <c r="S410" i="10" s="1"/>
  <c r="M410" i="10"/>
  <c r="N410" i="10" s="1"/>
  <c r="H410" i="10"/>
  <c r="I410" i="10" s="1"/>
  <c r="C410" i="10"/>
  <c r="D410" i="10" s="1"/>
  <c r="R409" i="10"/>
  <c r="S409" i="10" s="1"/>
  <c r="M409" i="10"/>
  <c r="N409" i="10" s="1"/>
  <c r="H409" i="10"/>
  <c r="I409" i="10" s="1"/>
  <c r="C409" i="10"/>
  <c r="D409" i="10" s="1"/>
  <c r="R408" i="10"/>
  <c r="S408" i="10" s="1"/>
  <c r="M408" i="10"/>
  <c r="N408" i="10" s="1"/>
  <c r="H408" i="10"/>
  <c r="I408" i="10" s="1"/>
  <c r="C408" i="10"/>
  <c r="D408" i="10" s="1"/>
  <c r="R407" i="10"/>
  <c r="S407" i="10" s="1"/>
  <c r="M407" i="10"/>
  <c r="N407" i="10" s="1"/>
  <c r="H407" i="10"/>
  <c r="I407" i="10" s="1"/>
  <c r="C407" i="10"/>
  <c r="D407" i="10" s="1"/>
  <c r="R406" i="10"/>
  <c r="S406" i="10" s="1"/>
  <c r="M406" i="10"/>
  <c r="N406" i="10" s="1"/>
  <c r="H406" i="10"/>
  <c r="I406" i="10" s="1"/>
  <c r="C406" i="10"/>
  <c r="D406" i="10" s="1"/>
  <c r="R405" i="10"/>
  <c r="S405" i="10" s="1"/>
  <c r="M405" i="10"/>
  <c r="N405" i="10" s="1"/>
  <c r="H405" i="10"/>
  <c r="I405" i="10" s="1"/>
  <c r="C405" i="10"/>
  <c r="D405" i="10" s="1"/>
  <c r="R404" i="10"/>
  <c r="S404" i="10" s="1"/>
  <c r="M404" i="10"/>
  <c r="N404" i="10" s="1"/>
  <c r="H404" i="10"/>
  <c r="I404" i="10" s="1"/>
  <c r="C404" i="10"/>
  <c r="D404" i="10" s="1"/>
  <c r="R403" i="10"/>
  <c r="S403" i="10" s="1"/>
  <c r="M403" i="10"/>
  <c r="N403" i="10" s="1"/>
  <c r="H403" i="10"/>
  <c r="I403" i="10" s="1"/>
  <c r="C403" i="10"/>
  <c r="D403" i="10" s="1"/>
  <c r="R402" i="10"/>
  <c r="S402" i="10" s="1"/>
  <c r="M402" i="10"/>
  <c r="N402" i="10" s="1"/>
  <c r="H402" i="10"/>
  <c r="I402" i="10" s="1"/>
  <c r="C402" i="10"/>
  <c r="D402" i="10" s="1"/>
  <c r="R400" i="10"/>
  <c r="S400" i="10" s="1"/>
  <c r="M400" i="10"/>
  <c r="N400" i="10" s="1"/>
  <c r="H400" i="10"/>
  <c r="I400" i="10" s="1"/>
  <c r="C400" i="10"/>
  <c r="D400" i="10" s="1"/>
  <c r="U399" i="10"/>
  <c r="S399" i="10"/>
  <c r="P399" i="10"/>
  <c r="N399" i="10"/>
  <c r="K399" i="10"/>
  <c r="I399" i="10"/>
  <c r="F399" i="10"/>
  <c r="D399" i="10"/>
  <c r="R398" i="10"/>
  <c r="S398" i="10" s="1"/>
  <c r="M398" i="10"/>
  <c r="N398" i="10" s="1"/>
  <c r="H398" i="10"/>
  <c r="I398" i="10" s="1"/>
  <c r="C398" i="10"/>
  <c r="D398" i="10" s="1"/>
  <c r="R397" i="10"/>
  <c r="S397" i="10" s="1"/>
  <c r="M397" i="10"/>
  <c r="N397" i="10" s="1"/>
  <c r="H397" i="10"/>
  <c r="I397" i="10" s="1"/>
  <c r="C397" i="10"/>
  <c r="D397" i="10" s="1"/>
  <c r="R396" i="10"/>
  <c r="S396" i="10" s="1"/>
  <c r="M396" i="10"/>
  <c r="N396" i="10" s="1"/>
  <c r="H396" i="10"/>
  <c r="I396" i="10" s="1"/>
  <c r="C396" i="10"/>
  <c r="D396" i="10" s="1"/>
  <c r="T392" i="10"/>
  <c r="R392" i="10"/>
  <c r="O392" i="10"/>
  <c r="M392" i="10"/>
  <c r="J392" i="10"/>
  <c r="H392" i="10"/>
  <c r="E392" i="10"/>
  <c r="C392" i="10"/>
  <c r="T391" i="10"/>
  <c r="R391" i="10"/>
  <c r="O391" i="10"/>
  <c r="M391" i="10"/>
  <c r="J391" i="10"/>
  <c r="H391" i="10"/>
  <c r="E391" i="10"/>
  <c r="C391" i="10"/>
  <c r="T390" i="10"/>
  <c r="R390" i="10"/>
  <c r="O390" i="10"/>
  <c r="M390" i="10"/>
  <c r="J390" i="10"/>
  <c r="H390" i="10"/>
  <c r="E390" i="10"/>
  <c r="C390" i="10"/>
  <c r="U387" i="10"/>
  <c r="U388" i="10" s="1"/>
  <c r="S387" i="10"/>
  <c r="S388" i="10" s="1"/>
  <c r="P387" i="10"/>
  <c r="P388" i="10" s="1"/>
  <c r="N387" i="10"/>
  <c r="N388" i="10" s="1"/>
  <c r="K387" i="10"/>
  <c r="K388" i="10" s="1"/>
  <c r="I387" i="10"/>
  <c r="I388" i="10" s="1"/>
  <c r="F387" i="10"/>
  <c r="D387" i="10"/>
  <c r="D388" i="10" s="1"/>
  <c r="U386" i="10"/>
  <c r="P386" i="10"/>
  <c r="K386" i="10"/>
  <c r="F386" i="10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40" i="10" s="1"/>
  <c r="A441" i="10" s="1"/>
  <c r="A442" i="10" s="1"/>
  <c r="A443" i="10" s="1"/>
  <c r="A444" i="10" s="1"/>
  <c r="U422" i="10"/>
  <c r="P422" i="10"/>
  <c r="K422" i="10"/>
  <c r="F422" i="10"/>
  <c r="R370" i="10"/>
  <c r="S370" i="10" s="1"/>
  <c r="M370" i="10"/>
  <c r="N370" i="10" s="1"/>
  <c r="H370" i="10"/>
  <c r="I370" i="10" s="1"/>
  <c r="C370" i="10"/>
  <c r="D370" i="10" s="1"/>
  <c r="R369" i="10"/>
  <c r="T369" i="10" s="1"/>
  <c r="M369" i="10"/>
  <c r="H369" i="10"/>
  <c r="J369" i="10" s="1"/>
  <c r="C369" i="10"/>
  <c r="S359" i="10"/>
  <c r="N359" i="10"/>
  <c r="I359" i="10"/>
  <c r="D359" i="10"/>
  <c r="T358" i="10"/>
  <c r="U358" i="10" s="1"/>
  <c r="R358" i="10"/>
  <c r="S358" i="10" s="1"/>
  <c r="O358" i="10"/>
  <c r="P358" i="10" s="1"/>
  <c r="M358" i="10"/>
  <c r="N358" i="10" s="1"/>
  <c r="J358" i="10"/>
  <c r="K358" i="10" s="1"/>
  <c r="H358" i="10"/>
  <c r="I358" i="10" s="1"/>
  <c r="E358" i="10"/>
  <c r="F358" i="10" s="1"/>
  <c r="C358" i="10"/>
  <c r="D358" i="10" s="1"/>
  <c r="T357" i="10"/>
  <c r="R357" i="10"/>
  <c r="O357" i="10"/>
  <c r="M357" i="10"/>
  <c r="J357" i="10"/>
  <c r="H357" i="10"/>
  <c r="E357" i="10"/>
  <c r="C357" i="10"/>
  <c r="R353" i="10"/>
  <c r="M353" i="10"/>
  <c r="H353" i="10"/>
  <c r="C353" i="10"/>
  <c r="R352" i="10"/>
  <c r="M352" i="10"/>
  <c r="H352" i="10"/>
  <c r="C352" i="10"/>
  <c r="R348" i="10"/>
  <c r="S348" i="10" s="1"/>
  <c r="M348" i="10"/>
  <c r="N348" i="10" s="1"/>
  <c r="H348" i="10"/>
  <c r="I348" i="10" s="1"/>
  <c r="C348" i="10"/>
  <c r="D348" i="10" s="1"/>
  <c r="R347" i="10"/>
  <c r="S347" i="10" s="1"/>
  <c r="M347" i="10"/>
  <c r="N347" i="10" s="1"/>
  <c r="H347" i="10"/>
  <c r="I347" i="10" s="1"/>
  <c r="C347" i="10"/>
  <c r="D347" i="10" s="1"/>
  <c r="R346" i="10"/>
  <c r="S346" i="10" s="1"/>
  <c r="M346" i="10"/>
  <c r="N346" i="10" s="1"/>
  <c r="H346" i="10"/>
  <c r="I346" i="10" s="1"/>
  <c r="C346" i="10"/>
  <c r="D346" i="10" s="1"/>
  <c r="R345" i="10"/>
  <c r="S345" i="10" s="1"/>
  <c r="M345" i="10"/>
  <c r="N345" i="10" s="1"/>
  <c r="H345" i="10"/>
  <c r="I345" i="10" s="1"/>
  <c r="C345" i="10"/>
  <c r="D345" i="10" s="1"/>
  <c r="R344" i="10"/>
  <c r="S344" i="10" s="1"/>
  <c r="M344" i="10"/>
  <c r="N344" i="10" s="1"/>
  <c r="H344" i="10"/>
  <c r="I344" i="10" s="1"/>
  <c r="C344" i="10"/>
  <c r="D344" i="10" s="1"/>
  <c r="R343" i="10"/>
  <c r="S343" i="10" s="1"/>
  <c r="M343" i="10"/>
  <c r="N343" i="10" s="1"/>
  <c r="H343" i="10"/>
  <c r="I343" i="10" s="1"/>
  <c r="C343" i="10"/>
  <c r="D343" i="10" s="1"/>
  <c r="R342" i="10"/>
  <c r="S342" i="10" s="1"/>
  <c r="M342" i="10"/>
  <c r="N342" i="10" s="1"/>
  <c r="H342" i="10"/>
  <c r="I342" i="10" s="1"/>
  <c r="C342" i="10"/>
  <c r="D342" i="10" s="1"/>
  <c r="R341" i="10"/>
  <c r="S341" i="10" s="1"/>
  <c r="M341" i="10"/>
  <c r="N341" i="10" s="1"/>
  <c r="H341" i="10"/>
  <c r="I341" i="10" s="1"/>
  <c r="C341" i="10"/>
  <c r="D341" i="10" s="1"/>
  <c r="R340" i="10"/>
  <c r="S340" i="10" s="1"/>
  <c r="M340" i="10"/>
  <c r="N340" i="10" s="1"/>
  <c r="H340" i="10"/>
  <c r="I340" i="10" s="1"/>
  <c r="C340" i="10"/>
  <c r="D340" i="10" s="1"/>
  <c r="R339" i="10"/>
  <c r="S339" i="10" s="1"/>
  <c r="M339" i="10"/>
  <c r="N339" i="10" s="1"/>
  <c r="H339" i="10"/>
  <c r="I339" i="10" s="1"/>
  <c r="C339" i="10"/>
  <c r="D339" i="10" s="1"/>
  <c r="R337" i="10"/>
  <c r="S337" i="10" s="1"/>
  <c r="M337" i="10"/>
  <c r="N337" i="10" s="1"/>
  <c r="H337" i="10"/>
  <c r="I337" i="10" s="1"/>
  <c r="C337" i="10"/>
  <c r="D337" i="10" s="1"/>
  <c r="U336" i="10"/>
  <c r="S336" i="10"/>
  <c r="P336" i="10"/>
  <c r="N336" i="10"/>
  <c r="K336" i="10"/>
  <c r="I336" i="10"/>
  <c r="F336" i="10"/>
  <c r="D336" i="10"/>
  <c r="R335" i="10"/>
  <c r="S335" i="10" s="1"/>
  <c r="M335" i="10"/>
  <c r="N335" i="10" s="1"/>
  <c r="H335" i="10"/>
  <c r="I335" i="10" s="1"/>
  <c r="C335" i="10"/>
  <c r="D335" i="10" s="1"/>
  <c r="R334" i="10"/>
  <c r="S334" i="10" s="1"/>
  <c r="M334" i="10"/>
  <c r="N334" i="10" s="1"/>
  <c r="H334" i="10"/>
  <c r="I334" i="10" s="1"/>
  <c r="C334" i="10"/>
  <c r="D334" i="10" s="1"/>
  <c r="R333" i="10"/>
  <c r="S333" i="10" s="1"/>
  <c r="M333" i="10"/>
  <c r="N333" i="10" s="1"/>
  <c r="I333" i="10"/>
  <c r="H333" i="10"/>
  <c r="C333" i="10"/>
  <c r="D333" i="10" s="1"/>
  <c r="T329" i="10"/>
  <c r="R329" i="10"/>
  <c r="O329" i="10"/>
  <c r="M329" i="10"/>
  <c r="J329" i="10"/>
  <c r="H329" i="10"/>
  <c r="E329" i="10"/>
  <c r="C329" i="10"/>
  <c r="T328" i="10"/>
  <c r="R328" i="10"/>
  <c r="O328" i="10"/>
  <c r="M328" i="10"/>
  <c r="J328" i="10"/>
  <c r="H328" i="10"/>
  <c r="E328" i="10"/>
  <c r="C328" i="10"/>
  <c r="T327" i="10"/>
  <c r="R327" i="10"/>
  <c r="O327" i="10"/>
  <c r="M327" i="10"/>
  <c r="J327" i="10"/>
  <c r="H327" i="10"/>
  <c r="E327" i="10"/>
  <c r="C327" i="10"/>
  <c r="U324" i="10"/>
  <c r="S324" i="10"/>
  <c r="S325" i="10" s="1"/>
  <c r="P324" i="10"/>
  <c r="P325" i="10" s="1"/>
  <c r="N324" i="10"/>
  <c r="N325" i="10" s="1"/>
  <c r="K324" i="10"/>
  <c r="I324" i="10"/>
  <c r="I325" i="10" s="1"/>
  <c r="F324" i="10"/>
  <c r="D324" i="10"/>
  <c r="D325" i="10" s="1"/>
  <c r="U323" i="10"/>
  <c r="P323" i="10"/>
  <c r="K323" i="10"/>
  <c r="F323" i="10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7" i="10" s="1"/>
  <c r="A378" i="10" s="1"/>
  <c r="A379" i="10" s="1"/>
  <c r="A380" i="10" s="1"/>
  <c r="A381" i="10" s="1"/>
  <c r="U359" i="10"/>
  <c r="P359" i="10"/>
  <c r="R307" i="10"/>
  <c r="S307" i="10" s="1"/>
  <c r="M307" i="10"/>
  <c r="N307" i="10" s="1"/>
  <c r="H307" i="10"/>
  <c r="I307" i="10" s="1"/>
  <c r="C307" i="10"/>
  <c r="D307" i="10" s="1"/>
  <c r="R306" i="10"/>
  <c r="T306" i="10" s="1"/>
  <c r="M306" i="10"/>
  <c r="O306" i="10" s="1"/>
  <c r="H306" i="10"/>
  <c r="J306" i="10" s="1"/>
  <c r="C306" i="10"/>
  <c r="E306" i="10" s="1"/>
  <c r="U296" i="10"/>
  <c r="S296" i="10"/>
  <c r="N296" i="10"/>
  <c r="I296" i="10"/>
  <c r="D296" i="10"/>
  <c r="T295" i="10"/>
  <c r="U295" i="10" s="1"/>
  <c r="R295" i="10"/>
  <c r="S295" i="10" s="1"/>
  <c r="O295" i="10"/>
  <c r="P295" i="10" s="1"/>
  <c r="M295" i="10"/>
  <c r="N295" i="10" s="1"/>
  <c r="J295" i="10"/>
  <c r="K295" i="10" s="1"/>
  <c r="H295" i="10"/>
  <c r="I295" i="10" s="1"/>
  <c r="E295" i="10"/>
  <c r="F295" i="10" s="1"/>
  <c r="C295" i="10"/>
  <c r="D295" i="10" s="1"/>
  <c r="T294" i="10"/>
  <c r="R294" i="10"/>
  <c r="O294" i="10"/>
  <c r="M294" i="10"/>
  <c r="J294" i="10"/>
  <c r="H294" i="10"/>
  <c r="E294" i="10"/>
  <c r="C294" i="10"/>
  <c r="R290" i="10"/>
  <c r="M290" i="10"/>
  <c r="H290" i="10"/>
  <c r="C290" i="10"/>
  <c r="R289" i="10"/>
  <c r="M289" i="10"/>
  <c r="H289" i="10"/>
  <c r="C289" i="10"/>
  <c r="R285" i="10"/>
  <c r="S285" i="10" s="1"/>
  <c r="M285" i="10"/>
  <c r="N285" i="10" s="1"/>
  <c r="H285" i="10"/>
  <c r="I285" i="10" s="1"/>
  <c r="C285" i="10"/>
  <c r="D285" i="10" s="1"/>
  <c r="R284" i="10"/>
  <c r="S284" i="10" s="1"/>
  <c r="M284" i="10"/>
  <c r="N284" i="10" s="1"/>
  <c r="H284" i="10"/>
  <c r="I284" i="10" s="1"/>
  <c r="C284" i="10"/>
  <c r="D284" i="10" s="1"/>
  <c r="R283" i="10"/>
  <c r="S283" i="10" s="1"/>
  <c r="M283" i="10"/>
  <c r="N283" i="10" s="1"/>
  <c r="H283" i="10"/>
  <c r="I283" i="10" s="1"/>
  <c r="C283" i="10"/>
  <c r="D283" i="10" s="1"/>
  <c r="R282" i="10"/>
  <c r="S282" i="10" s="1"/>
  <c r="M282" i="10"/>
  <c r="N282" i="10" s="1"/>
  <c r="H282" i="10"/>
  <c r="I282" i="10" s="1"/>
  <c r="C282" i="10"/>
  <c r="D282" i="10" s="1"/>
  <c r="R281" i="10"/>
  <c r="S281" i="10" s="1"/>
  <c r="M281" i="10"/>
  <c r="N281" i="10" s="1"/>
  <c r="H281" i="10"/>
  <c r="I281" i="10" s="1"/>
  <c r="C281" i="10"/>
  <c r="D281" i="10" s="1"/>
  <c r="R280" i="10"/>
  <c r="S280" i="10" s="1"/>
  <c r="M280" i="10"/>
  <c r="N280" i="10" s="1"/>
  <c r="H280" i="10"/>
  <c r="I280" i="10" s="1"/>
  <c r="C280" i="10"/>
  <c r="D280" i="10" s="1"/>
  <c r="R279" i="10"/>
  <c r="S279" i="10" s="1"/>
  <c r="M279" i="10"/>
  <c r="N279" i="10" s="1"/>
  <c r="H279" i="10"/>
  <c r="I279" i="10" s="1"/>
  <c r="C279" i="10"/>
  <c r="D279" i="10" s="1"/>
  <c r="R278" i="10"/>
  <c r="S278" i="10" s="1"/>
  <c r="M278" i="10"/>
  <c r="N278" i="10" s="1"/>
  <c r="H278" i="10"/>
  <c r="I278" i="10" s="1"/>
  <c r="C278" i="10"/>
  <c r="D278" i="10" s="1"/>
  <c r="R277" i="10"/>
  <c r="S277" i="10" s="1"/>
  <c r="M277" i="10"/>
  <c r="N277" i="10" s="1"/>
  <c r="H277" i="10"/>
  <c r="I277" i="10" s="1"/>
  <c r="C277" i="10"/>
  <c r="D277" i="10" s="1"/>
  <c r="R276" i="10"/>
  <c r="S276" i="10" s="1"/>
  <c r="M276" i="10"/>
  <c r="N276" i="10" s="1"/>
  <c r="H276" i="10"/>
  <c r="I276" i="10" s="1"/>
  <c r="C276" i="10"/>
  <c r="D276" i="10" s="1"/>
  <c r="R274" i="10"/>
  <c r="S274" i="10" s="1"/>
  <c r="M274" i="10"/>
  <c r="N274" i="10" s="1"/>
  <c r="I274" i="10"/>
  <c r="H274" i="10"/>
  <c r="C274" i="10"/>
  <c r="D274" i="10" s="1"/>
  <c r="U273" i="10"/>
  <c r="S273" i="10"/>
  <c r="P273" i="10"/>
  <c r="N273" i="10"/>
  <c r="K273" i="10"/>
  <c r="I273" i="10"/>
  <c r="F273" i="10"/>
  <c r="D273" i="10"/>
  <c r="S272" i="10"/>
  <c r="R272" i="10"/>
  <c r="M272" i="10"/>
  <c r="N272" i="10" s="1"/>
  <c r="I272" i="10"/>
  <c r="H272" i="10"/>
  <c r="C272" i="10"/>
  <c r="D272" i="10" s="1"/>
  <c r="R271" i="10"/>
  <c r="S271" i="10" s="1"/>
  <c r="M271" i="10"/>
  <c r="N271" i="10" s="1"/>
  <c r="H271" i="10"/>
  <c r="I271" i="10" s="1"/>
  <c r="C271" i="10"/>
  <c r="D271" i="10" s="1"/>
  <c r="R270" i="10"/>
  <c r="S270" i="10" s="1"/>
  <c r="M270" i="10"/>
  <c r="N270" i="10" s="1"/>
  <c r="H270" i="10"/>
  <c r="I270" i="10" s="1"/>
  <c r="C270" i="10"/>
  <c r="D270" i="10" s="1"/>
  <c r="T266" i="10"/>
  <c r="R266" i="10"/>
  <c r="O266" i="10"/>
  <c r="M266" i="10"/>
  <c r="J266" i="10"/>
  <c r="H266" i="10"/>
  <c r="E266" i="10"/>
  <c r="C266" i="10"/>
  <c r="T265" i="10"/>
  <c r="R265" i="10"/>
  <c r="O265" i="10"/>
  <c r="M265" i="10"/>
  <c r="J265" i="10"/>
  <c r="H265" i="10"/>
  <c r="E265" i="10"/>
  <c r="C265" i="10"/>
  <c r="T264" i="10"/>
  <c r="R264" i="10"/>
  <c r="O264" i="10"/>
  <c r="M264" i="10"/>
  <c r="J264" i="10"/>
  <c r="H264" i="10"/>
  <c r="E264" i="10"/>
  <c r="C264" i="10"/>
  <c r="U261" i="10"/>
  <c r="U262" i="10" s="1"/>
  <c r="S261" i="10"/>
  <c r="S262" i="10" s="1"/>
  <c r="P261" i="10"/>
  <c r="P262" i="10" s="1"/>
  <c r="N261" i="10"/>
  <c r="N262" i="10" s="1"/>
  <c r="K261" i="10"/>
  <c r="K262" i="10" s="1"/>
  <c r="I261" i="10"/>
  <c r="I262" i="10" s="1"/>
  <c r="F261" i="10"/>
  <c r="D261" i="10"/>
  <c r="D262" i="10" s="1"/>
  <c r="U260" i="10"/>
  <c r="P260" i="10"/>
  <c r="K260" i="10"/>
  <c r="F260" i="10"/>
  <c r="A260" i="10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4" i="10" s="1"/>
  <c r="A315" i="10" s="1"/>
  <c r="A316" i="10" s="1"/>
  <c r="A317" i="10" s="1"/>
  <c r="A318" i="10" s="1"/>
  <c r="P296" i="10"/>
  <c r="K296" i="10"/>
  <c r="F296" i="10"/>
  <c r="R244" i="10"/>
  <c r="S244" i="10" s="1"/>
  <c r="M244" i="10"/>
  <c r="N244" i="10" s="1"/>
  <c r="H244" i="10"/>
  <c r="I244" i="10" s="1"/>
  <c r="C244" i="10"/>
  <c r="D244" i="10" s="1"/>
  <c r="S243" i="10"/>
  <c r="R243" i="10"/>
  <c r="T243" i="10" s="1"/>
  <c r="M243" i="10"/>
  <c r="O243" i="10" s="1"/>
  <c r="I243" i="10"/>
  <c r="H243" i="10"/>
  <c r="J243" i="10" s="1"/>
  <c r="C243" i="10"/>
  <c r="E243" i="10" s="1"/>
  <c r="U233" i="10"/>
  <c r="S233" i="10"/>
  <c r="N233" i="10"/>
  <c r="I233" i="10"/>
  <c r="D233" i="10"/>
  <c r="T232" i="10"/>
  <c r="U232" i="10" s="1"/>
  <c r="R232" i="10"/>
  <c r="S232" i="10" s="1"/>
  <c r="O232" i="10"/>
  <c r="P232" i="10" s="1"/>
  <c r="M232" i="10"/>
  <c r="N232" i="10" s="1"/>
  <c r="J232" i="10"/>
  <c r="K232" i="10" s="1"/>
  <c r="H232" i="10"/>
  <c r="I232" i="10" s="1"/>
  <c r="E232" i="10"/>
  <c r="F232" i="10" s="1"/>
  <c r="C232" i="10"/>
  <c r="D232" i="10" s="1"/>
  <c r="T231" i="10"/>
  <c r="R231" i="10"/>
  <c r="O231" i="10"/>
  <c r="M231" i="10"/>
  <c r="J231" i="10"/>
  <c r="H231" i="10"/>
  <c r="E231" i="10"/>
  <c r="C231" i="10"/>
  <c r="R227" i="10"/>
  <c r="M227" i="10"/>
  <c r="H227" i="10"/>
  <c r="C227" i="10"/>
  <c r="R226" i="10"/>
  <c r="M226" i="10"/>
  <c r="H226" i="10"/>
  <c r="C226" i="10"/>
  <c r="R222" i="10"/>
  <c r="S222" i="10" s="1"/>
  <c r="M222" i="10"/>
  <c r="N222" i="10" s="1"/>
  <c r="H222" i="10"/>
  <c r="I222" i="10" s="1"/>
  <c r="C222" i="10"/>
  <c r="D222" i="10" s="1"/>
  <c r="R221" i="10"/>
  <c r="S221" i="10" s="1"/>
  <c r="M221" i="10"/>
  <c r="N221" i="10" s="1"/>
  <c r="H221" i="10"/>
  <c r="I221" i="10" s="1"/>
  <c r="C221" i="10"/>
  <c r="D221" i="10" s="1"/>
  <c r="R220" i="10"/>
  <c r="S220" i="10" s="1"/>
  <c r="M220" i="10"/>
  <c r="N220" i="10" s="1"/>
  <c r="H220" i="10"/>
  <c r="I220" i="10" s="1"/>
  <c r="C220" i="10"/>
  <c r="D220" i="10" s="1"/>
  <c r="R219" i="10"/>
  <c r="S219" i="10" s="1"/>
  <c r="M219" i="10"/>
  <c r="N219" i="10" s="1"/>
  <c r="H219" i="10"/>
  <c r="I219" i="10" s="1"/>
  <c r="C219" i="10"/>
  <c r="D219" i="10" s="1"/>
  <c r="R218" i="10"/>
  <c r="S218" i="10" s="1"/>
  <c r="M218" i="10"/>
  <c r="N218" i="10" s="1"/>
  <c r="H218" i="10"/>
  <c r="I218" i="10" s="1"/>
  <c r="C218" i="10"/>
  <c r="D218" i="10" s="1"/>
  <c r="R217" i="10"/>
  <c r="S217" i="10" s="1"/>
  <c r="M217" i="10"/>
  <c r="N217" i="10" s="1"/>
  <c r="H217" i="10"/>
  <c r="I217" i="10" s="1"/>
  <c r="C217" i="10"/>
  <c r="D217" i="10" s="1"/>
  <c r="R216" i="10"/>
  <c r="S216" i="10" s="1"/>
  <c r="M216" i="10"/>
  <c r="N216" i="10" s="1"/>
  <c r="H216" i="10"/>
  <c r="I216" i="10" s="1"/>
  <c r="C216" i="10"/>
  <c r="D216" i="10" s="1"/>
  <c r="R215" i="10"/>
  <c r="S215" i="10" s="1"/>
  <c r="M215" i="10"/>
  <c r="N215" i="10" s="1"/>
  <c r="H215" i="10"/>
  <c r="I215" i="10" s="1"/>
  <c r="C215" i="10"/>
  <c r="D215" i="10" s="1"/>
  <c r="R214" i="10"/>
  <c r="S214" i="10" s="1"/>
  <c r="M214" i="10"/>
  <c r="N214" i="10" s="1"/>
  <c r="H214" i="10"/>
  <c r="I214" i="10" s="1"/>
  <c r="C214" i="10"/>
  <c r="D214" i="10" s="1"/>
  <c r="R213" i="10"/>
  <c r="S213" i="10" s="1"/>
  <c r="M213" i="10"/>
  <c r="N213" i="10" s="1"/>
  <c r="H213" i="10"/>
  <c r="I213" i="10" s="1"/>
  <c r="C213" i="10"/>
  <c r="D213" i="10" s="1"/>
  <c r="R211" i="10"/>
  <c r="S211" i="10" s="1"/>
  <c r="M211" i="10"/>
  <c r="N211" i="10" s="1"/>
  <c r="H211" i="10"/>
  <c r="I211" i="10" s="1"/>
  <c r="C211" i="10"/>
  <c r="D211" i="10" s="1"/>
  <c r="U210" i="10"/>
  <c r="S210" i="10"/>
  <c r="P210" i="10"/>
  <c r="N210" i="10"/>
  <c r="K210" i="10"/>
  <c r="I210" i="10"/>
  <c r="F210" i="10"/>
  <c r="D210" i="10"/>
  <c r="R209" i="10"/>
  <c r="S209" i="10" s="1"/>
  <c r="M209" i="10"/>
  <c r="N209" i="10" s="1"/>
  <c r="H209" i="10"/>
  <c r="I209" i="10" s="1"/>
  <c r="C209" i="10"/>
  <c r="D209" i="10" s="1"/>
  <c r="R208" i="10"/>
  <c r="S208" i="10" s="1"/>
  <c r="M208" i="10"/>
  <c r="N208" i="10" s="1"/>
  <c r="H208" i="10"/>
  <c r="I208" i="10" s="1"/>
  <c r="C208" i="10"/>
  <c r="D208" i="10" s="1"/>
  <c r="R207" i="10"/>
  <c r="S207" i="10" s="1"/>
  <c r="M207" i="10"/>
  <c r="N207" i="10" s="1"/>
  <c r="H207" i="10"/>
  <c r="I207" i="10" s="1"/>
  <c r="C207" i="10"/>
  <c r="D207" i="10" s="1"/>
  <c r="T203" i="10"/>
  <c r="R203" i="10"/>
  <c r="O203" i="10"/>
  <c r="M203" i="10"/>
  <c r="J203" i="10"/>
  <c r="H203" i="10"/>
  <c r="E203" i="10"/>
  <c r="C203" i="10"/>
  <c r="T202" i="10"/>
  <c r="R202" i="10"/>
  <c r="O202" i="10"/>
  <c r="M202" i="10"/>
  <c r="J202" i="10"/>
  <c r="H202" i="10"/>
  <c r="E202" i="10"/>
  <c r="C202" i="10"/>
  <c r="T201" i="10"/>
  <c r="R201" i="10"/>
  <c r="O201" i="10"/>
  <c r="M201" i="10"/>
  <c r="J201" i="10"/>
  <c r="H201" i="10"/>
  <c r="E201" i="10"/>
  <c r="C201" i="10"/>
  <c r="U198" i="10"/>
  <c r="U199" i="10" s="1"/>
  <c r="S198" i="10"/>
  <c r="S199" i="10" s="1"/>
  <c r="P198" i="10"/>
  <c r="N198" i="10"/>
  <c r="N199" i="10" s="1"/>
  <c r="K198" i="10"/>
  <c r="K199" i="10" s="1"/>
  <c r="I198" i="10"/>
  <c r="I199" i="10" s="1"/>
  <c r="F198" i="10"/>
  <c r="D198" i="10"/>
  <c r="D199" i="10" s="1"/>
  <c r="U197" i="10"/>
  <c r="P197" i="10"/>
  <c r="K197" i="10"/>
  <c r="F197" i="10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1" i="10" s="1"/>
  <c r="A252" i="10" s="1"/>
  <c r="A253" i="10" s="1"/>
  <c r="A254" i="10" s="1"/>
  <c r="A255" i="10" s="1"/>
  <c r="P233" i="10"/>
  <c r="K233" i="10"/>
  <c r="F233" i="10"/>
  <c r="R181" i="10"/>
  <c r="S181" i="10" s="1"/>
  <c r="M181" i="10"/>
  <c r="N181" i="10" s="1"/>
  <c r="H181" i="10"/>
  <c r="I181" i="10" s="1"/>
  <c r="C181" i="10"/>
  <c r="D181" i="10" s="1"/>
  <c r="R180" i="10"/>
  <c r="M180" i="10"/>
  <c r="O180" i="10" s="1"/>
  <c r="P180" i="10" s="1"/>
  <c r="H180" i="10"/>
  <c r="C180" i="10"/>
  <c r="E180" i="10" s="1"/>
  <c r="S170" i="10"/>
  <c r="N170" i="10"/>
  <c r="I170" i="10"/>
  <c r="D170" i="10"/>
  <c r="T169" i="10"/>
  <c r="U169" i="10" s="1"/>
  <c r="R169" i="10"/>
  <c r="S169" i="10" s="1"/>
  <c r="O169" i="10"/>
  <c r="P169" i="10" s="1"/>
  <c r="M169" i="10"/>
  <c r="N169" i="10" s="1"/>
  <c r="J169" i="10"/>
  <c r="K169" i="10" s="1"/>
  <c r="H169" i="10"/>
  <c r="I169" i="10" s="1"/>
  <c r="E169" i="10"/>
  <c r="F169" i="10" s="1"/>
  <c r="C169" i="10"/>
  <c r="D169" i="10" s="1"/>
  <c r="T168" i="10"/>
  <c r="R168" i="10"/>
  <c r="O168" i="10"/>
  <c r="M168" i="10"/>
  <c r="J168" i="10"/>
  <c r="H168" i="10"/>
  <c r="E168" i="10"/>
  <c r="C168" i="10"/>
  <c r="R164" i="10"/>
  <c r="M164" i="10"/>
  <c r="H164" i="10"/>
  <c r="C164" i="10"/>
  <c r="R163" i="10"/>
  <c r="M163" i="10"/>
  <c r="H163" i="10"/>
  <c r="C163" i="10"/>
  <c r="R159" i="10"/>
  <c r="S159" i="10" s="1"/>
  <c r="M159" i="10"/>
  <c r="N159" i="10" s="1"/>
  <c r="H159" i="10"/>
  <c r="I159" i="10" s="1"/>
  <c r="C159" i="10"/>
  <c r="D159" i="10" s="1"/>
  <c r="R158" i="10"/>
  <c r="S158" i="10" s="1"/>
  <c r="M158" i="10"/>
  <c r="N158" i="10" s="1"/>
  <c r="H158" i="10"/>
  <c r="I158" i="10" s="1"/>
  <c r="C158" i="10"/>
  <c r="D158" i="10" s="1"/>
  <c r="R157" i="10"/>
  <c r="S157" i="10" s="1"/>
  <c r="M157" i="10"/>
  <c r="N157" i="10" s="1"/>
  <c r="H157" i="10"/>
  <c r="I157" i="10" s="1"/>
  <c r="C157" i="10"/>
  <c r="D157" i="10" s="1"/>
  <c r="R156" i="10"/>
  <c r="S156" i="10" s="1"/>
  <c r="M156" i="10"/>
  <c r="N156" i="10" s="1"/>
  <c r="H156" i="10"/>
  <c r="I156" i="10" s="1"/>
  <c r="C156" i="10"/>
  <c r="D156" i="10" s="1"/>
  <c r="R155" i="10"/>
  <c r="M155" i="10"/>
  <c r="H155" i="10"/>
  <c r="I155" i="10" s="1"/>
  <c r="C155" i="10"/>
  <c r="D155" i="10" s="1"/>
  <c r="R154" i="10"/>
  <c r="S154" i="10" s="1"/>
  <c r="M154" i="10"/>
  <c r="N154" i="10" s="1"/>
  <c r="H154" i="10"/>
  <c r="I154" i="10" s="1"/>
  <c r="C154" i="10"/>
  <c r="D154" i="10" s="1"/>
  <c r="R153" i="10"/>
  <c r="S153" i="10" s="1"/>
  <c r="M153" i="10"/>
  <c r="N153" i="10" s="1"/>
  <c r="H153" i="10"/>
  <c r="I153" i="10" s="1"/>
  <c r="C153" i="10"/>
  <c r="D153" i="10" s="1"/>
  <c r="R152" i="10"/>
  <c r="S152" i="10" s="1"/>
  <c r="M152" i="10"/>
  <c r="N152" i="10" s="1"/>
  <c r="H152" i="10"/>
  <c r="I152" i="10" s="1"/>
  <c r="C152" i="10"/>
  <c r="D152" i="10" s="1"/>
  <c r="R151" i="10"/>
  <c r="S151" i="10" s="1"/>
  <c r="M151" i="10"/>
  <c r="N151" i="10" s="1"/>
  <c r="H151" i="10"/>
  <c r="I151" i="10" s="1"/>
  <c r="C151" i="10"/>
  <c r="D151" i="10" s="1"/>
  <c r="R150" i="10"/>
  <c r="S150" i="10" s="1"/>
  <c r="M150" i="10"/>
  <c r="N150" i="10" s="1"/>
  <c r="H150" i="10"/>
  <c r="I150" i="10" s="1"/>
  <c r="C150" i="10"/>
  <c r="D150" i="10" s="1"/>
  <c r="R148" i="10"/>
  <c r="S148" i="10" s="1"/>
  <c r="M148" i="10"/>
  <c r="N148" i="10" s="1"/>
  <c r="H148" i="10"/>
  <c r="I148" i="10" s="1"/>
  <c r="C148" i="10"/>
  <c r="D148" i="10" s="1"/>
  <c r="U147" i="10"/>
  <c r="S147" i="10"/>
  <c r="P147" i="10"/>
  <c r="N147" i="10"/>
  <c r="K147" i="10"/>
  <c r="I147" i="10"/>
  <c r="F147" i="10"/>
  <c r="D147" i="10"/>
  <c r="R146" i="10"/>
  <c r="S146" i="10" s="1"/>
  <c r="M146" i="10"/>
  <c r="N146" i="10" s="1"/>
  <c r="H146" i="10"/>
  <c r="I146" i="10" s="1"/>
  <c r="C146" i="10"/>
  <c r="D146" i="10" s="1"/>
  <c r="R145" i="10"/>
  <c r="S145" i="10" s="1"/>
  <c r="M145" i="10"/>
  <c r="N145" i="10" s="1"/>
  <c r="H145" i="10"/>
  <c r="I145" i="10" s="1"/>
  <c r="C145" i="10"/>
  <c r="D145" i="10" s="1"/>
  <c r="R144" i="10"/>
  <c r="S144" i="10" s="1"/>
  <c r="M144" i="10"/>
  <c r="N144" i="10" s="1"/>
  <c r="H144" i="10"/>
  <c r="I144" i="10" s="1"/>
  <c r="C144" i="10"/>
  <c r="D144" i="10" s="1"/>
  <c r="T140" i="10"/>
  <c r="R140" i="10"/>
  <c r="O140" i="10"/>
  <c r="M140" i="10"/>
  <c r="J140" i="10"/>
  <c r="H140" i="10"/>
  <c r="E140" i="10"/>
  <c r="C140" i="10"/>
  <c r="T139" i="10"/>
  <c r="R139" i="10"/>
  <c r="O139" i="10"/>
  <c r="M139" i="10"/>
  <c r="J139" i="10"/>
  <c r="H139" i="10"/>
  <c r="E139" i="10"/>
  <c r="C139" i="10"/>
  <c r="T138" i="10"/>
  <c r="R138" i="10"/>
  <c r="O138" i="10"/>
  <c r="M138" i="10"/>
  <c r="J138" i="10"/>
  <c r="H138" i="10"/>
  <c r="E138" i="10"/>
  <c r="C138" i="10"/>
  <c r="U135" i="10"/>
  <c r="S135" i="10"/>
  <c r="S136" i="10" s="1"/>
  <c r="P135" i="10"/>
  <c r="N135" i="10"/>
  <c r="N136" i="10" s="1"/>
  <c r="K135" i="10"/>
  <c r="I135" i="10"/>
  <c r="I136" i="10" s="1"/>
  <c r="F135" i="10"/>
  <c r="D135" i="10"/>
  <c r="D136" i="10" s="1"/>
  <c r="U134" i="10"/>
  <c r="P134" i="10"/>
  <c r="K134" i="10"/>
  <c r="F134" i="10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8" i="10" s="1"/>
  <c r="A189" i="10" s="1"/>
  <c r="A190" i="10" s="1"/>
  <c r="A191" i="10" s="1"/>
  <c r="A192" i="10" s="1"/>
  <c r="U170" i="10"/>
  <c r="P170" i="10"/>
  <c r="K170" i="10"/>
  <c r="F170" i="10"/>
  <c r="R118" i="10"/>
  <c r="S118" i="10" s="1"/>
  <c r="M118" i="10"/>
  <c r="N118" i="10" s="1"/>
  <c r="H118" i="10"/>
  <c r="I118" i="10" s="1"/>
  <c r="C118" i="10"/>
  <c r="D118" i="10" s="1"/>
  <c r="R117" i="10"/>
  <c r="T117" i="10" s="1"/>
  <c r="U117" i="10" s="1"/>
  <c r="M117" i="10"/>
  <c r="H117" i="10"/>
  <c r="J117" i="10" s="1"/>
  <c r="C117" i="10"/>
  <c r="S107" i="10"/>
  <c r="N107" i="10"/>
  <c r="I107" i="10"/>
  <c r="D107" i="10"/>
  <c r="T106" i="10"/>
  <c r="U106" i="10" s="1"/>
  <c r="R106" i="10"/>
  <c r="S106" i="10" s="1"/>
  <c r="O106" i="10"/>
  <c r="P106" i="10" s="1"/>
  <c r="M106" i="10"/>
  <c r="N106" i="10" s="1"/>
  <c r="J106" i="10"/>
  <c r="K106" i="10" s="1"/>
  <c r="H106" i="10"/>
  <c r="I106" i="10" s="1"/>
  <c r="E106" i="10"/>
  <c r="F106" i="10" s="1"/>
  <c r="C106" i="10"/>
  <c r="D106" i="10" s="1"/>
  <c r="T105" i="10"/>
  <c r="R105" i="10"/>
  <c r="O105" i="10"/>
  <c r="M105" i="10"/>
  <c r="J105" i="10"/>
  <c r="H105" i="10"/>
  <c r="E105" i="10"/>
  <c r="C105" i="10"/>
  <c r="R101" i="10"/>
  <c r="M101" i="10"/>
  <c r="H101" i="10"/>
  <c r="C101" i="10"/>
  <c r="R100" i="10"/>
  <c r="M100" i="10"/>
  <c r="H100" i="10"/>
  <c r="C100" i="10"/>
  <c r="R96" i="10"/>
  <c r="S96" i="10" s="1"/>
  <c r="M96" i="10"/>
  <c r="N96" i="10" s="1"/>
  <c r="H96" i="10"/>
  <c r="I96" i="10" s="1"/>
  <c r="C96" i="10"/>
  <c r="D96" i="10" s="1"/>
  <c r="R95" i="10"/>
  <c r="S95" i="10" s="1"/>
  <c r="M95" i="10"/>
  <c r="N95" i="10" s="1"/>
  <c r="H95" i="10"/>
  <c r="I95" i="10" s="1"/>
  <c r="C95" i="10"/>
  <c r="D95" i="10" s="1"/>
  <c r="R94" i="10"/>
  <c r="S94" i="10" s="1"/>
  <c r="M94" i="10"/>
  <c r="N94" i="10" s="1"/>
  <c r="H94" i="10"/>
  <c r="I94" i="10" s="1"/>
  <c r="C94" i="10"/>
  <c r="D94" i="10" s="1"/>
  <c r="R93" i="10"/>
  <c r="S93" i="10" s="1"/>
  <c r="M93" i="10"/>
  <c r="N93" i="10" s="1"/>
  <c r="H93" i="10"/>
  <c r="I93" i="10" s="1"/>
  <c r="C93" i="10"/>
  <c r="D93" i="10" s="1"/>
  <c r="R92" i="10"/>
  <c r="S92" i="10" s="1"/>
  <c r="M92" i="10"/>
  <c r="N92" i="10" s="1"/>
  <c r="H92" i="10"/>
  <c r="I92" i="10" s="1"/>
  <c r="C92" i="10"/>
  <c r="D92" i="10" s="1"/>
  <c r="R91" i="10"/>
  <c r="S91" i="10" s="1"/>
  <c r="M91" i="10"/>
  <c r="N91" i="10" s="1"/>
  <c r="H91" i="10"/>
  <c r="I91" i="10" s="1"/>
  <c r="C91" i="10"/>
  <c r="D91" i="10" s="1"/>
  <c r="R90" i="10"/>
  <c r="S90" i="10" s="1"/>
  <c r="M90" i="10"/>
  <c r="N90" i="10" s="1"/>
  <c r="H90" i="10"/>
  <c r="I90" i="10" s="1"/>
  <c r="C90" i="10"/>
  <c r="D90" i="10" s="1"/>
  <c r="R89" i="10"/>
  <c r="S89" i="10" s="1"/>
  <c r="M89" i="10"/>
  <c r="N89" i="10" s="1"/>
  <c r="H89" i="10"/>
  <c r="I89" i="10" s="1"/>
  <c r="C89" i="10"/>
  <c r="D89" i="10" s="1"/>
  <c r="R88" i="10"/>
  <c r="S88" i="10" s="1"/>
  <c r="M88" i="10"/>
  <c r="N88" i="10" s="1"/>
  <c r="H88" i="10"/>
  <c r="I88" i="10" s="1"/>
  <c r="C88" i="10"/>
  <c r="D88" i="10" s="1"/>
  <c r="R87" i="10"/>
  <c r="S87" i="10" s="1"/>
  <c r="M87" i="10"/>
  <c r="N87" i="10" s="1"/>
  <c r="H87" i="10"/>
  <c r="I87" i="10" s="1"/>
  <c r="C87" i="10"/>
  <c r="D87" i="10" s="1"/>
  <c r="R85" i="10"/>
  <c r="S85" i="10" s="1"/>
  <c r="M85" i="10"/>
  <c r="N85" i="10" s="1"/>
  <c r="H85" i="10"/>
  <c r="I85" i="10" s="1"/>
  <c r="C85" i="10"/>
  <c r="D85" i="10" s="1"/>
  <c r="R84" i="10"/>
  <c r="S84" i="10" s="1"/>
  <c r="M84" i="10"/>
  <c r="N84" i="10" s="1"/>
  <c r="H84" i="10"/>
  <c r="I84" i="10" s="1"/>
  <c r="C84" i="10"/>
  <c r="D84" i="10" s="1"/>
  <c r="R83" i="10"/>
  <c r="S83" i="10" s="1"/>
  <c r="M83" i="10"/>
  <c r="N83" i="10" s="1"/>
  <c r="H83" i="10"/>
  <c r="I83" i="10" s="1"/>
  <c r="C83" i="10"/>
  <c r="D83" i="10" s="1"/>
  <c r="R82" i="10"/>
  <c r="S82" i="10" s="1"/>
  <c r="M82" i="10"/>
  <c r="N82" i="10" s="1"/>
  <c r="H82" i="10"/>
  <c r="I82" i="10" s="1"/>
  <c r="C82" i="10"/>
  <c r="D82" i="10" s="1"/>
  <c r="R81" i="10"/>
  <c r="S81" i="10" s="1"/>
  <c r="M81" i="10"/>
  <c r="N81" i="10" s="1"/>
  <c r="H81" i="10"/>
  <c r="I81" i="10" s="1"/>
  <c r="C81" i="10"/>
  <c r="D81" i="10" s="1"/>
  <c r="T77" i="10"/>
  <c r="R77" i="10"/>
  <c r="O77" i="10"/>
  <c r="M77" i="10"/>
  <c r="J77" i="10"/>
  <c r="H77" i="10"/>
  <c r="E77" i="10"/>
  <c r="C77" i="10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U72" i="10"/>
  <c r="U73" i="10" s="1"/>
  <c r="S72" i="10"/>
  <c r="S73" i="10" s="1"/>
  <c r="P72" i="10"/>
  <c r="N72" i="10"/>
  <c r="N73" i="10" s="1"/>
  <c r="K72" i="10"/>
  <c r="I72" i="10"/>
  <c r="I73" i="10" s="1"/>
  <c r="F72" i="10"/>
  <c r="D72" i="10"/>
  <c r="D73" i="10" s="1"/>
  <c r="U71" i="10"/>
  <c r="P71" i="10"/>
  <c r="K71" i="10"/>
  <c r="F71" i="10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5" i="10" s="1"/>
  <c r="A126" i="10" s="1"/>
  <c r="A127" i="10" s="1"/>
  <c r="A128" i="10" s="1"/>
  <c r="A129" i="10" s="1"/>
  <c r="U107" i="10"/>
  <c r="S117" i="10" l="1"/>
  <c r="D243" i="10"/>
  <c r="N243" i="10"/>
  <c r="T281" i="10"/>
  <c r="U281" i="10" s="1"/>
  <c r="O344" i="10"/>
  <c r="P344" i="10" s="1"/>
  <c r="O470" i="10"/>
  <c r="P470" i="10" s="1"/>
  <c r="S315" i="11"/>
  <c r="N189" i="11"/>
  <c r="O281" i="10"/>
  <c r="P281" i="10" s="1"/>
  <c r="T470" i="10"/>
  <c r="U470" i="10" s="1"/>
  <c r="F109" i="11"/>
  <c r="L235" i="12"/>
  <c r="L236" i="12" s="1"/>
  <c r="N126" i="11"/>
  <c r="N189" i="10"/>
  <c r="O155" i="10"/>
  <c r="P155" i="10" s="1"/>
  <c r="N155" i="10"/>
  <c r="A12" i="22"/>
  <c r="A13" i="22" s="1"/>
  <c r="A14" i="22" s="1"/>
  <c r="A15" i="22" s="1"/>
  <c r="A16" i="22" s="1"/>
  <c r="T180" i="10"/>
  <c r="S180" i="10"/>
  <c r="J180" i="10"/>
  <c r="K180" i="10" s="1"/>
  <c r="I180" i="10"/>
  <c r="D126" i="10"/>
  <c r="E117" i="10"/>
  <c r="F117" i="10" s="1"/>
  <c r="D117" i="10"/>
  <c r="O117" i="10"/>
  <c r="P117" i="10" s="1"/>
  <c r="N117" i="10"/>
  <c r="S315" i="10"/>
  <c r="D378" i="10"/>
  <c r="I126" i="10"/>
  <c r="S189" i="10"/>
  <c r="T155" i="10"/>
  <c r="U155" i="10" s="1"/>
  <c r="S155" i="10"/>
  <c r="S252" i="10"/>
  <c r="O218" i="10"/>
  <c r="P218" i="10" s="1"/>
  <c r="D315" i="10"/>
  <c r="D306" i="10"/>
  <c r="N306" i="10"/>
  <c r="I378" i="10"/>
  <c r="T344" i="10"/>
  <c r="U344" i="10" s="1"/>
  <c r="I441" i="10"/>
  <c r="D432" i="10"/>
  <c r="N432" i="10"/>
  <c r="D504" i="10"/>
  <c r="D495" i="10"/>
  <c r="N495" i="10"/>
  <c r="K306" i="11"/>
  <c r="N228" i="11"/>
  <c r="P114" i="12"/>
  <c r="I189" i="11"/>
  <c r="N252" i="10"/>
  <c r="D441" i="10"/>
  <c r="S504" i="10"/>
  <c r="N126" i="10"/>
  <c r="D189" i="10"/>
  <c r="D252" i="10"/>
  <c r="I315" i="10"/>
  <c r="N378" i="10"/>
  <c r="N441" i="10"/>
  <c r="I504" i="10"/>
  <c r="P180" i="11"/>
  <c r="I235" i="11"/>
  <c r="P281" i="11"/>
  <c r="P92" i="11"/>
  <c r="S126" i="10"/>
  <c r="I117" i="10"/>
  <c r="I189" i="10"/>
  <c r="D180" i="10"/>
  <c r="N180" i="10"/>
  <c r="I252" i="10"/>
  <c r="T218" i="10"/>
  <c r="U218" i="10" s="1"/>
  <c r="N315" i="10"/>
  <c r="I306" i="10"/>
  <c r="S306" i="10"/>
  <c r="S378" i="10"/>
  <c r="S441" i="10"/>
  <c r="I432" i="10"/>
  <c r="S432" i="10"/>
  <c r="N504" i="10"/>
  <c r="I495" i="10"/>
  <c r="S495" i="10"/>
  <c r="N172" i="11"/>
  <c r="D228" i="11"/>
  <c r="I291" i="11"/>
  <c r="G109" i="12"/>
  <c r="G110" i="12" s="1"/>
  <c r="S226" i="11"/>
  <c r="S228" i="11" s="1"/>
  <c r="V235" i="12"/>
  <c r="V236" i="12" s="1"/>
  <c r="F235" i="12"/>
  <c r="G235" i="12" s="1"/>
  <c r="G236" i="12" s="1"/>
  <c r="N240" i="12"/>
  <c r="P238" i="12"/>
  <c r="P239" i="12" s="1"/>
  <c r="F168" i="12"/>
  <c r="F172" i="12" s="1"/>
  <c r="G172" i="12" s="1"/>
  <c r="G173" i="12" s="1"/>
  <c r="N175" i="12"/>
  <c r="N176" i="12" s="1"/>
  <c r="P175" i="12"/>
  <c r="P176" i="12"/>
  <c r="P177" i="12" s="1"/>
  <c r="K168" i="12"/>
  <c r="K172" i="12" s="1"/>
  <c r="L172" i="12" s="1"/>
  <c r="L173" i="12" s="1"/>
  <c r="N113" i="12"/>
  <c r="N112" i="12"/>
  <c r="V109" i="12"/>
  <c r="V110" i="12" s="1"/>
  <c r="K294" i="10"/>
  <c r="I101" i="10"/>
  <c r="I100" i="10"/>
  <c r="I164" i="10"/>
  <c r="I163" i="10"/>
  <c r="U294" i="10"/>
  <c r="U298" i="10" s="1"/>
  <c r="U231" i="10"/>
  <c r="S226" i="10"/>
  <c r="S227" i="10"/>
  <c r="I164" i="11"/>
  <c r="I163" i="11"/>
  <c r="D227" i="10"/>
  <c r="D226" i="10"/>
  <c r="N227" i="10"/>
  <c r="N226" i="10"/>
  <c r="P294" i="10"/>
  <c r="D415" i="10"/>
  <c r="D416" i="10"/>
  <c r="N416" i="10"/>
  <c r="N415" i="10"/>
  <c r="S101" i="11"/>
  <c r="S100" i="11"/>
  <c r="N289" i="11"/>
  <c r="N290" i="11"/>
  <c r="S101" i="10"/>
  <c r="S100" i="10"/>
  <c r="I416" i="10"/>
  <c r="I415" i="10"/>
  <c r="S416" i="10"/>
  <c r="S415" i="10"/>
  <c r="D101" i="10"/>
  <c r="D100" i="10"/>
  <c r="N100" i="10"/>
  <c r="N101" i="10"/>
  <c r="D168" i="10"/>
  <c r="D172" i="10" s="1"/>
  <c r="D164" i="10"/>
  <c r="D163" i="10"/>
  <c r="N168" i="10"/>
  <c r="N172" i="10" s="1"/>
  <c r="N164" i="10"/>
  <c r="N163" i="10"/>
  <c r="I289" i="10"/>
  <c r="I290" i="10"/>
  <c r="S290" i="10"/>
  <c r="S289" i="10"/>
  <c r="I352" i="10"/>
  <c r="I353" i="10"/>
  <c r="S352" i="10"/>
  <c r="S353" i="10"/>
  <c r="I479" i="10"/>
  <c r="I478" i="10"/>
  <c r="S479" i="10"/>
  <c r="S478" i="10"/>
  <c r="S164" i="11"/>
  <c r="S163" i="11"/>
  <c r="I227" i="10"/>
  <c r="I226" i="10"/>
  <c r="S164" i="10"/>
  <c r="S163" i="10"/>
  <c r="K231" i="10"/>
  <c r="K235" i="10" s="1"/>
  <c r="D290" i="10"/>
  <c r="D289" i="10"/>
  <c r="N290" i="10"/>
  <c r="N289" i="10"/>
  <c r="D353" i="10"/>
  <c r="D352" i="10"/>
  <c r="N353" i="10"/>
  <c r="N352" i="10"/>
  <c r="D483" i="10"/>
  <c r="D479" i="10"/>
  <c r="D478" i="10"/>
  <c r="N483" i="10"/>
  <c r="N487" i="10" s="1"/>
  <c r="N479" i="10"/>
  <c r="N478" i="10"/>
  <c r="I101" i="11"/>
  <c r="I100" i="11"/>
  <c r="N100" i="11"/>
  <c r="N101" i="11"/>
  <c r="N163" i="11"/>
  <c r="N164" i="11"/>
  <c r="S290" i="11"/>
  <c r="S289" i="11"/>
  <c r="I298" i="11"/>
  <c r="S294" i="11"/>
  <c r="S298" i="11" s="1"/>
  <c r="K233" i="11"/>
  <c r="K243" i="11"/>
  <c r="K199" i="11"/>
  <c r="K231" i="11" s="1"/>
  <c r="K235" i="11" s="1"/>
  <c r="L235" i="11" s="1"/>
  <c r="L236" i="11" s="1"/>
  <c r="K180" i="11"/>
  <c r="U180" i="11"/>
  <c r="K296" i="11"/>
  <c r="K262" i="11"/>
  <c r="F294" i="11"/>
  <c r="F298" i="11" s="1"/>
  <c r="G298" i="11" s="1"/>
  <c r="G299" i="11" s="1"/>
  <c r="P294" i="11"/>
  <c r="P298" i="11" s="1"/>
  <c r="U294" i="11"/>
  <c r="U298" i="11" s="1"/>
  <c r="N294" i="11"/>
  <c r="N298" i="11" s="1"/>
  <c r="P231" i="11"/>
  <c r="P235" i="11" s="1"/>
  <c r="Q235" i="11" s="1"/>
  <c r="Q236" i="11" s="1"/>
  <c r="F231" i="11"/>
  <c r="F235" i="11" s="1"/>
  <c r="G235" i="11" s="1"/>
  <c r="G236" i="11" s="1"/>
  <c r="U231" i="11"/>
  <c r="U235" i="11" s="1"/>
  <c r="V235" i="11" s="1"/>
  <c r="V236" i="11" s="1"/>
  <c r="U170" i="11"/>
  <c r="U136" i="11"/>
  <c r="P170" i="11"/>
  <c r="P136" i="11"/>
  <c r="I168" i="11"/>
  <c r="I172" i="11" s="1"/>
  <c r="K170" i="11"/>
  <c r="K136" i="11"/>
  <c r="F168" i="11"/>
  <c r="F172" i="11" s="1"/>
  <c r="G172" i="11" s="1"/>
  <c r="G173" i="11" s="1"/>
  <c r="S105" i="11"/>
  <c r="S109" i="11" s="1"/>
  <c r="P117" i="11"/>
  <c r="P107" i="11"/>
  <c r="P73" i="11"/>
  <c r="U107" i="11"/>
  <c r="U73" i="11"/>
  <c r="U117" i="11"/>
  <c r="K105" i="11"/>
  <c r="K109" i="11" s="1"/>
  <c r="G109" i="11"/>
  <c r="G110" i="11" s="1"/>
  <c r="I105" i="11"/>
  <c r="I109" i="11" s="1"/>
  <c r="N105" i="11"/>
  <c r="N109" i="11" s="1"/>
  <c r="U235" i="10"/>
  <c r="P298" i="10"/>
  <c r="D487" i="10"/>
  <c r="P73" i="10"/>
  <c r="I168" i="10"/>
  <c r="I172" i="10" s="1"/>
  <c r="F73" i="10"/>
  <c r="F495" i="10"/>
  <c r="F180" i="10"/>
  <c r="I483" i="10"/>
  <c r="I487" i="10" s="1"/>
  <c r="S483" i="10"/>
  <c r="S487" i="10" s="1"/>
  <c r="F451" i="10"/>
  <c r="P451" i="10"/>
  <c r="K495" i="10"/>
  <c r="U495" i="10"/>
  <c r="K483" i="10"/>
  <c r="K487" i="10" s="1"/>
  <c r="U451" i="10"/>
  <c r="D420" i="10"/>
  <c r="D424" i="10" s="1"/>
  <c r="U420" i="10"/>
  <c r="U424" i="10" s="1"/>
  <c r="F388" i="10"/>
  <c r="O407" i="10"/>
  <c r="P407" i="10" s="1"/>
  <c r="P420" i="10"/>
  <c r="P424" i="10" s="1"/>
  <c r="N420" i="10"/>
  <c r="N424" i="10" s="1"/>
  <c r="I420" i="10"/>
  <c r="I424" i="10" s="1"/>
  <c r="S420" i="10"/>
  <c r="S424" i="10" s="1"/>
  <c r="K420" i="10"/>
  <c r="K424" i="10" s="1"/>
  <c r="T407" i="10"/>
  <c r="U407" i="10" s="1"/>
  <c r="F432" i="10"/>
  <c r="P432" i="10"/>
  <c r="I357" i="10"/>
  <c r="I361" i="10" s="1"/>
  <c r="P357" i="10"/>
  <c r="P361" i="10" s="1"/>
  <c r="S357" i="10"/>
  <c r="S361" i="10" s="1"/>
  <c r="E369" i="10"/>
  <c r="F369" i="10" s="1"/>
  <c r="D369" i="10"/>
  <c r="K325" i="10"/>
  <c r="D357" i="10"/>
  <c r="D361" i="10" s="1"/>
  <c r="K359" i="10"/>
  <c r="F359" i="10"/>
  <c r="F325" i="10"/>
  <c r="N357" i="10"/>
  <c r="N361" i="10" s="1"/>
  <c r="O369" i="10"/>
  <c r="P369" i="10" s="1"/>
  <c r="N369" i="10"/>
  <c r="U325" i="10"/>
  <c r="K369" i="10"/>
  <c r="U369" i="10"/>
  <c r="I369" i="10"/>
  <c r="S369" i="10"/>
  <c r="D294" i="10"/>
  <c r="D298" i="10" s="1"/>
  <c r="N294" i="10"/>
  <c r="N298" i="10" s="1"/>
  <c r="I294" i="10"/>
  <c r="I298" i="10" s="1"/>
  <c r="S294" i="10"/>
  <c r="S298" i="10" s="1"/>
  <c r="K298" i="10"/>
  <c r="F262" i="10"/>
  <c r="K306" i="10"/>
  <c r="U306" i="10"/>
  <c r="F306" i="10"/>
  <c r="P306" i="10"/>
  <c r="D231" i="10"/>
  <c r="D235" i="10" s="1"/>
  <c r="N231" i="10"/>
  <c r="N235" i="10" s="1"/>
  <c r="S231" i="10"/>
  <c r="S235" i="10" s="1"/>
  <c r="V235" i="10" s="1"/>
  <c r="V236" i="10" s="1"/>
  <c r="I231" i="10"/>
  <c r="I235" i="10" s="1"/>
  <c r="F199" i="10"/>
  <c r="P199" i="10"/>
  <c r="K243" i="10"/>
  <c r="U243" i="10"/>
  <c r="F243" i="10"/>
  <c r="P243" i="10"/>
  <c r="F136" i="10"/>
  <c r="P136" i="10"/>
  <c r="S168" i="10"/>
  <c r="S172" i="10" s="1"/>
  <c r="U180" i="10"/>
  <c r="K136" i="10"/>
  <c r="U136" i="10"/>
  <c r="D105" i="10"/>
  <c r="D109" i="10" s="1"/>
  <c r="N105" i="10"/>
  <c r="N109" i="10" s="1"/>
  <c r="I105" i="10"/>
  <c r="I109" i="10" s="1"/>
  <c r="K107" i="10"/>
  <c r="K73" i="10"/>
  <c r="K117" i="10"/>
  <c r="U105" i="10"/>
  <c r="U109" i="10" s="1"/>
  <c r="S105" i="10"/>
  <c r="S109" i="10" s="1"/>
  <c r="F107" i="10"/>
  <c r="T92" i="10"/>
  <c r="U92" i="10" s="1"/>
  <c r="P107" i="10"/>
  <c r="O92" i="10"/>
  <c r="P92" i="10" s="1"/>
  <c r="I165" i="11" l="1"/>
  <c r="N114" i="12"/>
  <c r="Q114" i="12" s="1"/>
  <c r="Q115" i="12" s="1"/>
  <c r="S291" i="11"/>
  <c r="S102" i="11"/>
  <c r="V298" i="11"/>
  <c r="V299" i="11" s="1"/>
  <c r="P240" i="12"/>
  <c r="Q240" i="12" s="1"/>
  <c r="Q241" i="12" s="1"/>
  <c r="I102" i="11"/>
  <c r="V298" i="10"/>
  <c r="V299" i="10" s="1"/>
  <c r="N177" i="12"/>
  <c r="Q177" i="12" s="1"/>
  <c r="Q178" i="12" s="1"/>
  <c r="F168" i="10"/>
  <c r="F172" i="10" s="1"/>
  <c r="G172" i="10" s="1"/>
  <c r="G173" i="10" s="1"/>
  <c r="F105" i="10"/>
  <c r="F231" i="10"/>
  <c r="F235" i="10" s="1"/>
  <c r="G235" i="10" s="1"/>
  <c r="G236" i="10" s="1"/>
  <c r="L298" i="10"/>
  <c r="L299" i="10" s="1"/>
  <c r="F483" i="10"/>
  <c r="F487" i="10" s="1"/>
  <c r="N165" i="11"/>
  <c r="N102" i="11"/>
  <c r="S165" i="11"/>
  <c r="N291" i="11"/>
  <c r="Q298" i="10"/>
  <c r="Q299" i="10" s="1"/>
  <c r="K294" i="11"/>
  <c r="K298" i="11" s="1"/>
  <c r="L298" i="11" s="1"/>
  <c r="L299" i="11" s="1"/>
  <c r="Q298" i="11"/>
  <c r="Q299" i="11" s="1"/>
  <c r="U168" i="11"/>
  <c r="U172" i="11" s="1"/>
  <c r="V172" i="11" s="1"/>
  <c r="V173" i="11" s="1"/>
  <c r="P168" i="11"/>
  <c r="P172" i="11" s="1"/>
  <c r="Q172" i="11" s="1"/>
  <c r="Q173" i="11" s="1"/>
  <c r="K168" i="11"/>
  <c r="K172" i="11" s="1"/>
  <c r="L172" i="11" s="1"/>
  <c r="L173" i="11" s="1"/>
  <c r="L109" i="11"/>
  <c r="L110" i="11" s="1"/>
  <c r="U105" i="11"/>
  <c r="U109" i="11" s="1"/>
  <c r="V109" i="11" s="1"/>
  <c r="V110" i="11" s="1"/>
  <c r="P105" i="11"/>
  <c r="P109" i="11" s="1"/>
  <c r="Q109" i="11" s="1"/>
  <c r="Q110" i="11" s="1"/>
  <c r="G487" i="10"/>
  <c r="G488" i="10" s="1"/>
  <c r="P105" i="10"/>
  <c r="P109" i="10" s="1"/>
  <c r="Q109" i="10" s="1"/>
  <c r="Q110" i="10" s="1"/>
  <c r="L235" i="10"/>
  <c r="L236" i="10" s="1"/>
  <c r="L487" i="10"/>
  <c r="L488" i="10" s="1"/>
  <c r="P483" i="10"/>
  <c r="P487" i="10" s="1"/>
  <c r="Q487" i="10" s="1"/>
  <c r="Q488" i="10" s="1"/>
  <c r="U483" i="10"/>
  <c r="U487" i="10" s="1"/>
  <c r="V487" i="10" s="1"/>
  <c r="V488" i="10" s="1"/>
  <c r="V424" i="10"/>
  <c r="V425" i="10" s="1"/>
  <c r="Q424" i="10"/>
  <c r="Q425" i="10" s="1"/>
  <c r="L424" i="10"/>
  <c r="L425" i="10" s="1"/>
  <c r="F420" i="10"/>
  <c r="F424" i="10" s="1"/>
  <c r="G424" i="10" s="1"/>
  <c r="G425" i="10" s="1"/>
  <c r="F357" i="10"/>
  <c r="F361" i="10" s="1"/>
  <c r="G361" i="10" s="1"/>
  <c r="G362" i="10" s="1"/>
  <c r="Q361" i="10"/>
  <c r="Q362" i="10" s="1"/>
  <c r="K357" i="10"/>
  <c r="K361" i="10" s="1"/>
  <c r="L361" i="10" s="1"/>
  <c r="L362" i="10" s="1"/>
  <c r="U357" i="10"/>
  <c r="U361" i="10" s="1"/>
  <c r="V361" i="10" s="1"/>
  <c r="V362" i="10" s="1"/>
  <c r="F294" i="10"/>
  <c r="F298" i="10" s="1"/>
  <c r="G298" i="10" s="1"/>
  <c r="G299" i="10" s="1"/>
  <c r="P231" i="10"/>
  <c r="P235" i="10" s="1"/>
  <c r="Q235" i="10" s="1"/>
  <c r="Q236" i="10" s="1"/>
  <c r="U168" i="10"/>
  <c r="U172" i="10" s="1"/>
  <c r="V172" i="10" s="1"/>
  <c r="V173" i="10" s="1"/>
  <c r="P168" i="10"/>
  <c r="P172" i="10" s="1"/>
  <c r="Q172" i="10" s="1"/>
  <c r="Q173" i="10" s="1"/>
  <c r="K168" i="10"/>
  <c r="K172" i="10" s="1"/>
  <c r="L172" i="10" s="1"/>
  <c r="L173" i="10" s="1"/>
  <c r="K105" i="10"/>
  <c r="K109" i="10" s="1"/>
  <c r="L109" i="10" s="1"/>
  <c r="L110" i="10" s="1"/>
  <c r="V109" i="10"/>
  <c r="V110" i="10" s="1"/>
  <c r="F109" i="10"/>
  <c r="G109" i="10" s="1"/>
  <c r="G110" i="10" s="1"/>
  <c r="A7" i="19" l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D15" i="19"/>
  <c r="E15" i="19"/>
  <c r="E25" i="16" l="1"/>
  <c r="E26" i="16"/>
  <c r="E27" i="16"/>
  <c r="E28" i="16"/>
  <c r="E29" i="16"/>
  <c r="E30" i="16"/>
  <c r="E31" i="16"/>
  <c r="E32" i="16"/>
  <c r="E33" i="16"/>
  <c r="E19" i="16"/>
  <c r="E20" i="16"/>
  <c r="E21" i="16"/>
  <c r="E22" i="16"/>
  <c r="T408" i="10" l="1"/>
  <c r="U408" i="10" s="1"/>
  <c r="J408" i="10"/>
  <c r="K408" i="10" s="1"/>
  <c r="O345" i="10"/>
  <c r="P345" i="10" s="1"/>
  <c r="E345" i="10"/>
  <c r="F345" i="10" s="1"/>
  <c r="T219" i="10"/>
  <c r="U219" i="10" s="1"/>
  <c r="J219" i="10"/>
  <c r="K219" i="10" s="1"/>
  <c r="T156" i="10"/>
  <c r="U156" i="10" s="1"/>
  <c r="J156" i="10"/>
  <c r="K156" i="10" s="1"/>
  <c r="T93" i="10"/>
  <c r="U93" i="10" s="1"/>
  <c r="J93" i="10"/>
  <c r="K93" i="10" s="1"/>
  <c r="O471" i="10"/>
  <c r="P471" i="10" s="1"/>
  <c r="E471" i="10"/>
  <c r="F471" i="10" s="1"/>
  <c r="O282" i="10"/>
  <c r="P282" i="10" s="1"/>
  <c r="E282" i="10"/>
  <c r="F282" i="10" s="1"/>
  <c r="O408" i="10"/>
  <c r="P408" i="10" s="1"/>
  <c r="E408" i="10"/>
  <c r="F408" i="10" s="1"/>
  <c r="T345" i="10"/>
  <c r="U345" i="10" s="1"/>
  <c r="J345" i="10"/>
  <c r="K345" i="10" s="1"/>
  <c r="O219" i="10"/>
  <c r="P219" i="10" s="1"/>
  <c r="E219" i="10"/>
  <c r="F219" i="10" s="1"/>
  <c r="O156" i="10"/>
  <c r="P156" i="10" s="1"/>
  <c r="E156" i="10"/>
  <c r="F156" i="10" s="1"/>
  <c r="O93" i="10"/>
  <c r="P93" i="10" s="1"/>
  <c r="E93" i="10"/>
  <c r="F93" i="10" s="1"/>
  <c r="T471" i="10"/>
  <c r="U471" i="10" s="1"/>
  <c r="T282" i="10"/>
  <c r="U282" i="10" s="1"/>
  <c r="J282" i="10"/>
  <c r="K282" i="10" s="1"/>
  <c r="J471" i="10"/>
  <c r="K471" i="10" s="1"/>
  <c r="J222" i="12"/>
  <c r="K222" i="12" s="1"/>
  <c r="T159" i="12"/>
  <c r="U159" i="12" s="1"/>
  <c r="E159" i="12"/>
  <c r="F159" i="12" s="1"/>
  <c r="J96" i="12"/>
  <c r="K96" i="12" s="1"/>
  <c r="E222" i="12"/>
  <c r="F222" i="12" s="1"/>
  <c r="T96" i="12"/>
  <c r="U96" i="12" s="1"/>
  <c r="T222" i="12"/>
  <c r="U222" i="12" s="1"/>
  <c r="J159" i="12"/>
  <c r="K159" i="12" s="1"/>
  <c r="E96" i="12"/>
  <c r="F96" i="12" s="1"/>
  <c r="J218" i="12"/>
  <c r="K218" i="12" s="1"/>
  <c r="E155" i="12"/>
  <c r="F155" i="12" s="1"/>
  <c r="J92" i="12"/>
  <c r="K92" i="12" s="1"/>
  <c r="E218" i="12"/>
  <c r="F218" i="12" s="1"/>
  <c r="E92" i="12"/>
  <c r="F92" i="12" s="1"/>
  <c r="J155" i="12"/>
  <c r="K155" i="12" s="1"/>
  <c r="O280" i="11"/>
  <c r="P280" i="11" s="1"/>
  <c r="E280" i="11"/>
  <c r="F280" i="11" s="1"/>
  <c r="T280" i="11"/>
  <c r="U280" i="11" s="1"/>
  <c r="T217" i="11"/>
  <c r="U217" i="11" s="1"/>
  <c r="J217" i="11"/>
  <c r="K217" i="11" s="1"/>
  <c r="O154" i="11"/>
  <c r="P154" i="11" s="1"/>
  <c r="E154" i="11"/>
  <c r="F154" i="11" s="1"/>
  <c r="O91" i="11"/>
  <c r="P91" i="11" s="1"/>
  <c r="E91" i="11"/>
  <c r="F91" i="11" s="1"/>
  <c r="O217" i="11"/>
  <c r="P217" i="11" s="1"/>
  <c r="E217" i="11"/>
  <c r="F217" i="11" s="1"/>
  <c r="T154" i="11"/>
  <c r="U154" i="11" s="1"/>
  <c r="J154" i="11"/>
  <c r="K154" i="11" s="1"/>
  <c r="J280" i="11"/>
  <c r="K280" i="11" s="1"/>
  <c r="J91" i="11"/>
  <c r="K91" i="11" s="1"/>
  <c r="T91" i="11"/>
  <c r="U91" i="11" s="1"/>
  <c r="T209" i="12"/>
  <c r="U209" i="12" s="1"/>
  <c r="J209" i="12"/>
  <c r="K209" i="12" s="1"/>
  <c r="E209" i="12"/>
  <c r="F209" i="12" s="1"/>
  <c r="J146" i="12"/>
  <c r="K146" i="12" s="1"/>
  <c r="T146" i="12"/>
  <c r="U146" i="12" s="1"/>
  <c r="J83" i="12"/>
  <c r="K83" i="12" s="1"/>
  <c r="T83" i="12"/>
  <c r="U83" i="12" s="1"/>
  <c r="E83" i="12"/>
  <c r="F83" i="12" s="1"/>
  <c r="E146" i="12"/>
  <c r="F146" i="12" s="1"/>
  <c r="E208" i="12"/>
  <c r="F208" i="12" s="1"/>
  <c r="E145" i="12"/>
  <c r="F145" i="12" s="1"/>
  <c r="J208" i="12"/>
  <c r="K208" i="12" s="1"/>
  <c r="J145" i="12"/>
  <c r="K145" i="12" s="1"/>
  <c r="T82" i="12"/>
  <c r="U82" i="12" s="1"/>
  <c r="T145" i="12"/>
  <c r="U145" i="12" s="1"/>
  <c r="E82" i="12"/>
  <c r="F82" i="12" s="1"/>
  <c r="T208" i="12"/>
  <c r="U208" i="12" s="1"/>
  <c r="J82" i="12"/>
  <c r="K82" i="12" s="1"/>
  <c r="T411" i="10"/>
  <c r="U411" i="10" s="1"/>
  <c r="J411" i="10"/>
  <c r="K411" i="10" s="1"/>
  <c r="O348" i="10"/>
  <c r="P348" i="10" s="1"/>
  <c r="E348" i="10"/>
  <c r="F348" i="10" s="1"/>
  <c r="T222" i="10"/>
  <c r="U222" i="10" s="1"/>
  <c r="J222" i="10"/>
  <c r="K222" i="10" s="1"/>
  <c r="T159" i="10"/>
  <c r="U159" i="10" s="1"/>
  <c r="J159" i="10"/>
  <c r="K159" i="10" s="1"/>
  <c r="T96" i="10"/>
  <c r="U96" i="10" s="1"/>
  <c r="J96" i="10"/>
  <c r="K96" i="10" s="1"/>
  <c r="O474" i="10"/>
  <c r="P474" i="10" s="1"/>
  <c r="E474" i="10"/>
  <c r="F474" i="10" s="1"/>
  <c r="O285" i="10"/>
  <c r="P285" i="10" s="1"/>
  <c r="E285" i="10"/>
  <c r="F285" i="10" s="1"/>
  <c r="O411" i="10"/>
  <c r="P411" i="10" s="1"/>
  <c r="E411" i="10"/>
  <c r="F411" i="10" s="1"/>
  <c r="T348" i="10"/>
  <c r="U348" i="10" s="1"/>
  <c r="J348" i="10"/>
  <c r="K348" i="10" s="1"/>
  <c r="O222" i="10"/>
  <c r="P222" i="10" s="1"/>
  <c r="E222" i="10"/>
  <c r="F222" i="10" s="1"/>
  <c r="O159" i="10"/>
  <c r="P159" i="10" s="1"/>
  <c r="E159" i="10"/>
  <c r="F159" i="10" s="1"/>
  <c r="O96" i="10"/>
  <c r="P96" i="10" s="1"/>
  <c r="E96" i="10"/>
  <c r="F96" i="10" s="1"/>
  <c r="J285" i="10"/>
  <c r="K285" i="10" s="1"/>
  <c r="J474" i="10"/>
  <c r="K474" i="10" s="1"/>
  <c r="T285" i="10"/>
  <c r="U285" i="10" s="1"/>
  <c r="T474" i="10"/>
  <c r="U474" i="10" s="1"/>
  <c r="E407" i="10"/>
  <c r="F407" i="10" s="1"/>
  <c r="E344" i="10"/>
  <c r="F344" i="10" s="1"/>
  <c r="J218" i="10"/>
  <c r="K218" i="10" s="1"/>
  <c r="E155" i="10"/>
  <c r="F155" i="10" s="1"/>
  <c r="E92" i="10"/>
  <c r="F92" i="10" s="1"/>
  <c r="E470" i="10"/>
  <c r="F470" i="10" s="1"/>
  <c r="E281" i="10"/>
  <c r="F281" i="10" s="1"/>
  <c r="J92" i="10"/>
  <c r="K92" i="10" s="1"/>
  <c r="J407" i="10"/>
  <c r="K407" i="10" s="1"/>
  <c r="J344" i="10"/>
  <c r="K344" i="10" s="1"/>
  <c r="E218" i="10"/>
  <c r="F218" i="10" s="1"/>
  <c r="J155" i="10"/>
  <c r="K155" i="10" s="1"/>
  <c r="J281" i="10"/>
  <c r="K281" i="10" s="1"/>
  <c r="J470" i="10"/>
  <c r="K470" i="10" s="1"/>
  <c r="O403" i="10"/>
  <c r="P403" i="10" s="1"/>
  <c r="E403" i="10"/>
  <c r="F403" i="10" s="1"/>
  <c r="O340" i="10"/>
  <c r="P340" i="10" s="1"/>
  <c r="E340" i="10"/>
  <c r="F340" i="10" s="1"/>
  <c r="T214" i="10"/>
  <c r="U214" i="10" s="1"/>
  <c r="J214" i="10"/>
  <c r="K214" i="10" s="1"/>
  <c r="O151" i="10"/>
  <c r="P151" i="10" s="1"/>
  <c r="E151" i="10"/>
  <c r="F151" i="10" s="1"/>
  <c r="O466" i="10"/>
  <c r="P466" i="10" s="1"/>
  <c r="E466" i="10"/>
  <c r="F466" i="10" s="1"/>
  <c r="O277" i="10"/>
  <c r="P277" i="10" s="1"/>
  <c r="E277" i="10"/>
  <c r="F277" i="10" s="1"/>
  <c r="T403" i="10"/>
  <c r="U403" i="10" s="1"/>
  <c r="J403" i="10"/>
  <c r="K403" i="10" s="1"/>
  <c r="T340" i="10"/>
  <c r="U340" i="10" s="1"/>
  <c r="J340" i="10"/>
  <c r="K340" i="10" s="1"/>
  <c r="O214" i="10"/>
  <c r="P214" i="10" s="1"/>
  <c r="E214" i="10"/>
  <c r="F214" i="10" s="1"/>
  <c r="T151" i="10"/>
  <c r="U151" i="10" s="1"/>
  <c r="J151" i="10"/>
  <c r="K151" i="10" s="1"/>
  <c r="T88" i="10"/>
  <c r="U88" i="10" s="1"/>
  <c r="J88" i="10"/>
  <c r="K88" i="10" s="1"/>
  <c r="T466" i="10"/>
  <c r="U466" i="10" s="1"/>
  <c r="J277" i="10"/>
  <c r="K277" i="10" s="1"/>
  <c r="J466" i="10"/>
  <c r="K466" i="10" s="1"/>
  <c r="T277" i="10"/>
  <c r="U277" i="10" s="1"/>
  <c r="O88" i="10"/>
  <c r="P88" i="10" s="1"/>
  <c r="E88" i="10"/>
  <c r="F88" i="10" s="1"/>
  <c r="T285" i="11"/>
  <c r="U285" i="11" s="1"/>
  <c r="J285" i="11"/>
  <c r="K285" i="11" s="1"/>
  <c r="O285" i="11"/>
  <c r="P285" i="11" s="1"/>
  <c r="O222" i="11"/>
  <c r="P222" i="11" s="1"/>
  <c r="E222" i="11"/>
  <c r="F222" i="11" s="1"/>
  <c r="T159" i="11"/>
  <c r="U159" i="11" s="1"/>
  <c r="J159" i="11"/>
  <c r="K159" i="11" s="1"/>
  <c r="O96" i="11"/>
  <c r="P96" i="11" s="1"/>
  <c r="E96" i="11"/>
  <c r="F96" i="11" s="1"/>
  <c r="T222" i="11"/>
  <c r="U222" i="11" s="1"/>
  <c r="J222" i="11"/>
  <c r="K222" i="11" s="1"/>
  <c r="O159" i="11"/>
  <c r="P159" i="11" s="1"/>
  <c r="E159" i="11"/>
  <c r="F159" i="11" s="1"/>
  <c r="J96" i="11"/>
  <c r="K96" i="11" s="1"/>
  <c r="E285" i="11"/>
  <c r="F285" i="11" s="1"/>
  <c r="T96" i="11"/>
  <c r="U96" i="11" s="1"/>
  <c r="T219" i="12"/>
  <c r="U219" i="12" s="1"/>
  <c r="E219" i="12"/>
  <c r="F219" i="12" s="1"/>
  <c r="J156" i="12"/>
  <c r="K156" i="12" s="1"/>
  <c r="T93" i="12"/>
  <c r="U93" i="12" s="1"/>
  <c r="E93" i="12"/>
  <c r="F93" i="12" s="1"/>
  <c r="J219" i="12"/>
  <c r="K219" i="12" s="1"/>
  <c r="E156" i="12"/>
  <c r="F156" i="12" s="1"/>
  <c r="T156" i="12"/>
  <c r="U156" i="12" s="1"/>
  <c r="J93" i="12"/>
  <c r="K93" i="12" s="1"/>
  <c r="E281" i="11"/>
  <c r="F281" i="11" s="1"/>
  <c r="J218" i="11"/>
  <c r="K218" i="11" s="1"/>
  <c r="E155" i="11"/>
  <c r="F155" i="11" s="1"/>
  <c r="J281" i="11"/>
  <c r="K281" i="11" s="1"/>
  <c r="E92" i="11"/>
  <c r="F92" i="11" s="1"/>
  <c r="E218" i="11"/>
  <c r="F218" i="11" s="1"/>
  <c r="J155" i="11"/>
  <c r="K155" i="11" s="1"/>
  <c r="J92" i="11"/>
  <c r="K92" i="11" s="1"/>
  <c r="T215" i="12"/>
  <c r="U215" i="12" s="1"/>
  <c r="E215" i="12"/>
  <c r="F215" i="12" s="1"/>
  <c r="J152" i="12"/>
  <c r="K152" i="12" s="1"/>
  <c r="T89" i="12"/>
  <c r="U89" i="12" s="1"/>
  <c r="E89" i="12"/>
  <c r="F89" i="12" s="1"/>
  <c r="J215" i="12"/>
  <c r="K215" i="12" s="1"/>
  <c r="E152" i="12"/>
  <c r="F152" i="12" s="1"/>
  <c r="J89" i="12"/>
  <c r="K89" i="12" s="1"/>
  <c r="T152" i="12"/>
  <c r="U152" i="12" s="1"/>
  <c r="O277" i="11"/>
  <c r="P277" i="11" s="1"/>
  <c r="E277" i="11"/>
  <c r="F277" i="11" s="1"/>
  <c r="T214" i="11"/>
  <c r="U214" i="11" s="1"/>
  <c r="J214" i="11"/>
  <c r="K214" i="11" s="1"/>
  <c r="O151" i="11"/>
  <c r="P151" i="11" s="1"/>
  <c r="E151" i="11"/>
  <c r="F151" i="11" s="1"/>
  <c r="J277" i="11"/>
  <c r="K277" i="11" s="1"/>
  <c r="O88" i="11"/>
  <c r="P88" i="11" s="1"/>
  <c r="E88" i="11"/>
  <c r="F88" i="11" s="1"/>
  <c r="T277" i="11"/>
  <c r="U277" i="11" s="1"/>
  <c r="O214" i="11"/>
  <c r="P214" i="11" s="1"/>
  <c r="E214" i="11"/>
  <c r="F214" i="11" s="1"/>
  <c r="T151" i="11"/>
  <c r="U151" i="11" s="1"/>
  <c r="J151" i="11"/>
  <c r="K151" i="11" s="1"/>
  <c r="T88" i="11"/>
  <c r="U88" i="11" s="1"/>
  <c r="J88" i="11"/>
  <c r="K88" i="11" s="1"/>
  <c r="O496" i="10"/>
  <c r="P496" i="10" s="1"/>
  <c r="E496" i="10"/>
  <c r="F496" i="10" s="1"/>
  <c r="T370" i="10"/>
  <c r="U370" i="10" s="1"/>
  <c r="O307" i="10"/>
  <c r="P307" i="10" s="1"/>
  <c r="E307" i="10"/>
  <c r="F307" i="10" s="1"/>
  <c r="T181" i="10"/>
  <c r="U181" i="10" s="1"/>
  <c r="J181" i="10"/>
  <c r="K181" i="10" s="1"/>
  <c r="O433" i="10"/>
  <c r="P433" i="10" s="1"/>
  <c r="E433" i="10"/>
  <c r="F433" i="10" s="1"/>
  <c r="J370" i="10"/>
  <c r="K370" i="10" s="1"/>
  <c r="O244" i="10"/>
  <c r="P244" i="10" s="1"/>
  <c r="E244" i="10"/>
  <c r="F244" i="10" s="1"/>
  <c r="O118" i="10"/>
  <c r="P118" i="10" s="1"/>
  <c r="E118" i="10"/>
  <c r="F118" i="10" s="1"/>
  <c r="T496" i="10"/>
  <c r="U496" i="10" s="1"/>
  <c r="J496" i="10"/>
  <c r="K496" i="10" s="1"/>
  <c r="T307" i="10"/>
  <c r="U307" i="10" s="1"/>
  <c r="J307" i="10"/>
  <c r="K307" i="10" s="1"/>
  <c r="O181" i="10"/>
  <c r="P181" i="10" s="1"/>
  <c r="E181" i="10"/>
  <c r="F181" i="10" s="1"/>
  <c r="T244" i="10"/>
  <c r="U244" i="10" s="1"/>
  <c r="T118" i="10"/>
  <c r="U118" i="10" s="1"/>
  <c r="J433" i="10"/>
  <c r="K433" i="10" s="1"/>
  <c r="E370" i="10"/>
  <c r="F370" i="10" s="1"/>
  <c r="J118" i="10"/>
  <c r="K118" i="10" s="1"/>
  <c r="T433" i="10"/>
  <c r="U433" i="10" s="1"/>
  <c r="O370" i="10"/>
  <c r="P370" i="10" s="1"/>
  <c r="J244" i="10"/>
  <c r="K244" i="10" s="1"/>
  <c r="T289" i="11"/>
  <c r="U289" i="11" s="1"/>
  <c r="J289" i="11"/>
  <c r="K289" i="11" s="1"/>
  <c r="T226" i="11"/>
  <c r="U226" i="11" s="1"/>
  <c r="J226" i="11"/>
  <c r="K226" i="11" s="1"/>
  <c r="E226" i="11"/>
  <c r="F226" i="11" s="1"/>
  <c r="T163" i="11"/>
  <c r="U163" i="11" s="1"/>
  <c r="J163" i="11"/>
  <c r="K163" i="11" s="1"/>
  <c r="E289" i="11"/>
  <c r="F289" i="11" s="1"/>
  <c r="O226" i="11"/>
  <c r="P226" i="11" s="1"/>
  <c r="O100" i="11"/>
  <c r="P100" i="11" s="1"/>
  <c r="E100" i="11"/>
  <c r="F100" i="11" s="1"/>
  <c r="O289" i="11"/>
  <c r="P289" i="11" s="1"/>
  <c r="O163" i="11"/>
  <c r="P163" i="11" s="1"/>
  <c r="E163" i="11"/>
  <c r="F163" i="11" s="1"/>
  <c r="J100" i="11"/>
  <c r="K100" i="11" s="1"/>
  <c r="T100" i="11"/>
  <c r="U100" i="11" s="1"/>
  <c r="T290" i="11"/>
  <c r="U290" i="11" s="1"/>
  <c r="J290" i="11"/>
  <c r="K290" i="11" s="1"/>
  <c r="T227" i="11"/>
  <c r="U227" i="11" s="1"/>
  <c r="J227" i="11"/>
  <c r="K227" i="11" s="1"/>
  <c r="O290" i="11"/>
  <c r="P290" i="11" s="1"/>
  <c r="T164" i="11"/>
  <c r="U164" i="11" s="1"/>
  <c r="J164" i="11"/>
  <c r="K164" i="11" s="1"/>
  <c r="O101" i="11"/>
  <c r="P101" i="11" s="1"/>
  <c r="E101" i="11"/>
  <c r="F101" i="11" s="1"/>
  <c r="E227" i="11"/>
  <c r="F227" i="11" s="1"/>
  <c r="O164" i="11"/>
  <c r="P164" i="11" s="1"/>
  <c r="E164" i="11"/>
  <c r="F164" i="11" s="1"/>
  <c r="T101" i="11"/>
  <c r="U101" i="11" s="1"/>
  <c r="E290" i="11"/>
  <c r="F290" i="11" s="1"/>
  <c r="O227" i="11"/>
  <c r="P227" i="11" s="1"/>
  <c r="J101" i="11"/>
  <c r="K101" i="11" s="1"/>
  <c r="T284" i="11"/>
  <c r="U284" i="11" s="1"/>
  <c r="J284" i="11"/>
  <c r="K284" i="11" s="1"/>
  <c r="O221" i="11"/>
  <c r="P221" i="11" s="1"/>
  <c r="E221" i="11"/>
  <c r="F221" i="11" s="1"/>
  <c r="T158" i="11"/>
  <c r="U158" i="11" s="1"/>
  <c r="J158" i="11"/>
  <c r="K158" i="11" s="1"/>
  <c r="E284" i="11"/>
  <c r="F284" i="11" s="1"/>
  <c r="O95" i="11"/>
  <c r="P95" i="11" s="1"/>
  <c r="E95" i="11"/>
  <c r="F95" i="11" s="1"/>
  <c r="O284" i="11"/>
  <c r="P284" i="11" s="1"/>
  <c r="T221" i="11"/>
  <c r="U221" i="11" s="1"/>
  <c r="J221" i="11"/>
  <c r="K221" i="11" s="1"/>
  <c r="O158" i="11"/>
  <c r="P158" i="11" s="1"/>
  <c r="E158" i="11"/>
  <c r="F158" i="11" s="1"/>
  <c r="J95" i="11"/>
  <c r="K95" i="11" s="1"/>
  <c r="T95" i="11"/>
  <c r="U95" i="11" s="1"/>
  <c r="J214" i="12"/>
  <c r="K214" i="12" s="1"/>
  <c r="T151" i="12"/>
  <c r="U151" i="12" s="1"/>
  <c r="E151" i="12"/>
  <c r="F151" i="12" s="1"/>
  <c r="J88" i="12"/>
  <c r="K88" i="12" s="1"/>
  <c r="T214" i="12"/>
  <c r="U214" i="12" s="1"/>
  <c r="E214" i="12"/>
  <c r="F214" i="12" s="1"/>
  <c r="E88" i="12"/>
  <c r="F88" i="12" s="1"/>
  <c r="J151" i="12"/>
  <c r="K151" i="12" s="1"/>
  <c r="T88" i="12"/>
  <c r="U88" i="12" s="1"/>
  <c r="T307" i="11"/>
  <c r="U307" i="11" s="1"/>
  <c r="J307" i="11"/>
  <c r="K307" i="11" s="1"/>
  <c r="T244" i="11"/>
  <c r="U244" i="11" s="1"/>
  <c r="J244" i="11"/>
  <c r="K244" i="11" s="1"/>
  <c r="O307" i="11"/>
  <c r="P307" i="11" s="1"/>
  <c r="E307" i="11"/>
  <c r="F307" i="11" s="1"/>
  <c r="O244" i="11"/>
  <c r="P244" i="11" s="1"/>
  <c r="E244" i="11"/>
  <c r="F244" i="11" s="1"/>
  <c r="T181" i="11"/>
  <c r="U181" i="11" s="1"/>
  <c r="J181" i="11"/>
  <c r="K181" i="11" s="1"/>
  <c r="T118" i="11"/>
  <c r="U118" i="11" s="1"/>
  <c r="J118" i="11"/>
  <c r="K118" i="11" s="1"/>
  <c r="O181" i="11"/>
  <c r="P181" i="11" s="1"/>
  <c r="O118" i="11"/>
  <c r="P118" i="11" s="1"/>
  <c r="E181" i="11"/>
  <c r="F181" i="11" s="1"/>
  <c r="E118" i="11"/>
  <c r="F118" i="11" s="1"/>
  <c r="T274" i="11"/>
  <c r="U274" i="11" s="1"/>
  <c r="J274" i="11"/>
  <c r="K274" i="11" s="1"/>
  <c r="O274" i="11"/>
  <c r="P274" i="11" s="1"/>
  <c r="T211" i="11"/>
  <c r="U211" i="11" s="1"/>
  <c r="J211" i="11"/>
  <c r="K211" i="11" s="1"/>
  <c r="T85" i="11"/>
  <c r="U85" i="11" s="1"/>
  <c r="O85" i="11"/>
  <c r="P85" i="11" s="1"/>
  <c r="J85" i="11"/>
  <c r="K85" i="11" s="1"/>
  <c r="E85" i="11"/>
  <c r="F85" i="11" s="1"/>
  <c r="O211" i="11"/>
  <c r="P211" i="11" s="1"/>
  <c r="E211" i="11"/>
  <c r="F211" i="11" s="1"/>
  <c r="E274" i="11"/>
  <c r="F274" i="11" s="1"/>
  <c r="T148" i="11"/>
  <c r="U148" i="11" s="1"/>
  <c r="O148" i="11"/>
  <c r="P148" i="11" s="1"/>
  <c r="E148" i="11"/>
  <c r="F148" i="11" s="1"/>
  <c r="J148" i="11"/>
  <c r="K148" i="11" s="1"/>
  <c r="J272" i="11"/>
  <c r="K272" i="11" s="1"/>
  <c r="O272" i="11"/>
  <c r="P272" i="11" s="1"/>
  <c r="E272" i="11"/>
  <c r="F272" i="11" s="1"/>
  <c r="O209" i="11"/>
  <c r="P209" i="11" s="1"/>
  <c r="E209" i="11"/>
  <c r="F209" i="11" s="1"/>
  <c r="O83" i="11"/>
  <c r="P83" i="11" s="1"/>
  <c r="T83" i="11"/>
  <c r="U83" i="11" s="1"/>
  <c r="T209" i="11"/>
  <c r="U209" i="11" s="1"/>
  <c r="J209" i="11"/>
  <c r="K209" i="11" s="1"/>
  <c r="E83" i="11"/>
  <c r="F83" i="11" s="1"/>
  <c r="T272" i="11"/>
  <c r="U272" i="11" s="1"/>
  <c r="T146" i="11"/>
  <c r="U146" i="11" s="1"/>
  <c r="E146" i="11"/>
  <c r="F146" i="11" s="1"/>
  <c r="J146" i="11"/>
  <c r="K146" i="11" s="1"/>
  <c r="J83" i="11"/>
  <c r="K83" i="11" s="1"/>
  <c r="O146" i="11"/>
  <c r="P146" i="11" s="1"/>
  <c r="O271" i="11"/>
  <c r="P271" i="11" s="1"/>
  <c r="T271" i="11"/>
  <c r="U271" i="11" s="1"/>
  <c r="E271" i="11"/>
  <c r="F271" i="11" s="1"/>
  <c r="O145" i="11"/>
  <c r="P145" i="11" s="1"/>
  <c r="E145" i="11"/>
  <c r="F145" i="11" s="1"/>
  <c r="O82" i="11"/>
  <c r="P82" i="11" s="1"/>
  <c r="E82" i="11"/>
  <c r="F82" i="11" s="1"/>
  <c r="J271" i="11"/>
  <c r="K271" i="11" s="1"/>
  <c r="T145" i="11"/>
  <c r="U145" i="11" s="1"/>
  <c r="J145" i="11"/>
  <c r="K145" i="11" s="1"/>
  <c r="T82" i="11"/>
  <c r="U82" i="11" s="1"/>
  <c r="T208" i="11"/>
  <c r="U208" i="11" s="1"/>
  <c r="O208" i="11"/>
  <c r="P208" i="11" s="1"/>
  <c r="E208" i="11"/>
  <c r="F208" i="11" s="1"/>
  <c r="J82" i="11"/>
  <c r="K82" i="11" s="1"/>
  <c r="J208" i="11"/>
  <c r="K208" i="11" s="1"/>
  <c r="T473" i="10"/>
  <c r="U473" i="10" s="1"/>
  <c r="O410" i="10"/>
  <c r="P410" i="10" s="1"/>
  <c r="O347" i="10"/>
  <c r="P347" i="10" s="1"/>
  <c r="E347" i="10"/>
  <c r="F347" i="10" s="1"/>
  <c r="T284" i="10"/>
  <c r="U284" i="10" s="1"/>
  <c r="O221" i="10"/>
  <c r="P221" i="10" s="1"/>
  <c r="T158" i="10"/>
  <c r="U158" i="10" s="1"/>
  <c r="J158" i="10"/>
  <c r="K158" i="10" s="1"/>
  <c r="O95" i="10"/>
  <c r="P95" i="10" s="1"/>
  <c r="E473" i="10"/>
  <c r="F473" i="10" s="1"/>
  <c r="T410" i="10"/>
  <c r="U410" i="10" s="1"/>
  <c r="E284" i="10"/>
  <c r="F284" i="10" s="1"/>
  <c r="T221" i="10"/>
  <c r="U221" i="10" s="1"/>
  <c r="T95" i="10"/>
  <c r="U95" i="10" s="1"/>
  <c r="J473" i="10"/>
  <c r="K473" i="10" s="1"/>
  <c r="E410" i="10"/>
  <c r="F410" i="10" s="1"/>
  <c r="T347" i="10"/>
  <c r="U347" i="10" s="1"/>
  <c r="J347" i="10"/>
  <c r="K347" i="10" s="1"/>
  <c r="J284" i="10"/>
  <c r="K284" i="10" s="1"/>
  <c r="E221" i="10"/>
  <c r="F221" i="10" s="1"/>
  <c r="O158" i="10"/>
  <c r="P158" i="10" s="1"/>
  <c r="E158" i="10"/>
  <c r="F158" i="10" s="1"/>
  <c r="E95" i="10"/>
  <c r="F95" i="10" s="1"/>
  <c r="J410" i="10"/>
  <c r="K410" i="10" s="1"/>
  <c r="O284" i="10"/>
  <c r="P284" i="10" s="1"/>
  <c r="O473" i="10"/>
  <c r="P473" i="10" s="1"/>
  <c r="J221" i="10"/>
  <c r="K221" i="10" s="1"/>
  <c r="J95" i="10"/>
  <c r="K95" i="10" s="1"/>
  <c r="O406" i="10"/>
  <c r="P406" i="10" s="1"/>
  <c r="E406" i="10"/>
  <c r="F406" i="10" s="1"/>
  <c r="O343" i="10"/>
  <c r="P343" i="10" s="1"/>
  <c r="E343" i="10"/>
  <c r="F343" i="10" s="1"/>
  <c r="T217" i="10"/>
  <c r="U217" i="10" s="1"/>
  <c r="J217" i="10"/>
  <c r="K217" i="10" s="1"/>
  <c r="O154" i="10"/>
  <c r="P154" i="10" s="1"/>
  <c r="E154" i="10"/>
  <c r="F154" i="10" s="1"/>
  <c r="O91" i="10"/>
  <c r="P91" i="10" s="1"/>
  <c r="E91" i="10"/>
  <c r="F91" i="10" s="1"/>
  <c r="O469" i="10"/>
  <c r="P469" i="10" s="1"/>
  <c r="E469" i="10"/>
  <c r="F469" i="10" s="1"/>
  <c r="O280" i="10"/>
  <c r="P280" i="10" s="1"/>
  <c r="E280" i="10"/>
  <c r="F280" i="10" s="1"/>
  <c r="T406" i="10"/>
  <c r="U406" i="10" s="1"/>
  <c r="J406" i="10"/>
  <c r="K406" i="10" s="1"/>
  <c r="T343" i="10"/>
  <c r="U343" i="10" s="1"/>
  <c r="J343" i="10"/>
  <c r="K343" i="10" s="1"/>
  <c r="O217" i="10"/>
  <c r="P217" i="10" s="1"/>
  <c r="E217" i="10"/>
  <c r="F217" i="10" s="1"/>
  <c r="T154" i="10"/>
  <c r="U154" i="10" s="1"/>
  <c r="J154" i="10"/>
  <c r="K154" i="10" s="1"/>
  <c r="T91" i="10"/>
  <c r="U91" i="10" s="1"/>
  <c r="J91" i="10"/>
  <c r="K91" i="10" s="1"/>
  <c r="J469" i="10"/>
  <c r="K469" i="10" s="1"/>
  <c r="T280" i="10"/>
  <c r="U280" i="10" s="1"/>
  <c r="T469" i="10"/>
  <c r="U469" i="10" s="1"/>
  <c r="J280" i="10"/>
  <c r="K280" i="10" s="1"/>
  <c r="J220" i="12"/>
  <c r="K220" i="12" s="1"/>
  <c r="T157" i="12"/>
  <c r="U157" i="12" s="1"/>
  <c r="E157" i="12"/>
  <c r="F157" i="12" s="1"/>
  <c r="J94" i="12"/>
  <c r="K94" i="12" s="1"/>
  <c r="E94" i="12"/>
  <c r="F94" i="12" s="1"/>
  <c r="E220" i="12"/>
  <c r="F220" i="12" s="1"/>
  <c r="T94" i="12"/>
  <c r="U94" i="12" s="1"/>
  <c r="T220" i="12"/>
  <c r="U220" i="12" s="1"/>
  <c r="J157" i="12"/>
  <c r="K157" i="12" s="1"/>
  <c r="T282" i="11"/>
  <c r="U282" i="11" s="1"/>
  <c r="J282" i="11"/>
  <c r="K282" i="11" s="1"/>
  <c r="O219" i="11"/>
  <c r="P219" i="11" s="1"/>
  <c r="E219" i="11"/>
  <c r="F219" i="11" s="1"/>
  <c r="T156" i="11"/>
  <c r="U156" i="11" s="1"/>
  <c r="J156" i="11"/>
  <c r="K156" i="11" s="1"/>
  <c r="E282" i="11"/>
  <c r="F282" i="11" s="1"/>
  <c r="O93" i="11"/>
  <c r="P93" i="11" s="1"/>
  <c r="E93" i="11"/>
  <c r="F93" i="11" s="1"/>
  <c r="O282" i="11"/>
  <c r="P282" i="11" s="1"/>
  <c r="T219" i="11"/>
  <c r="U219" i="11" s="1"/>
  <c r="J219" i="11"/>
  <c r="K219" i="11" s="1"/>
  <c r="O156" i="11"/>
  <c r="P156" i="11" s="1"/>
  <c r="E156" i="11"/>
  <c r="F156" i="11" s="1"/>
  <c r="J93" i="11"/>
  <c r="K93" i="11" s="1"/>
  <c r="T93" i="11"/>
  <c r="U93" i="11" s="1"/>
  <c r="J216" i="12"/>
  <c r="K216" i="12" s="1"/>
  <c r="T153" i="12"/>
  <c r="U153" i="12" s="1"/>
  <c r="E153" i="12"/>
  <c r="F153" i="12" s="1"/>
  <c r="J90" i="12"/>
  <c r="K90" i="12" s="1"/>
  <c r="T216" i="12"/>
  <c r="U216" i="12" s="1"/>
  <c r="E216" i="12"/>
  <c r="F216" i="12" s="1"/>
  <c r="E90" i="12"/>
  <c r="F90" i="12" s="1"/>
  <c r="J153" i="12"/>
  <c r="K153" i="12" s="1"/>
  <c r="T90" i="12"/>
  <c r="U90" i="12" s="1"/>
  <c r="O278" i="11"/>
  <c r="P278" i="11" s="1"/>
  <c r="E278" i="11"/>
  <c r="F278" i="11" s="1"/>
  <c r="T278" i="11"/>
  <c r="U278" i="11" s="1"/>
  <c r="T215" i="11"/>
  <c r="U215" i="11" s="1"/>
  <c r="J215" i="11"/>
  <c r="K215" i="11" s="1"/>
  <c r="O152" i="11"/>
  <c r="P152" i="11" s="1"/>
  <c r="E152" i="11"/>
  <c r="F152" i="11" s="1"/>
  <c r="O89" i="11"/>
  <c r="P89" i="11" s="1"/>
  <c r="E89" i="11"/>
  <c r="F89" i="11" s="1"/>
  <c r="O215" i="11"/>
  <c r="P215" i="11" s="1"/>
  <c r="E215" i="11"/>
  <c r="F215" i="11" s="1"/>
  <c r="T152" i="11"/>
  <c r="J152" i="11"/>
  <c r="K152" i="11" s="1"/>
  <c r="J278" i="11"/>
  <c r="K278" i="11" s="1"/>
  <c r="J89" i="11"/>
  <c r="K89" i="11" s="1"/>
  <c r="T89" i="11"/>
  <c r="U89" i="11" s="1"/>
  <c r="T163" i="12"/>
  <c r="U163" i="12" s="1"/>
  <c r="E163" i="12"/>
  <c r="T226" i="12"/>
  <c r="U226" i="12" s="1"/>
  <c r="E226" i="12"/>
  <c r="J163" i="12"/>
  <c r="K163" i="12" s="1"/>
  <c r="T100" i="12"/>
  <c r="U100" i="12" s="1"/>
  <c r="J100" i="12"/>
  <c r="K100" i="12" s="1"/>
  <c r="E100" i="12"/>
  <c r="F100" i="12" s="1"/>
  <c r="J226" i="12"/>
  <c r="K226" i="12" s="1"/>
  <c r="J164" i="12"/>
  <c r="K164" i="12" s="1"/>
  <c r="T101" i="12"/>
  <c r="U101" i="12" s="1"/>
  <c r="E101" i="12"/>
  <c r="F101" i="12" s="1"/>
  <c r="J227" i="12"/>
  <c r="K227" i="12" s="1"/>
  <c r="T164" i="12"/>
  <c r="U164" i="12" s="1"/>
  <c r="E164" i="12"/>
  <c r="F164" i="12" s="1"/>
  <c r="J101" i="12"/>
  <c r="K101" i="12" s="1"/>
  <c r="T227" i="12"/>
  <c r="U227" i="12" s="1"/>
  <c r="E227" i="12"/>
  <c r="F227" i="12" s="1"/>
  <c r="O404" i="10"/>
  <c r="P404" i="10" s="1"/>
  <c r="E404" i="10"/>
  <c r="F404" i="10" s="1"/>
  <c r="O341" i="10"/>
  <c r="P341" i="10" s="1"/>
  <c r="E341" i="10"/>
  <c r="F341" i="10" s="1"/>
  <c r="T215" i="10"/>
  <c r="U215" i="10" s="1"/>
  <c r="J215" i="10"/>
  <c r="K215" i="10" s="1"/>
  <c r="O152" i="10"/>
  <c r="P152" i="10" s="1"/>
  <c r="E152" i="10"/>
  <c r="F152" i="10" s="1"/>
  <c r="O467" i="10"/>
  <c r="P467" i="10" s="1"/>
  <c r="E467" i="10"/>
  <c r="F467" i="10" s="1"/>
  <c r="O278" i="10"/>
  <c r="P278" i="10" s="1"/>
  <c r="E278" i="10"/>
  <c r="F278" i="10" s="1"/>
  <c r="T404" i="10"/>
  <c r="U404" i="10" s="1"/>
  <c r="J404" i="10"/>
  <c r="K404" i="10" s="1"/>
  <c r="T341" i="10"/>
  <c r="U341" i="10" s="1"/>
  <c r="J341" i="10"/>
  <c r="K341" i="10" s="1"/>
  <c r="O215" i="10"/>
  <c r="P215" i="10" s="1"/>
  <c r="E215" i="10"/>
  <c r="F215" i="10" s="1"/>
  <c r="T152" i="10"/>
  <c r="U152" i="10" s="1"/>
  <c r="J152" i="10"/>
  <c r="K152" i="10" s="1"/>
  <c r="J467" i="10"/>
  <c r="K467" i="10" s="1"/>
  <c r="T278" i="10"/>
  <c r="U278" i="10" s="1"/>
  <c r="T89" i="10"/>
  <c r="U89" i="10" s="1"/>
  <c r="J89" i="10"/>
  <c r="K89" i="10" s="1"/>
  <c r="J278" i="10"/>
  <c r="K278" i="10" s="1"/>
  <c r="T467" i="10"/>
  <c r="U467" i="10" s="1"/>
  <c r="O89" i="10"/>
  <c r="P89" i="10" s="1"/>
  <c r="E89" i="10"/>
  <c r="F89" i="10" s="1"/>
  <c r="T415" i="10"/>
  <c r="U415" i="10" s="1"/>
  <c r="J415" i="10"/>
  <c r="K415" i="10" s="1"/>
  <c r="O352" i="10"/>
  <c r="P352" i="10" s="1"/>
  <c r="E352" i="10"/>
  <c r="F352" i="10" s="1"/>
  <c r="T226" i="10"/>
  <c r="U226" i="10" s="1"/>
  <c r="J226" i="10"/>
  <c r="K226" i="10" s="1"/>
  <c r="T163" i="10"/>
  <c r="U163" i="10" s="1"/>
  <c r="J163" i="10"/>
  <c r="K163" i="10" s="1"/>
  <c r="T100" i="10"/>
  <c r="U100" i="10" s="1"/>
  <c r="J100" i="10"/>
  <c r="K100" i="10" s="1"/>
  <c r="O478" i="10"/>
  <c r="P478" i="10" s="1"/>
  <c r="E478" i="10"/>
  <c r="F478" i="10" s="1"/>
  <c r="O289" i="10"/>
  <c r="P289" i="10" s="1"/>
  <c r="E289" i="10"/>
  <c r="F289" i="10" s="1"/>
  <c r="O415" i="10"/>
  <c r="P415" i="10" s="1"/>
  <c r="E415" i="10"/>
  <c r="F415" i="10" s="1"/>
  <c r="T352" i="10"/>
  <c r="U352" i="10" s="1"/>
  <c r="J352" i="10"/>
  <c r="K352" i="10" s="1"/>
  <c r="O226" i="10"/>
  <c r="P226" i="10" s="1"/>
  <c r="E226" i="10"/>
  <c r="F226" i="10" s="1"/>
  <c r="O163" i="10"/>
  <c r="P163" i="10" s="1"/>
  <c r="E163" i="10"/>
  <c r="F163" i="10" s="1"/>
  <c r="O100" i="10"/>
  <c r="P100" i="10" s="1"/>
  <c r="E100" i="10"/>
  <c r="F100" i="10" s="1"/>
  <c r="T478" i="10"/>
  <c r="U478" i="10" s="1"/>
  <c r="J478" i="10"/>
  <c r="K478" i="10" s="1"/>
  <c r="J289" i="10"/>
  <c r="K289" i="10" s="1"/>
  <c r="T289" i="10"/>
  <c r="U289" i="10" s="1"/>
  <c r="T416" i="10"/>
  <c r="U416" i="10" s="1"/>
  <c r="J416" i="10"/>
  <c r="K416" i="10" s="1"/>
  <c r="O353" i="10"/>
  <c r="P353" i="10" s="1"/>
  <c r="E353" i="10"/>
  <c r="F353" i="10" s="1"/>
  <c r="T227" i="10"/>
  <c r="U227" i="10" s="1"/>
  <c r="J227" i="10"/>
  <c r="K227" i="10" s="1"/>
  <c r="T164" i="10"/>
  <c r="U164" i="10" s="1"/>
  <c r="J164" i="10"/>
  <c r="K164" i="10" s="1"/>
  <c r="T101" i="10"/>
  <c r="U101" i="10" s="1"/>
  <c r="J101" i="10"/>
  <c r="K101" i="10" s="1"/>
  <c r="O479" i="10"/>
  <c r="P479" i="10" s="1"/>
  <c r="E479" i="10"/>
  <c r="F479" i="10" s="1"/>
  <c r="O290" i="10"/>
  <c r="P290" i="10" s="1"/>
  <c r="E290" i="10"/>
  <c r="F290" i="10" s="1"/>
  <c r="O416" i="10"/>
  <c r="P416" i="10" s="1"/>
  <c r="E416" i="10"/>
  <c r="F416" i="10" s="1"/>
  <c r="T353" i="10"/>
  <c r="U353" i="10" s="1"/>
  <c r="J353" i="10"/>
  <c r="K353" i="10" s="1"/>
  <c r="O227" i="10"/>
  <c r="P227" i="10" s="1"/>
  <c r="E227" i="10"/>
  <c r="F227" i="10" s="1"/>
  <c r="O164" i="10"/>
  <c r="P164" i="10" s="1"/>
  <c r="E164" i="10"/>
  <c r="F164" i="10" s="1"/>
  <c r="O101" i="10"/>
  <c r="P101" i="10" s="1"/>
  <c r="E101" i="10"/>
  <c r="F101" i="10" s="1"/>
  <c r="J290" i="10"/>
  <c r="K290" i="10" s="1"/>
  <c r="J479" i="10"/>
  <c r="K479" i="10" s="1"/>
  <c r="T290" i="10"/>
  <c r="U290" i="10" s="1"/>
  <c r="T479" i="10"/>
  <c r="U479" i="10" s="1"/>
  <c r="T463" i="10"/>
  <c r="U463" i="10" s="1"/>
  <c r="J337" i="10"/>
  <c r="K337" i="10" s="1"/>
  <c r="T274" i="10"/>
  <c r="U274" i="10" s="1"/>
  <c r="O274" i="10"/>
  <c r="P274" i="10" s="1"/>
  <c r="J274" i="10"/>
  <c r="K274" i="10" s="1"/>
  <c r="E274" i="10"/>
  <c r="F274" i="10" s="1"/>
  <c r="O148" i="10"/>
  <c r="P148" i="10" s="1"/>
  <c r="E148" i="10"/>
  <c r="F148" i="10" s="1"/>
  <c r="E463" i="10"/>
  <c r="F463" i="10" s="1"/>
  <c r="O337" i="10"/>
  <c r="P337" i="10" s="1"/>
  <c r="T211" i="10"/>
  <c r="U211" i="10" s="1"/>
  <c r="O211" i="10"/>
  <c r="P211" i="10" s="1"/>
  <c r="J211" i="10"/>
  <c r="K211" i="10" s="1"/>
  <c r="E211" i="10"/>
  <c r="F211" i="10" s="1"/>
  <c r="J463" i="10"/>
  <c r="K463" i="10" s="1"/>
  <c r="T337" i="10"/>
  <c r="U337" i="10" s="1"/>
  <c r="T148" i="10"/>
  <c r="U148" i="10" s="1"/>
  <c r="J148" i="10"/>
  <c r="K148" i="10" s="1"/>
  <c r="E400" i="10"/>
  <c r="F400" i="10" s="1"/>
  <c r="E337" i="10"/>
  <c r="F337" i="10" s="1"/>
  <c r="T85" i="10"/>
  <c r="U85" i="10" s="1"/>
  <c r="J85" i="10"/>
  <c r="K85" i="10" s="1"/>
  <c r="T400" i="10"/>
  <c r="U400" i="10" s="1"/>
  <c r="O463" i="10"/>
  <c r="P463" i="10" s="1"/>
  <c r="J400" i="10"/>
  <c r="K400" i="10" s="1"/>
  <c r="O400" i="10"/>
  <c r="P400" i="10" s="1"/>
  <c r="O85" i="10"/>
  <c r="P85" i="10" s="1"/>
  <c r="E85" i="10"/>
  <c r="F85" i="10" s="1"/>
  <c r="J84" i="10"/>
  <c r="K84" i="10" s="1"/>
  <c r="E84" i="10"/>
  <c r="F84" i="10" s="1"/>
  <c r="T84" i="10"/>
  <c r="U84" i="10" s="1"/>
  <c r="O84" i="10"/>
  <c r="P84" i="10" s="1"/>
  <c r="E461" i="10"/>
  <c r="F461" i="10" s="1"/>
  <c r="E335" i="10"/>
  <c r="F335" i="10" s="1"/>
  <c r="T272" i="10"/>
  <c r="U272" i="10" s="1"/>
  <c r="O272" i="10"/>
  <c r="P272" i="10" s="1"/>
  <c r="J272" i="10"/>
  <c r="K272" i="10" s="1"/>
  <c r="E272" i="10"/>
  <c r="F272" i="10" s="1"/>
  <c r="O146" i="10"/>
  <c r="P146" i="10" s="1"/>
  <c r="E146" i="10"/>
  <c r="F146" i="10" s="1"/>
  <c r="J461" i="10"/>
  <c r="K461" i="10" s="1"/>
  <c r="J335" i="10"/>
  <c r="K335" i="10" s="1"/>
  <c r="T209" i="10"/>
  <c r="U209" i="10" s="1"/>
  <c r="O209" i="10"/>
  <c r="P209" i="10" s="1"/>
  <c r="J209" i="10"/>
  <c r="K209" i="10" s="1"/>
  <c r="E209" i="10"/>
  <c r="F209" i="10" s="1"/>
  <c r="O461" i="10"/>
  <c r="P461" i="10" s="1"/>
  <c r="O335" i="10"/>
  <c r="P335" i="10" s="1"/>
  <c r="T146" i="10"/>
  <c r="U146" i="10" s="1"/>
  <c r="J146" i="10"/>
  <c r="K146" i="10" s="1"/>
  <c r="E398" i="10"/>
  <c r="F398" i="10" s="1"/>
  <c r="O83" i="10"/>
  <c r="P83" i="10" s="1"/>
  <c r="E83" i="10"/>
  <c r="F83" i="10" s="1"/>
  <c r="T335" i="10"/>
  <c r="U335" i="10" s="1"/>
  <c r="T461" i="10"/>
  <c r="U461" i="10" s="1"/>
  <c r="J398" i="10"/>
  <c r="K398" i="10" s="1"/>
  <c r="O398" i="10"/>
  <c r="P398" i="10" s="1"/>
  <c r="T83" i="10"/>
  <c r="U83" i="10" s="1"/>
  <c r="T398" i="10"/>
  <c r="U398" i="10" s="1"/>
  <c r="J83" i="10"/>
  <c r="K83" i="10" s="1"/>
  <c r="T460" i="10"/>
  <c r="U460" i="10" s="1"/>
  <c r="O397" i="10"/>
  <c r="P397" i="10" s="1"/>
  <c r="E397" i="10"/>
  <c r="F397" i="10" s="1"/>
  <c r="E334" i="10"/>
  <c r="F334" i="10" s="1"/>
  <c r="T208" i="10"/>
  <c r="U208" i="10" s="1"/>
  <c r="J208" i="10"/>
  <c r="K208" i="10" s="1"/>
  <c r="E460" i="10"/>
  <c r="F460" i="10" s="1"/>
  <c r="J334" i="10"/>
  <c r="K334" i="10" s="1"/>
  <c r="O271" i="10"/>
  <c r="P271" i="10" s="1"/>
  <c r="E271" i="10"/>
  <c r="F271" i="10" s="1"/>
  <c r="E82" i="10"/>
  <c r="F82" i="10" s="1"/>
  <c r="J460" i="10"/>
  <c r="K460" i="10" s="1"/>
  <c r="T397" i="10"/>
  <c r="U397" i="10" s="1"/>
  <c r="J397" i="10"/>
  <c r="K397" i="10" s="1"/>
  <c r="O334" i="10"/>
  <c r="P334" i="10" s="1"/>
  <c r="O208" i="10"/>
  <c r="P208" i="10" s="1"/>
  <c r="E208" i="10"/>
  <c r="F208" i="10" s="1"/>
  <c r="O460" i="10"/>
  <c r="P460" i="10" s="1"/>
  <c r="E145" i="10"/>
  <c r="F145" i="10" s="1"/>
  <c r="J145" i="10"/>
  <c r="K145" i="10" s="1"/>
  <c r="J82" i="10"/>
  <c r="K82" i="10" s="1"/>
  <c r="T145" i="10"/>
  <c r="U145" i="10" s="1"/>
  <c r="T82" i="10"/>
  <c r="U82" i="10" s="1"/>
  <c r="T334" i="10"/>
  <c r="U334" i="10" s="1"/>
  <c r="J271" i="10"/>
  <c r="K271" i="10" s="1"/>
  <c r="T271" i="10"/>
  <c r="U271" i="10" s="1"/>
  <c r="O145" i="10"/>
  <c r="P145" i="10" s="1"/>
  <c r="O82" i="10"/>
  <c r="P82" i="10" s="1"/>
  <c r="T409" i="10"/>
  <c r="U409" i="10" s="1"/>
  <c r="J409" i="10"/>
  <c r="K409" i="10" s="1"/>
  <c r="O346" i="10"/>
  <c r="P346" i="10" s="1"/>
  <c r="E346" i="10"/>
  <c r="F346" i="10" s="1"/>
  <c r="T220" i="10"/>
  <c r="U220" i="10" s="1"/>
  <c r="J220" i="10"/>
  <c r="K220" i="10" s="1"/>
  <c r="T157" i="10"/>
  <c r="U157" i="10" s="1"/>
  <c r="J157" i="10"/>
  <c r="K157" i="10" s="1"/>
  <c r="T94" i="10"/>
  <c r="U94" i="10" s="1"/>
  <c r="J94" i="10"/>
  <c r="K94" i="10" s="1"/>
  <c r="O472" i="10"/>
  <c r="P472" i="10" s="1"/>
  <c r="E472" i="10"/>
  <c r="F472" i="10" s="1"/>
  <c r="O283" i="10"/>
  <c r="P283" i="10" s="1"/>
  <c r="E283" i="10"/>
  <c r="F283" i="10" s="1"/>
  <c r="O409" i="10"/>
  <c r="P409" i="10" s="1"/>
  <c r="E409" i="10"/>
  <c r="F409" i="10" s="1"/>
  <c r="T346" i="10"/>
  <c r="U346" i="10" s="1"/>
  <c r="J346" i="10"/>
  <c r="K346" i="10" s="1"/>
  <c r="O220" i="10"/>
  <c r="P220" i="10" s="1"/>
  <c r="E220" i="10"/>
  <c r="F220" i="10" s="1"/>
  <c r="O157" i="10"/>
  <c r="P157" i="10" s="1"/>
  <c r="E157" i="10"/>
  <c r="F157" i="10" s="1"/>
  <c r="O94" i="10"/>
  <c r="P94" i="10" s="1"/>
  <c r="E94" i="10"/>
  <c r="F94" i="10" s="1"/>
  <c r="J283" i="10"/>
  <c r="K283" i="10" s="1"/>
  <c r="J472" i="10"/>
  <c r="K472" i="10" s="1"/>
  <c r="T283" i="10"/>
  <c r="U283" i="10" s="1"/>
  <c r="T472" i="10"/>
  <c r="U472" i="10" s="1"/>
  <c r="O405" i="10"/>
  <c r="P405" i="10" s="1"/>
  <c r="E405" i="10"/>
  <c r="F405" i="10" s="1"/>
  <c r="O342" i="10"/>
  <c r="P342" i="10" s="1"/>
  <c r="E342" i="10"/>
  <c r="F342" i="10" s="1"/>
  <c r="T216" i="10"/>
  <c r="U216" i="10" s="1"/>
  <c r="J216" i="10"/>
  <c r="K216" i="10" s="1"/>
  <c r="O153" i="10"/>
  <c r="P153" i="10" s="1"/>
  <c r="E153" i="10"/>
  <c r="F153" i="10" s="1"/>
  <c r="O468" i="10"/>
  <c r="P468" i="10" s="1"/>
  <c r="E468" i="10"/>
  <c r="F468" i="10" s="1"/>
  <c r="O279" i="10"/>
  <c r="P279" i="10" s="1"/>
  <c r="E279" i="10"/>
  <c r="F279" i="10" s="1"/>
  <c r="T405" i="10"/>
  <c r="U405" i="10" s="1"/>
  <c r="J405" i="10"/>
  <c r="K405" i="10" s="1"/>
  <c r="T342" i="10"/>
  <c r="U342" i="10" s="1"/>
  <c r="J342" i="10"/>
  <c r="K342" i="10" s="1"/>
  <c r="O216" i="10"/>
  <c r="P216" i="10" s="1"/>
  <c r="E216" i="10"/>
  <c r="F216" i="10" s="1"/>
  <c r="T153" i="10"/>
  <c r="U153" i="10" s="1"/>
  <c r="J153" i="10"/>
  <c r="K153" i="10" s="1"/>
  <c r="T90" i="10"/>
  <c r="U90" i="10" s="1"/>
  <c r="J90" i="10"/>
  <c r="K90" i="10" s="1"/>
  <c r="T468" i="10"/>
  <c r="U468" i="10" s="1"/>
  <c r="J279" i="10"/>
  <c r="K279" i="10" s="1"/>
  <c r="J468" i="10"/>
  <c r="K468" i="10" s="1"/>
  <c r="T279" i="10"/>
  <c r="U279" i="10" s="1"/>
  <c r="O90" i="10"/>
  <c r="P90" i="10" s="1"/>
  <c r="E90" i="10"/>
  <c r="F90" i="10" s="1"/>
  <c r="T221" i="12"/>
  <c r="U221" i="12" s="1"/>
  <c r="E221" i="12"/>
  <c r="F221" i="12" s="1"/>
  <c r="J158" i="12"/>
  <c r="K158" i="12" s="1"/>
  <c r="T95" i="12"/>
  <c r="U95" i="12" s="1"/>
  <c r="E95" i="12"/>
  <c r="F95" i="12" s="1"/>
  <c r="E158" i="12"/>
  <c r="F158" i="12" s="1"/>
  <c r="T158" i="12"/>
  <c r="U158" i="12" s="1"/>
  <c r="J95" i="12"/>
  <c r="K95" i="12" s="1"/>
  <c r="J221" i="12"/>
  <c r="K221" i="12" s="1"/>
  <c r="T283" i="11"/>
  <c r="U283" i="11" s="1"/>
  <c r="J283" i="11"/>
  <c r="K283" i="11" s="1"/>
  <c r="O283" i="11"/>
  <c r="P283" i="11" s="1"/>
  <c r="O220" i="11"/>
  <c r="P220" i="11" s="1"/>
  <c r="E220" i="11"/>
  <c r="F220" i="11" s="1"/>
  <c r="T157" i="11"/>
  <c r="U157" i="11" s="1"/>
  <c r="J157" i="11"/>
  <c r="K157" i="11" s="1"/>
  <c r="O94" i="11"/>
  <c r="P94" i="11" s="1"/>
  <c r="E94" i="11"/>
  <c r="F94" i="11" s="1"/>
  <c r="T220" i="11"/>
  <c r="U220" i="11" s="1"/>
  <c r="J220" i="11"/>
  <c r="K220" i="11" s="1"/>
  <c r="O157" i="11"/>
  <c r="P157" i="11" s="1"/>
  <c r="E157" i="11"/>
  <c r="F157" i="11" s="1"/>
  <c r="E283" i="11"/>
  <c r="F283" i="11" s="1"/>
  <c r="J94" i="11"/>
  <c r="K94" i="11" s="1"/>
  <c r="T94" i="11"/>
  <c r="U94" i="11" s="1"/>
  <c r="T217" i="12"/>
  <c r="U217" i="12" s="1"/>
  <c r="E217" i="12"/>
  <c r="F217" i="12" s="1"/>
  <c r="J154" i="12"/>
  <c r="K154" i="12" s="1"/>
  <c r="T91" i="12"/>
  <c r="U91" i="12" s="1"/>
  <c r="E91" i="12"/>
  <c r="F91" i="12" s="1"/>
  <c r="J217" i="12"/>
  <c r="K217" i="12" s="1"/>
  <c r="T154" i="12"/>
  <c r="U154" i="12" s="1"/>
  <c r="E154" i="12"/>
  <c r="F154" i="12" s="1"/>
  <c r="J91" i="12"/>
  <c r="K91" i="12" s="1"/>
  <c r="O279" i="11"/>
  <c r="P279" i="11" s="1"/>
  <c r="E279" i="11"/>
  <c r="F279" i="11" s="1"/>
  <c r="T216" i="11"/>
  <c r="U216" i="11" s="1"/>
  <c r="J216" i="11"/>
  <c r="K216" i="11" s="1"/>
  <c r="O153" i="11"/>
  <c r="P153" i="11" s="1"/>
  <c r="E153" i="11"/>
  <c r="F153" i="11" s="1"/>
  <c r="J279" i="11"/>
  <c r="K279" i="11" s="1"/>
  <c r="O90" i="11"/>
  <c r="P90" i="11" s="1"/>
  <c r="E90" i="11"/>
  <c r="F90" i="11" s="1"/>
  <c r="T279" i="11"/>
  <c r="U279" i="11" s="1"/>
  <c r="O216" i="11"/>
  <c r="P216" i="11" s="1"/>
  <c r="E216" i="11"/>
  <c r="F216" i="11" s="1"/>
  <c r="T153" i="11"/>
  <c r="U153" i="11" s="1"/>
  <c r="J153" i="11"/>
  <c r="K153" i="11" s="1"/>
  <c r="T90" i="11"/>
  <c r="U90" i="11" s="1"/>
  <c r="J90" i="11"/>
  <c r="K90" i="11" s="1"/>
  <c r="J244" i="12"/>
  <c r="K244" i="12" s="1"/>
  <c r="T181" i="12"/>
  <c r="U181" i="12" s="1"/>
  <c r="J118" i="12"/>
  <c r="K118" i="12" s="1"/>
  <c r="E181" i="12"/>
  <c r="F181" i="12" s="1"/>
  <c r="T244" i="12"/>
  <c r="U244" i="12" s="1"/>
  <c r="E244" i="12"/>
  <c r="F244" i="12" s="1"/>
  <c r="T118" i="12"/>
  <c r="U118" i="12" s="1"/>
  <c r="E118" i="12"/>
  <c r="F118" i="12" s="1"/>
  <c r="J181" i="12"/>
  <c r="K181" i="12" s="1"/>
  <c r="K102" i="11" l="1"/>
  <c r="L102" i="11" s="1"/>
  <c r="L103" i="11" s="1"/>
  <c r="F102" i="11"/>
  <c r="G102" i="11" s="1"/>
  <c r="G103" i="11" s="1"/>
  <c r="F228" i="11"/>
  <c r="G228" i="11" s="1"/>
  <c r="G229" i="11" s="1"/>
  <c r="F163" i="12"/>
  <c r="F165" i="12" s="1"/>
  <c r="G165" i="12" s="1"/>
  <c r="G166" i="12" s="1"/>
  <c r="F254" i="12"/>
  <c r="G254" i="12" s="1"/>
  <c r="F165" i="11"/>
  <c r="G165" i="11" s="1"/>
  <c r="G166" i="11" s="1"/>
  <c r="P102" i="11"/>
  <c r="Q102" i="11" s="1"/>
  <c r="Q103" i="11" s="1"/>
  <c r="U165" i="11"/>
  <c r="V165" i="11" s="1"/>
  <c r="V166" i="11" s="1"/>
  <c r="K291" i="11"/>
  <c r="L291" i="11" s="1"/>
  <c r="L292" i="11" s="1"/>
  <c r="U152" i="11"/>
  <c r="F128" i="12"/>
  <c r="G128" i="12" s="1"/>
  <c r="K165" i="11"/>
  <c r="L165" i="11" s="1"/>
  <c r="L166" i="11" s="1"/>
  <c r="P165" i="11"/>
  <c r="Q165" i="11" s="1"/>
  <c r="Q166" i="11" s="1"/>
  <c r="P228" i="11"/>
  <c r="Q228" i="11" s="1"/>
  <c r="Q229" i="11" s="1"/>
  <c r="U291" i="11"/>
  <c r="V291" i="11" s="1"/>
  <c r="V292" i="11" s="1"/>
  <c r="F191" i="12"/>
  <c r="G191" i="12" s="1"/>
  <c r="U228" i="11"/>
  <c r="V228" i="11" s="1"/>
  <c r="V229" i="11" s="1"/>
  <c r="F102" i="12"/>
  <c r="G102" i="12" s="1"/>
  <c r="G103" i="12" s="1"/>
  <c r="F226" i="12"/>
  <c r="F228" i="12" s="1"/>
  <c r="G228" i="12" s="1"/>
  <c r="G229" i="12" s="1"/>
  <c r="U102" i="11"/>
  <c r="V102" i="11" s="1"/>
  <c r="V103" i="11" s="1"/>
  <c r="P291" i="11"/>
  <c r="Q291" i="11" s="1"/>
  <c r="Q292" i="11" s="1"/>
  <c r="F291" i="11"/>
  <c r="G291" i="11" s="1"/>
  <c r="G292" i="11" s="1"/>
  <c r="K228" i="11"/>
  <c r="L228" i="11" s="1"/>
  <c r="L229" i="11" s="1"/>
  <c r="E28" i="19" l="1"/>
  <c r="D28" i="19"/>
  <c r="E22" i="19"/>
  <c r="D22" i="19"/>
  <c r="D21" i="19"/>
  <c r="D13" i="19"/>
  <c r="E13" i="19"/>
  <c r="O55" i="14"/>
  <c r="O38" i="14"/>
  <c r="O37" i="14"/>
  <c r="O33" i="14"/>
  <c r="O32" i="14"/>
  <c r="O31" i="14"/>
  <c r="O30" i="14"/>
  <c r="O29" i="14"/>
  <c r="O28" i="14"/>
  <c r="O27" i="14"/>
  <c r="O26" i="14"/>
  <c r="O25" i="14"/>
  <c r="O22" i="14"/>
  <c r="P22" i="14" s="1"/>
  <c r="O21" i="14"/>
  <c r="P21" i="14" s="1"/>
  <c r="O20" i="14"/>
  <c r="P20" i="14" s="1"/>
  <c r="O19" i="14"/>
  <c r="P19" i="14" s="1"/>
  <c r="J55" i="14"/>
  <c r="J38" i="14"/>
  <c r="J37" i="14"/>
  <c r="J33" i="14"/>
  <c r="J32" i="14"/>
  <c r="J31" i="14"/>
  <c r="J30" i="14"/>
  <c r="J29" i="14"/>
  <c r="J28" i="14"/>
  <c r="J27" i="14"/>
  <c r="J26" i="14"/>
  <c r="J25" i="14"/>
  <c r="J22" i="14"/>
  <c r="J21" i="14"/>
  <c r="J20" i="14"/>
  <c r="J19" i="14"/>
  <c r="E55" i="14"/>
  <c r="E38" i="14"/>
  <c r="E37" i="14"/>
  <c r="E33" i="14"/>
  <c r="E32" i="14"/>
  <c r="E31" i="14"/>
  <c r="E30" i="14"/>
  <c r="E29" i="14"/>
  <c r="E28" i="14"/>
  <c r="E27" i="14"/>
  <c r="E26" i="14"/>
  <c r="E25" i="14"/>
  <c r="E22" i="14"/>
  <c r="E21" i="14"/>
  <c r="E20" i="14"/>
  <c r="E19" i="14"/>
  <c r="M55" i="14"/>
  <c r="M54" i="14"/>
  <c r="N54" i="14" s="1"/>
  <c r="M38" i="14"/>
  <c r="N38" i="14" s="1"/>
  <c r="M37" i="14"/>
  <c r="N37" i="14" s="1"/>
  <c r="M33" i="14"/>
  <c r="M32" i="14"/>
  <c r="N32" i="14" s="1"/>
  <c r="M31" i="14"/>
  <c r="N31" i="14" s="1"/>
  <c r="M30" i="14"/>
  <c r="N30" i="14" s="1"/>
  <c r="M29" i="14"/>
  <c r="N29" i="14" s="1"/>
  <c r="M28" i="14"/>
  <c r="N28" i="14" s="1"/>
  <c r="M27" i="14"/>
  <c r="N27" i="14" s="1"/>
  <c r="M26" i="14"/>
  <c r="N26" i="14" s="1"/>
  <c r="M25" i="14"/>
  <c r="M24" i="14"/>
  <c r="N24" i="14" s="1"/>
  <c r="M22" i="14"/>
  <c r="N22" i="14" s="1"/>
  <c r="M21" i="14"/>
  <c r="N21" i="14" s="1"/>
  <c r="M20" i="14"/>
  <c r="N20" i="14" s="1"/>
  <c r="M19" i="14"/>
  <c r="N19" i="14" s="1"/>
  <c r="M18" i="14"/>
  <c r="N18" i="14" s="1"/>
  <c r="H14" i="14"/>
  <c r="H13" i="14"/>
  <c r="H12" i="14"/>
  <c r="C55" i="14"/>
  <c r="C54" i="14"/>
  <c r="C38" i="14"/>
  <c r="C37" i="14"/>
  <c r="C33" i="14"/>
  <c r="C32" i="14"/>
  <c r="C31" i="14"/>
  <c r="C30" i="14"/>
  <c r="C29" i="14"/>
  <c r="C28" i="14"/>
  <c r="C27" i="14"/>
  <c r="C26" i="14"/>
  <c r="C25" i="14"/>
  <c r="C24" i="14"/>
  <c r="D24" i="14" s="1"/>
  <c r="C22" i="14"/>
  <c r="C21" i="14"/>
  <c r="C20" i="14"/>
  <c r="C19" i="14"/>
  <c r="C18" i="14"/>
  <c r="N55" i="14"/>
  <c r="N44" i="14"/>
  <c r="O43" i="14"/>
  <c r="P43" i="14" s="1"/>
  <c r="M43" i="14"/>
  <c r="N43" i="14" s="1"/>
  <c r="O42" i="14"/>
  <c r="M42" i="14"/>
  <c r="N33" i="14"/>
  <c r="N25" i="14"/>
  <c r="O14" i="14"/>
  <c r="M14" i="14"/>
  <c r="O13" i="14"/>
  <c r="M13" i="14"/>
  <c r="O12" i="14"/>
  <c r="M12" i="14"/>
  <c r="E21" i="19"/>
  <c r="E12" i="19"/>
  <c r="D12" i="19"/>
  <c r="H55" i="13"/>
  <c r="I55" i="13" s="1"/>
  <c r="H54" i="13"/>
  <c r="I54" i="13" s="1"/>
  <c r="H38" i="13"/>
  <c r="H37" i="13"/>
  <c r="H33" i="13"/>
  <c r="I33" i="13" s="1"/>
  <c r="H32" i="13"/>
  <c r="I32" i="13" s="1"/>
  <c r="H31" i="13"/>
  <c r="H30" i="13"/>
  <c r="I30" i="13" s="1"/>
  <c r="H29" i="13"/>
  <c r="I29" i="13" s="1"/>
  <c r="H28" i="13"/>
  <c r="I28" i="13" s="1"/>
  <c r="H27" i="13"/>
  <c r="H26" i="13"/>
  <c r="I26" i="13" s="1"/>
  <c r="H25" i="13"/>
  <c r="I25" i="13" s="1"/>
  <c r="H24" i="13"/>
  <c r="I24" i="13" s="1"/>
  <c r="H22" i="13"/>
  <c r="H21" i="13"/>
  <c r="H20" i="13"/>
  <c r="H19" i="13"/>
  <c r="H18" i="13"/>
  <c r="I27" i="13"/>
  <c r="I31" i="13"/>
  <c r="J55" i="13"/>
  <c r="J38" i="13"/>
  <c r="J37" i="13"/>
  <c r="J33" i="13"/>
  <c r="J32" i="13"/>
  <c r="J31" i="13"/>
  <c r="J30" i="13"/>
  <c r="J29" i="13"/>
  <c r="J28" i="13"/>
  <c r="J27" i="13"/>
  <c r="J26" i="13"/>
  <c r="J25" i="13"/>
  <c r="J22" i="13"/>
  <c r="J21" i="13"/>
  <c r="J20" i="13"/>
  <c r="J19" i="13"/>
  <c r="E55" i="13"/>
  <c r="E38" i="13"/>
  <c r="E37" i="13"/>
  <c r="E33" i="13"/>
  <c r="E32" i="13"/>
  <c r="E31" i="13"/>
  <c r="E30" i="13"/>
  <c r="E29" i="13"/>
  <c r="E28" i="13"/>
  <c r="E27" i="13"/>
  <c r="E26" i="13"/>
  <c r="E25" i="13"/>
  <c r="E22" i="13"/>
  <c r="E21" i="13"/>
  <c r="E20" i="13"/>
  <c r="E19" i="13"/>
  <c r="C55" i="13"/>
  <c r="D55" i="13" s="1"/>
  <c r="C54" i="13"/>
  <c r="D54" i="13" s="1"/>
  <c r="C38" i="13"/>
  <c r="C37" i="13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C25" i="13"/>
  <c r="D25" i="13" s="1"/>
  <c r="C24" i="13"/>
  <c r="D24" i="13" s="1"/>
  <c r="C22" i="13"/>
  <c r="C21" i="13"/>
  <c r="C20" i="13"/>
  <c r="C19" i="13"/>
  <c r="C18" i="13"/>
  <c r="O54" i="14" l="1"/>
  <c r="N39" i="14"/>
  <c r="E27" i="19" l="1"/>
  <c r="D27" i="19"/>
  <c r="E34" i="19"/>
  <c r="D34" i="19"/>
  <c r="E29" i="19"/>
  <c r="D29" i="19"/>
  <c r="E23" i="19"/>
  <c r="D23" i="19"/>
  <c r="E14" i="19"/>
  <c r="D14" i="19"/>
  <c r="F8" i="17"/>
  <c r="F7" i="17"/>
  <c r="C55" i="17"/>
  <c r="D55" i="17" s="1"/>
  <c r="C54" i="17"/>
  <c r="E54" i="17" s="1"/>
  <c r="C38" i="17"/>
  <c r="C37" i="17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2" i="17"/>
  <c r="C21" i="17"/>
  <c r="D21" i="17" s="1"/>
  <c r="C20" i="17"/>
  <c r="C19" i="17"/>
  <c r="D19" i="17" s="1"/>
  <c r="C18" i="17"/>
  <c r="E55" i="17"/>
  <c r="D44" i="17"/>
  <c r="E43" i="17"/>
  <c r="F43" i="17" s="1"/>
  <c r="C43" i="17"/>
  <c r="D43" i="17" s="1"/>
  <c r="E42" i="17"/>
  <c r="C42" i="17"/>
  <c r="E38" i="17"/>
  <c r="E37" i="17"/>
  <c r="F37" i="17" s="1"/>
  <c r="E33" i="17"/>
  <c r="E32" i="17"/>
  <c r="F32" i="17" s="1"/>
  <c r="E31" i="17"/>
  <c r="E30" i="17"/>
  <c r="E29" i="17"/>
  <c r="E28" i="17"/>
  <c r="E27" i="17"/>
  <c r="E26" i="17"/>
  <c r="E25" i="17"/>
  <c r="E22" i="17"/>
  <c r="F22" i="17" s="1"/>
  <c r="D22" i="17"/>
  <c r="E21" i="17"/>
  <c r="F21" i="17" s="1"/>
  <c r="E20" i="17"/>
  <c r="F20" i="17" s="1"/>
  <c r="D20" i="17"/>
  <c r="E19" i="17"/>
  <c r="F19" i="17" s="1"/>
  <c r="D18" i="17"/>
  <c r="E14" i="17"/>
  <c r="C14" i="17"/>
  <c r="E13" i="17"/>
  <c r="C13" i="17"/>
  <c r="E12" i="17"/>
  <c r="C12" i="17"/>
  <c r="F9" i="17"/>
  <c r="D9" i="17"/>
  <c r="D1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2" i="17" s="1"/>
  <c r="A63" i="17" s="1"/>
  <c r="A64" i="17" s="1"/>
  <c r="A65" i="17" s="1"/>
  <c r="A66" i="17" s="1"/>
  <c r="F44" i="17"/>
  <c r="E20" i="19"/>
  <c r="E11" i="19"/>
  <c r="I25" i="20"/>
  <c r="D25" i="20"/>
  <c r="J56" i="20"/>
  <c r="J39" i="20"/>
  <c r="J38" i="20"/>
  <c r="J34" i="20"/>
  <c r="J33" i="20"/>
  <c r="J32" i="20"/>
  <c r="J31" i="20"/>
  <c r="J30" i="20"/>
  <c r="J29" i="20"/>
  <c r="J28" i="20"/>
  <c r="J27" i="20"/>
  <c r="J26" i="20"/>
  <c r="J22" i="20"/>
  <c r="K22" i="20" s="1"/>
  <c r="J21" i="20"/>
  <c r="K21" i="20" s="1"/>
  <c r="J20" i="20"/>
  <c r="K20" i="20" s="1"/>
  <c r="J19" i="20"/>
  <c r="K19" i="20" s="1"/>
  <c r="H56" i="20"/>
  <c r="H55" i="20"/>
  <c r="J55" i="20" s="1"/>
  <c r="H39" i="20"/>
  <c r="H38" i="20"/>
  <c r="I38" i="20" s="1"/>
  <c r="H34" i="20"/>
  <c r="I34" i="20" s="1"/>
  <c r="H33" i="20"/>
  <c r="I33" i="20" s="1"/>
  <c r="H32" i="20"/>
  <c r="H31" i="20"/>
  <c r="H30" i="20"/>
  <c r="I30" i="20" s="1"/>
  <c r="H29" i="20"/>
  <c r="I29" i="20" s="1"/>
  <c r="H28" i="20"/>
  <c r="H27" i="20"/>
  <c r="H26" i="20"/>
  <c r="I26" i="20" s="1"/>
  <c r="H24" i="20"/>
  <c r="I24" i="20" s="1"/>
  <c r="H22" i="20"/>
  <c r="I22" i="20" s="1"/>
  <c r="H21" i="20"/>
  <c r="I21" i="20" s="1"/>
  <c r="H20" i="20"/>
  <c r="I20" i="20" s="1"/>
  <c r="H19" i="20"/>
  <c r="I19" i="20" s="1"/>
  <c r="H18" i="20"/>
  <c r="I18" i="20" s="1"/>
  <c r="E56" i="20"/>
  <c r="E39" i="20"/>
  <c r="E38" i="20"/>
  <c r="E34" i="20"/>
  <c r="E33" i="20"/>
  <c r="E32" i="20"/>
  <c r="E31" i="20"/>
  <c r="E30" i="20"/>
  <c r="E29" i="20"/>
  <c r="E28" i="20"/>
  <c r="E27" i="20"/>
  <c r="E26" i="20"/>
  <c r="E22" i="20"/>
  <c r="F22" i="20" s="1"/>
  <c r="E21" i="20"/>
  <c r="F21" i="20" s="1"/>
  <c r="E20" i="20"/>
  <c r="F20" i="20" s="1"/>
  <c r="E19" i="20"/>
  <c r="F19" i="20" s="1"/>
  <c r="C56" i="20"/>
  <c r="C55" i="20"/>
  <c r="D55" i="20" s="1"/>
  <c r="C39" i="20"/>
  <c r="D39" i="20" s="1"/>
  <c r="C38" i="20"/>
  <c r="C34" i="20"/>
  <c r="D34" i="20" s="1"/>
  <c r="C33" i="20"/>
  <c r="D33" i="20" s="1"/>
  <c r="C32" i="20"/>
  <c r="D32" i="20" s="1"/>
  <c r="C31" i="20"/>
  <c r="C30" i="20"/>
  <c r="D30" i="20" s="1"/>
  <c r="C29" i="20"/>
  <c r="D29" i="20" s="1"/>
  <c r="C28" i="20"/>
  <c r="D28" i="20" s="1"/>
  <c r="C27" i="20"/>
  <c r="C26" i="20"/>
  <c r="D26" i="20" s="1"/>
  <c r="C24" i="20"/>
  <c r="C22" i="20"/>
  <c r="D22" i="20" s="1"/>
  <c r="C21" i="20"/>
  <c r="D21" i="20" s="1"/>
  <c r="C20" i="20"/>
  <c r="D20" i="20" s="1"/>
  <c r="C19" i="20"/>
  <c r="D19" i="20" s="1"/>
  <c r="C18" i="20"/>
  <c r="D18" i="20" s="1"/>
  <c r="I7" i="20"/>
  <c r="K7" i="20" s="1"/>
  <c r="D7" i="20"/>
  <c r="F7" i="20" s="1"/>
  <c r="I56" i="20"/>
  <c r="D56" i="20"/>
  <c r="I45" i="20"/>
  <c r="J44" i="20"/>
  <c r="K44" i="20" s="1"/>
  <c r="H44" i="20"/>
  <c r="I44" i="20" s="1"/>
  <c r="E44" i="20"/>
  <c r="F44" i="20" s="1"/>
  <c r="C44" i="20"/>
  <c r="D44" i="20" s="1"/>
  <c r="J43" i="20"/>
  <c r="H43" i="20"/>
  <c r="E43" i="20"/>
  <c r="C43" i="20"/>
  <c r="D31" i="20"/>
  <c r="D24" i="20"/>
  <c r="J14" i="20"/>
  <c r="H14" i="20"/>
  <c r="E14" i="20"/>
  <c r="C14" i="20"/>
  <c r="J13" i="20"/>
  <c r="H13" i="20"/>
  <c r="E13" i="20"/>
  <c r="C13" i="20"/>
  <c r="J12" i="20"/>
  <c r="H12" i="20"/>
  <c r="E12" i="20"/>
  <c r="C12" i="20"/>
  <c r="K9" i="20"/>
  <c r="I9" i="20"/>
  <c r="I10" i="20" s="1"/>
  <c r="F9" i="20"/>
  <c r="D9" i="20"/>
  <c r="D10" i="20" s="1"/>
  <c r="K8" i="20"/>
  <c r="K25" i="20" s="1"/>
  <c r="F8" i="20"/>
  <c r="F25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E55" i="20" l="1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3" i="20" s="1"/>
  <c r="A64" i="20" s="1"/>
  <c r="A65" i="20" s="1"/>
  <c r="A66" i="20" s="1"/>
  <c r="A67" i="20" s="1"/>
  <c r="D20" i="19"/>
  <c r="D11" i="19"/>
  <c r="D54" i="17"/>
  <c r="D38" i="17"/>
  <c r="D37" i="17"/>
  <c r="D39" i="17" s="1"/>
  <c r="K28" i="20"/>
  <c r="D42" i="17"/>
  <c r="D46" i="17" s="1"/>
  <c r="F29" i="17"/>
  <c r="F27" i="17"/>
  <c r="F30" i="17"/>
  <c r="F38" i="17"/>
  <c r="F54" i="17"/>
  <c r="F25" i="17"/>
  <c r="F33" i="17"/>
  <c r="F26" i="17"/>
  <c r="F31" i="17"/>
  <c r="F55" i="17"/>
  <c r="D65" i="17"/>
  <c r="F28" i="17"/>
  <c r="F10" i="17"/>
  <c r="F31" i="20"/>
  <c r="D27" i="20"/>
  <c r="D66" i="20" s="1"/>
  <c r="D38" i="20"/>
  <c r="D40" i="20" s="1"/>
  <c r="F32" i="20"/>
  <c r="I27" i="20"/>
  <c r="I31" i="20"/>
  <c r="I55" i="20"/>
  <c r="I28" i="20"/>
  <c r="I32" i="20"/>
  <c r="I39" i="20"/>
  <c r="I40" i="20" s="1"/>
  <c r="K31" i="20"/>
  <c r="K33" i="20"/>
  <c r="K34" i="20"/>
  <c r="F45" i="20"/>
  <c r="F27" i="20"/>
  <c r="D45" i="20"/>
  <c r="K45" i="20"/>
  <c r="F34" i="20"/>
  <c r="F26" i="20"/>
  <c r="F56" i="20"/>
  <c r="F39" i="20"/>
  <c r="K10" i="20"/>
  <c r="F28" i="20"/>
  <c r="F38" i="20"/>
  <c r="D43" i="20"/>
  <c r="K56" i="20"/>
  <c r="K26" i="20"/>
  <c r="K38" i="20"/>
  <c r="K27" i="20"/>
  <c r="K29" i="20"/>
  <c r="F30" i="20"/>
  <c r="K30" i="20"/>
  <c r="K39" i="20"/>
  <c r="F10" i="20"/>
  <c r="F29" i="20"/>
  <c r="F33" i="20"/>
  <c r="I43" i="20"/>
  <c r="I47" i="20" s="1"/>
  <c r="K55" i="20"/>
  <c r="K32" i="20"/>
  <c r="F55" i="20"/>
  <c r="E10" i="19"/>
  <c r="D10" i="19"/>
  <c r="E55" i="18"/>
  <c r="E38" i="18"/>
  <c r="E37" i="18"/>
  <c r="E33" i="18"/>
  <c r="E32" i="18"/>
  <c r="E31" i="18"/>
  <c r="E30" i="18"/>
  <c r="E29" i="18"/>
  <c r="E28" i="18"/>
  <c r="E27" i="18"/>
  <c r="E26" i="18"/>
  <c r="E25" i="18"/>
  <c r="E22" i="18"/>
  <c r="F22" i="18" s="1"/>
  <c r="E21" i="18"/>
  <c r="F21" i="18" s="1"/>
  <c r="E20" i="18"/>
  <c r="F20" i="18" s="1"/>
  <c r="E19" i="18"/>
  <c r="F19" i="18" s="1"/>
  <c r="C55" i="18"/>
  <c r="D55" i="18" s="1"/>
  <c r="C54" i="18"/>
  <c r="D54" i="18" s="1"/>
  <c r="C38" i="18"/>
  <c r="D38" i="18" s="1"/>
  <c r="C37" i="18"/>
  <c r="D37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C27" i="18"/>
  <c r="D27" i="18" s="1"/>
  <c r="C26" i="18"/>
  <c r="D26" i="18" s="1"/>
  <c r="C25" i="18"/>
  <c r="D25" i="18" s="1"/>
  <c r="C24" i="18"/>
  <c r="D24" i="18" s="1"/>
  <c r="C22" i="18"/>
  <c r="C21" i="18"/>
  <c r="C20" i="18"/>
  <c r="D20" i="18" s="1"/>
  <c r="C19" i="18"/>
  <c r="C18" i="18"/>
  <c r="D18" i="18" s="1"/>
  <c r="D44" i="18"/>
  <c r="F43" i="18"/>
  <c r="E43" i="18"/>
  <c r="C43" i="18"/>
  <c r="D43" i="18" s="1"/>
  <c r="E42" i="18"/>
  <c r="C42" i="18"/>
  <c r="D22" i="18"/>
  <c r="D21" i="18"/>
  <c r="D19" i="18"/>
  <c r="E14" i="18"/>
  <c r="C14" i="18"/>
  <c r="E13" i="18"/>
  <c r="C13" i="18"/>
  <c r="E12" i="18"/>
  <c r="C12" i="18"/>
  <c r="F9" i="18"/>
  <c r="D9" i="18"/>
  <c r="D10" i="18" s="1"/>
  <c r="F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2" i="18" s="1"/>
  <c r="A63" i="18" s="1"/>
  <c r="A64" i="18" s="1"/>
  <c r="A65" i="18" s="1"/>
  <c r="A66" i="18" s="1"/>
  <c r="F7" i="18"/>
  <c r="E33" i="19"/>
  <c r="D33" i="19"/>
  <c r="E19" i="19"/>
  <c r="D19" i="19"/>
  <c r="D9" i="19"/>
  <c r="E9" i="19"/>
  <c r="D32" i="19"/>
  <c r="D26" i="19"/>
  <c r="D18" i="19"/>
  <c r="D8" i="19"/>
  <c r="D31" i="19"/>
  <c r="D25" i="19"/>
  <c r="D17" i="19"/>
  <c r="D7" i="19"/>
  <c r="F26" i="18" l="1"/>
  <c r="F30" i="18"/>
  <c r="F37" i="18"/>
  <c r="D47" i="20"/>
  <c r="E54" i="18"/>
  <c r="F54" i="18" s="1"/>
  <c r="F27" i="18"/>
  <c r="F31" i="18"/>
  <c r="F38" i="18"/>
  <c r="F28" i="18"/>
  <c r="F32" i="18"/>
  <c r="F55" i="18"/>
  <c r="F25" i="18"/>
  <c r="F29" i="18"/>
  <c r="F33" i="18"/>
  <c r="F39" i="17"/>
  <c r="G39" i="17" s="1"/>
  <c r="G40" i="17" s="1"/>
  <c r="F65" i="17"/>
  <c r="G65" i="17" s="1"/>
  <c r="F42" i="17"/>
  <c r="F46" i="17" s="1"/>
  <c r="G46" i="17" s="1"/>
  <c r="G47" i="17" s="1"/>
  <c r="I66" i="20"/>
  <c r="K40" i="20"/>
  <c r="L40" i="20" s="1"/>
  <c r="L41" i="20" s="1"/>
  <c r="K66" i="20"/>
  <c r="F66" i="20"/>
  <c r="G66" i="20" s="1"/>
  <c r="F43" i="20"/>
  <c r="F47" i="20" s="1"/>
  <c r="F40" i="20"/>
  <c r="G40" i="20" s="1"/>
  <c r="G41" i="20" s="1"/>
  <c r="K43" i="20"/>
  <c r="K47" i="20" s="1"/>
  <c r="L47" i="20" s="1"/>
  <c r="L48" i="20" s="1"/>
  <c r="D42" i="18"/>
  <c r="D46" i="18" s="1"/>
  <c r="D39" i="18"/>
  <c r="D65" i="18"/>
  <c r="F10" i="18"/>
  <c r="F44" i="18"/>
  <c r="G47" i="20" l="1"/>
  <c r="G48" i="20" s="1"/>
  <c r="L66" i="20"/>
  <c r="F65" i="18"/>
  <c r="G65" i="18" s="1"/>
  <c r="F39" i="18"/>
  <c r="G39" i="18" s="1"/>
  <c r="G40" i="18" s="1"/>
  <c r="F42" i="18"/>
  <c r="F46" i="18" s="1"/>
  <c r="G46" i="18" s="1"/>
  <c r="G47" i="18" s="1"/>
  <c r="R55" i="15" l="1"/>
  <c r="R54" i="15"/>
  <c r="T54" i="15" s="1"/>
  <c r="R38" i="15"/>
  <c r="S38" i="15" s="1"/>
  <c r="R37" i="15"/>
  <c r="R33" i="15"/>
  <c r="R32" i="15"/>
  <c r="S32" i="15" s="1"/>
  <c r="R31" i="15"/>
  <c r="S31" i="15" s="1"/>
  <c r="R30" i="15"/>
  <c r="R29" i="15"/>
  <c r="S29" i="15" s="1"/>
  <c r="R28" i="15"/>
  <c r="S28" i="15" s="1"/>
  <c r="R27" i="15"/>
  <c r="R26" i="15"/>
  <c r="S26" i="15" s="1"/>
  <c r="R25" i="15"/>
  <c r="R24" i="15"/>
  <c r="S24" i="15" s="1"/>
  <c r="R22" i="15"/>
  <c r="S22" i="15" s="1"/>
  <c r="R21" i="15"/>
  <c r="S21" i="15" s="1"/>
  <c r="R20" i="15"/>
  <c r="R19" i="15"/>
  <c r="S19" i="15" s="1"/>
  <c r="R18" i="15"/>
  <c r="M55" i="15"/>
  <c r="M54" i="15"/>
  <c r="M38" i="15"/>
  <c r="M37" i="15"/>
  <c r="N37" i="15" s="1"/>
  <c r="M33" i="15"/>
  <c r="M32" i="15"/>
  <c r="N32" i="15" s="1"/>
  <c r="M31" i="15"/>
  <c r="N31" i="15" s="1"/>
  <c r="M30" i="15"/>
  <c r="N30" i="15" s="1"/>
  <c r="M29" i="15"/>
  <c r="N29" i="15" s="1"/>
  <c r="M28" i="15"/>
  <c r="N28" i="15" s="1"/>
  <c r="M27" i="15"/>
  <c r="M26" i="15"/>
  <c r="N26" i="15" s="1"/>
  <c r="M25" i="15"/>
  <c r="N25" i="15" s="1"/>
  <c r="M24" i="15"/>
  <c r="N24" i="15" s="1"/>
  <c r="M22" i="15"/>
  <c r="N22" i="15" s="1"/>
  <c r="M21" i="15"/>
  <c r="N21" i="15" s="1"/>
  <c r="M20" i="15"/>
  <c r="M19" i="15"/>
  <c r="N19" i="15" s="1"/>
  <c r="M18" i="15"/>
  <c r="O55" i="15"/>
  <c r="N55" i="15"/>
  <c r="O54" i="15"/>
  <c r="N54" i="15"/>
  <c r="N44" i="15"/>
  <c r="O43" i="15"/>
  <c r="P43" i="15" s="1"/>
  <c r="M43" i="15"/>
  <c r="N43" i="15" s="1"/>
  <c r="O42" i="15"/>
  <c r="M42" i="15"/>
  <c r="O38" i="15"/>
  <c r="N38" i="15"/>
  <c r="O37" i="15"/>
  <c r="O33" i="15"/>
  <c r="N33" i="15"/>
  <c r="O32" i="15"/>
  <c r="O31" i="15"/>
  <c r="O30" i="15"/>
  <c r="O29" i="15"/>
  <c r="O28" i="15"/>
  <c r="O27" i="15"/>
  <c r="N27" i="15"/>
  <c r="O26" i="15"/>
  <c r="O25" i="15"/>
  <c r="O22" i="15"/>
  <c r="P22" i="15" s="1"/>
  <c r="O21" i="15"/>
  <c r="P21" i="15" s="1"/>
  <c r="O20" i="15"/>
  <c r="P20" i="15" s="1"/>
  <c r="N20" i="15"/>
  <c r="O19" i="15"/>
  <c r="P19" i="15" s="1"/>
  <c r="N18" i="15"/>
  <c r="O14" i="15"/>
  <c r="M14" i="15"/>
  <c r="O13" i="15"/>
  <c r="M13" i="15"/>
  <c r="O12" i="15"/>
  <c r="M12" i="15"/>
  <c r="H55" i="15"/>
  <c r="I55" i="15" s="1"/>
  <c r="H54" i="15"/>
  <c r="I54" i="15" s="1"/>
  <c r="H38" i="15"/>
  <c r="I38" i="15" s="1"/>
  <c r="H37" i="15"/>
  <c r="I37" i="15" s="1"/>
  <c r="H33" i="15"/>
  <c r="I33" i="15" s="1"/>
  <c r="H32" i="15"/>
  <c r="I32" i="15" s="1"/>
  <c r="H31" i="15"/>
  <c r="I31" i="15" s="1"/>
  <c r="H30" i="15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2" i="15"/>
  <c r="I22" i="15" s="1"/>
  <c r="H21" i="15"/>
  <c r="H20" i="15"/>
  <c r="I20" i="15" s="1"/>
  <c r="H19" i="15"/>
  <c r="I19" i="15" s="1"/>
  <c r="H18" i="15"/>
  <c r="I18" i="15" s="1"/>
  <c r="T55" i="15"/>
  <c r="T38" i="15"/>
  <c r="T37" i="15"/>
  <c r="T33" i="15"/>
  <c r="T32" i="15"/>
  <c r="T31" i="15"/>
  <c r="T30" i="15"/>
  <c r="T28" i="15"/>
  <c r="T27" i="15"/>
  <c r="T26" i="15"/>
  <c r="T25" i="15"/>
  <c r="T22" i="15"/>
  <c r="U22" i="15" s="1"/>
  <c r="T21" i="15"/>
  <c r="U21" i="15" s="1"/>
  <c r="T20" i="15"/>
  <c r="U20" i="15" s="1"/>
  <c r="T19" i="15"/>
  <c r="U19" i="15" s="1"/>
  <c r="J55" i="15"/>
  <c r="J38" i="15"/>
  <c r="J37" i="15"/>
  <c r="J33" i="15"/>
  <c r="J32" i="15"/>
  <c r="J31" i="15"/>
  <c r="J30" i="15"/>
  <c r="J29" i="15"/>
  <c r="J28" i="15"/>
  <c r="J27" i="15"/>
  <c r="J26" i="15"/>
  <c r="J25" i="15"/>
  <c r="J22" i="15"/>
  <c r="K22" i="15" s="1"/>
  <c r="J21" i="15"/>
  <c r="K21" i="15" s="1"/>
  <c r="J20" i="15"/>
  <c r="K20" i="15" s="1"/>
  <c r="J19" i="15"/>
  <c r="K19" i="15" s="1"/>
  <c r="E55" i="15"/>
  <c r="E38" i="15"/>
  <c r="E37" i="15"/>
  <c r="E33" i="15"/>
  <c r="E32" i="15"/>
  <c r="E31" i="15"/>
  <c r="E30" i="15"/>
  <c r="E29" i="15"/>
  <c r="E28" i="15"/>
  <c r="E27" i="15"/>
  <c r="E26" i="15"/>
  <c r="E25" i="15"/>
  <c r="E22" i="15"/>
  <c r="F22" i="15" s="1"/>
  <c r="E21" i="15"/>
  <c r="F21" i="15" s="1"/>
  <c r="E20" i="15"/>
  <c r="F20" i="15" s="1"/>
  <c r="E19" i="15"/>
  <c r="F19" i="15" s="1"/>
  <c r="C55" i="15"/>
  <c r="D55" i="15" s="1"/>
  <c r="C54" i="15"/>
  <c r="E54" i="15" s="1"/>
  <c r="C38" i="15"/>
  <c r="D38" i="15" s="1"/>
  <c r="C37" i="15"/>
  <c r="D37" i="15" s="1"/>
  <c r="C33" i="15"/>
  <c r="D33" i="15" s="1"/>
  <c r="C32" i="15"/>
  <c r="D32" i="15" s="1"/>
  <c r="C31" i="15"/>
  <c r="D31" i="15" s="1"/>
  <c r="C30" i="15"/>
  <c r="C29" i="15"/>
  <c r="D29" i="15" s="1"/>
  <c r="C28" i="15"/>
  <c r="C27" i="15"/>
  <c r="D27" i="15" s="1"/>
  <c r="C26" i="15"/>
  <c r="C25" i="15"/>
  <c r="D25" i="15" s="1"/>
  <c r="C24" i="15"/>
  <c r="C22" i="15"/>
  <c r="D22" i="15" s="1"/>
  <c r="C21" i="15"/>
  <c r="D21" i="15" s="1"/>
  <c r="C20" i="15"/>
  <c r="D20" i="15" s="1"/>
  <c r="C19" i="15"/>
  <c r="D19" i="15" s="1"/>
  <c r="C18" i="15"/>
  <c r="D18" i="15" s="1"/>
  <c r="D55" i="16"/>
  <c r="D44" i="16"/>
  <c r="E43" i="16"/>
  <c r="F43" i="16" s="1"/>
  <c r="C43" i="16"/>
  <c r="D43" i="16" s="1"/>
  <c r="E42" i="16"/>
  <c r="C42" i="16"/>
  <c r="D38" i="16"/>
  <c r="D37" i="16"/>
  <c r="D33" i="16"/>
  <c r="D32" i="16"/>
  <c r="D31" i="16"/>
  <c r="D30" i="16"/>
  <c r="D29" i="16"/>
  <c r="D28" i="16"/>
  <c r="D27" i="16"/>
  <c r="D26" i="16"/>
  <c r="D25" i="16"/>
  <c r="D24" i="16"/>
  <c r="F22" i="16"/>
  <c r="C22" i="16"/>
  <c r="D22" i="16" s="1"/>
  <c r="F21" i="16"/>
  <c r="D21" i="16"/>
  <c r="F20" i="16"/>
  <c r="C20" i="16"/>
  <c r="D20" i="16" s="1"/>
  <c r="F19" i="16"/>
  <c r="C19" i="16"/>
  <c r="D19" i="16" s="1"/>
  <c r="C18" i="16"/>
  <c r="D18" i="16" s="1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2" i="16" s="1"/>
  <c r="A63" i="16" s="1"/>
  <c r="A64" i="16" s="1"/>
  <c r="A65" i="16" s="1"/>
  <c r="A66" i="16" s="1"/>
  <c r="F7" i="16"/>
  <c r="F44" i="16" s="1"/>
  <c r="S55" i="15"/>
  <c r="S54" i="15"/>
  <c r="D54" i="15"/>
  <c r="S44" i="15"/>
  <c r="I44" i="15"/>
  <c r="D44" i="15"/>
  <c r="T43" i="15"/>
  <c r="U43" i="15" s="1"/>
  <c r="R43" i="15"/>
  <c r="S43" i="15" s="1"/>
  <c r="J43" i="15"/>
  <c r="K43" i="15" s="1"/>
  <c r="H43" i="15"/>
  <c r="I43" i="15" s="1"/>
  <c r="E43" i="15"/>
  <c r="F43" i="15" s="1"/>
  <c r="C43" i="15"/>
  <c r="D43" i="15" s="1"/>
  <c r="T42" i="15"/>
  <c r="R42" i="15"/>
  <c r="J42" i="15"/>
  <c r="H42" i="15"/>
  <c r="E42" i="15"/>
  <c r="C42" i="15"/>
  <c r="S37" i="15"/>
  <c r="S33" i="15"/>
  <c r="S30" i="15"/>
  <c r="I30" i="15"/>
  <c r="D30" i="15"/>
  <c r="D28" i="15"/>
  <c r="S27" i="15"/>
  <c r="D26" i="15"/>
  <c r="S25" i="15"/>
  <c r="D24" i="15"/>
  <c r="I21" i="15"/>
  <c r="S20" i="15"/>
  <c r="S18" i="15"/>
  <c r="T14" i="15"/>
  <c r="R14" i="15"/>
  <c r="J14" i="15"/>
  <c r="H14" i="15"/>
  <c r="E14" i="15"/>
  <c r="C14" i="15"/>
  <c r="T13" i="15"/>
  <c r="R13" i="15"/>
  <c r="J13" i="15"/>
  <c r="H13" i="15"/>
  <c r="E13" i="15"/>
  <c r="C13" i="15"/>
  <c r="T12" i="15"/>
  <c r="R12" i="15"/>
  <c r="J12" i="15"/>
  <c r="H12" i="15"/>
  <c r="E12" i="15"/>
  <c r="C12" i="15"/>
  <c r="U9" i="15"/>
  <c r="S9" i="15"/>
  <c r="S10" i="15" s="1"/>
  <c r="P9" i="15"/>
  <c r="N9" i="15"/>
  <c r="N10" i="15" s="1"/>
  <c r="K9" i="15"/>
  <c r="I9" i="15"/>
  <c r="I10" i="15" s="1"/>
  <c r="F9" i="15"/>
  <c r="D9" i="15"/>
  <c r="D10" i="15" s="1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2" i="15" s="1"/>
  <c r="A63" i="15" s="1"/>
  <c r="A64" i="15" s="1"/>
  <c r="A65" i="15" s="1"/>
  <c r="A66" i="15" s="1"/>
  <c r="U7" i="15"/>
  <c r="U44" i="15" s="1"/>
  <c r="P7" i="15"/>
  <c r="P10" i="15" s="1"/>
  <c r="K7" i="15"/>
  <c r="K44" i="15" s="1"/>
  <c r="F7" i="15"/>
  <c r="N65" i="14"/>
  <c r="H55" i="14"/>
  <c r="I55" i="14" s="1"/>
  <c r="D55" i="14"/>
  <c r="H54" i="14"/>
  <c r="I54" i="14" s="1"/>
  <c r="E54" i="14"/>
  <c r="D54" i="14"/>
  <c r="I44" i="14"/>
  <c r="D44" i="14"/>
  <c r="J43" i="14"/>
  <c r="K43" i="14" s="1"/>
  <c r="H43" i="14"/>
  <c r="I43" i="14" s="1"/>
  <c r="E43" i="14"/>
  <c r="F43" i="14" s="1"/>
  <c r="C43" i="14"/>
  <c r="D43" i="14" s="1"/>
  <c r="J42" i="14"/>
  <c r="H42" i="14"/>
  <c r="E42" i="14"/>
  <c r="C42" i="14"/>
  <c r="H38" i="14"/>
  <c r="I38" i="14" s="1"/>
  <c r="D38" i="14"/>
  <c r="S39" i="14"/>
  <c r="H37" i="14"/>
  <c r="I37" i="14" s="1"/>
  <c r="D37" i="14"/>
  <c r="H33" i="14"/>
  <c r="I33" i="14" s="1"/>
  <c r="D33" i="14"/>
  <c r="H32" i="14"/>
  <c r="I32" i="14" s="1"/>
  <c r="D32" i="14"/>
  <c r="I31" i="14"/>
  <c r="H31" i="14"/>
  <c r="D31" i="14"/>
  <c r="H30" i="14"/>
  <c r="I30" i="14" s="1"/>
  <c r="D30" i="14"/>
  <c r="H29" i="14"/>
  <c r="I29" i="14" s="1"/>
  <c r="D29" i="14"/>
  <c r="H28" i="14"/>
  <c r="I28" i="14" s="1"/>
  <c r="D28" i="14"/>
  <c r="H27" i="14"/>
  <c r="I27" i="14" s="1"/>
  <c r="D27" i="14"/>
  <c r="H26" i="14"/>
  <c r="I26" i="14" s="1"/>
  <c r="D26" i="14"/>
  <c r="H25" i="14"/>
  <c r="I25" i="14" s="1"/>
  <c r="D25" i="14"/>
  <c r="H24" i="14"/>
  <c r="I24" i="14" s="1"/>
  <c r="K22" i="14"/>
  <c r="H22" i="14"/>
  <c r="I22" i="14" s="1"/>
  <c r="F22" i="14"/>
  <c r="D22" i="14"/>
  <c r="K21" i="14"/>
  <c r="H21" i="14"/>
  <c r="I21" i="14" s="1"/>
  <c r="F21" i="14"/>
  <c r="D21" i="14"/>
  <c r="K20" i="14"/>
  <c r="H20" i="14"/>
  <c r="I20" i="14" s="1"/>
  <c r="F20" i="14"/>
  <c r="D20" i="14"/>
  <c r="K19" i="14"/>
  <c r="H19" i="14"/>
  <c r="I19" i="14" s="1"/>
  <c r="F19" i="14"/>
  <c r="D19" i="14"/>
  <c r="H18" i="14"/>
  <c r="I18" i="14" s="1"/>
  <c r="D18" i="14"/>
  <c r="T14" i="14"/>
  <c r="R14" i="14"/>
  <c r="J14" i="14"/>
  <c r="E14" i="14"/>
  <c r="C14" i="14"/>
  <c r="T13" i="14"/>
  <c r="R13" i="14"/>
  <c r="J13" i="14"/>
  <c r="E13" i="14"/>
  <c r="C13" i="14"/>
  <c r="T12" i="14"/>
  <c r="R12" i="14"/>
  <c r="J12" i="14"/>
  <c r="E12" i="14"/>
  <c r="C12" i="14"/>
  <c r="U9" i="14"/>
  <c r="S9" i="14"/>
  <c r="S10" i="14" s="1"/>
  <c r="P9" i="14"/>
  <c r="N9" i="14"/>
  <c r="N10" i="14" s="1"/>
  <c r="K9" i="14"/>
  <c r="I9" i="14"/>
  <c r="I10" i="14" s="1"/>
  <c r="F9" i="14"/>
  <c r="D9" i="14"/>
  <c r="D1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2" i="14" s="1"/>
  <c r="A63" i="14" s="1"/>
  <c r="A64" i="14" s="1"/>
  <c r="A65" i="14" s="1"/>
  <c r="A66" i="14" s="1"/>
  <c r="U7" i="14"/>
  <c r="P7" i="14"/>
  <c r="K7" i="14"/>
  <c r="K44" i="14" s="1"/>
  <c r="F7" i="14"/>
  <c r="P65" i="13"/>
  <c r="N65" i="13"/>
  <c r="P63" i="13"/>
  <c r="N63" i="13"/>
  <c r="P59" i="13"/>
  <c r="N59" i="13"/>
  <c r="P46" i="13"/>
  <c r="N46" i="13"/>
  <c r="I44" i="13"/>
  <c r="D44" i="13"/>
  <c r="J43" i="13"/>
  <c r="K43" i="13" s="1"/>
  <c r="H43" i="13"/>
  <c r="I43" i="13" s="1"/>
  <c r="E43" i="13"/>
  <c r="F43" i="13" s="1"/>
  <c r="C43" i="13"/>
  <c r="D43" i="13" s="1"/>
  <c r="J42" i="13"/>
  <c r="H42" i="13"/>
  <c r="E42" i="13"/>
  <c r="C42" i="13"/>
  <c r="P39" i="13"/>
  <c r="N39" i="13"/>
  <c r="S39" i="13"/>
  <c r="P34" i="13"/>
  <c r="N34" i="13"/>
  <c r="K22" i="13"/>
  <c r="I22" i="13"/>
  <c r="F22" i="13"/>
  <c r="D22" i="13"/>
  <c r="K21" i="13"/>
  <c r="I21" i="13"/>
  <c r="F21" i="13"/>
  <c r="D21" i="13"/>
  <c r="K20" i="13"/>
  <c r="I20" i="13"/>
  <c r="F20" i="13"/>
  <c r="D20" i="13"/>
  <c r="K19" i="13"/>
  <c r="I19" i="13"/>
  <c r="F19" i="13"/>
  <c r="D19" i="13"/>
  <c r="I18" i="13"/>
  <c r="D18" i="13"/>
  <c r="P15" i="13"/>
  <c r="Q15" i="13" s="1"/>
  <c r="Q16" i="13" s="1"/>
  <c r="N15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P9" i="13"/>
  <c r="N9" i="13"/>
  <c r="N10" i="13" s="1"/>
  <c r="K9" i="13"/>
  <c r="I9" i="13"/>
  <c r="I1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2" i="13" s="1"/>
  <c r="A63" i="13" s="1"/>
  <c r="A64" i="13" s="1"/>
  <c r="A65" i="13" s="1"/>
  <c r="A66" i="13" s="1"/>
  <c r="U7" i="13"/>
  <c r="P7" i="13"/>
  <c r="K7" i="13"/>
  <c r="F7" i="13"/>
  <c r="S54" i="12"/>
  <c r="R55" i="12"/>
  <c r="S55" i="12" s="1"/>
  <c r="R54" i="12"/>
  <c r="R38" i="12"/>
  <c r="S38" i="12" s="1"/>
  <c r="R37" i="12"/>
  <c r="S37" i="12" s="1"/>
  <c r="R33" i="12"/>
  <c r="S33" i="12" s="1"/>
  <c r="R32" i="12"/>
  <c r="R31" i="12"/>
  <c r="S31" i="12" s="1"/>
  <c r="R30" i="12"/>
  <c r="S30" i="12" s="1"/>
  <c r="R29" i="12"/>
  <c r="S29" i="12" s="1"/>
  <c r="R28" i="12"/>
  <c r="R27" i="12"/>
  <c r="S27" i="12" s="1"/>
  <c r="R26" i="12"/>
  <c r="S26" i="12" s="1"/>
  <c r="R25" i="12"/>
  <c r="S25" i="12" s="1"/>
  <c r="R24" i="12"/>
  <c r="R22" i="12"/>
  <c r="S22" i="12" s="1"/>
  <c r="R21" i="12"/>
  <c r="R20" i="12"/>
  <c r="S20" i="12" s="1"/>
  <c r="R19" i="12"/>
  <c r="R18" i="12"/>
  <c r="S18" i="12" s="1"/>
  <c r="S32" i="12"/>
  <c r="S28" i="12"/>
  <c r="S24" i="12"/>
  <c r="J21" i="12"/>
  <c r="K21" i="12" s="1"/>
  <c r="H55" i="12"/>
  <c r="I55" i="12" s="1"/>
  <c r="H54" i="12"/>
  <c r="I54" i="12" s="1"/>
  <c r="H38" i="12"/>
  <c r="I38" i="12" s="1"/>
  <c r="H37" i="12"/>
  <c r="I37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24" i="12"/>
  <c r="I24" i="12" s="1"/>
  <c r="H22" i="12"/>
  <c r="I22" i="12" s="1"/>
  <c r="H21" i="12"/>
  <c r="H20" i="12"/>
  <c r="I20" i="12" s="1"/>
  <c r="H19" i="12"/>
  <c r="I19" i="12" s="1"/>
  <c r="H18" i="12"/>
  <c r="T55" i="12"/>
  <c r="T38" i="12"/>
  <c r="T37" i="12"/>
  <c r="T33" i="12"/>
  <c r="T32" i="12"/>
  <c r="T31" i="12"/>
  <c r="T30" i="12"/>
  <c r="T28" i="12"/>
  <c r="T27" i="12"/>
  <c r="T26" i="12"/>
  <c r="T25" i="12"/>
  <c r="T22" i="12"/>
  <c r="U22" i="12" s="1"/>
  <c r="T21" i="12"/>
  <c r="U21" i="12" s="1"/>
  <c r="T20" i="12"/>
  <c r="U20" i="12" s="1"/>
  <c r="T19" i="12"/>
  <c r="U19" i="12" s="1"/>
  <c r="J55" i="12"/>
  <c r="J38" i="12"/>
  <c r="J37" i="12"/>
  <c r="J33" i="12"/>
  <c r="J32" i="12"/>
  <c r="J31" i="12"/>
  <c r="J30" i="12"/>
  <c r="J29" i="12"/>
  <c r="J28" i="12"/>
  <c r="J27" i="12"/>
  <c r="J26" i="12"/>
  <c r="J25" i="12"/>
  <c r="J22" i="12"/>
  <c r="K22" i="12" s="1"/>
  <c r="J20" i="12"/>
  <c r="K20" i="12" s="1"/>
  <c r="J19" i="12"/>
  <c r="K19" i="12" s="1"/>
  <c r="E55" i="12"/>
  <c r="E38" i="12"/>
  <c r="E37" i="12"/>
  <c r="E33" i="12"/>
  <c r="E32" i="12"/>
  <c r="E31" i="12"/>
  <c r="E30" i="12"/>
  <c r="E29" i="12"/>
  <c r="E28" i="12"/>
  <c r="E27" i="12"/>
  <c r="E26" i="12"/>
  <c r="E25" i="12"/>
  <c r="E22" i="12"/>
  <c r="F22" i="12" s="1"/>
  <c r="E21" i="12"/>
  <c r="F21" i="12" s="1"/>
  <c r="E20" i="12"/>
  <c r="F20" i="12" s="1"/>
  <c r="E19" i="12"/>
  <c r="F19" i="12" s="1"/>
  <c r="C55" i="12"/>
  <c r="D55" i="12" s="1"/>
  <c r="C54" i="12"/>
  <c r="D54" i="12" s="1"/>
  <c r="C38" i="12"/>
  <c r="D38" i="12" s="1"/>
  <c r="C37" i="12"/>
  <c r="D37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2" i="12"/>
  <c r="D22" i="12" s="1"/>
  <c r="C21" i="12"/>
  <c r="D21" i="12" s="1"/>
  <c r="C20" i="12"/>
  <c r="D20" i="12" s="1"/>
  <c r="C19" i="12"/>
  <c r="C18" i="12"/>
  <c r="D18" i="12" s="1"/>
  <c r="T54" i="12"/>
  <c r="E54" i="12"/>
  <c r="S44" i="12"/>
  <c r="I44" i="12"/>
  <c r="D44" i="12"/>
  <c r="T43" i="12"/>
  <c r="U43" i="12" s="1"/>
  <c r="R43" i="12"/>
  <c r="S43" i="12" s="1"/>
  <c r="J43" i="12"/>
  <c r="K43" i="12" s="1"/>
  <c r="H43" i="12"/>
  <c r="I43" i="12" s="1"/>
  <c r="E43" i="12"/>
  <c r="F43" i="12" s="1"/>
  <c r="C43" i="12"/>
  <c r="D43" i="12" s="1"/>
  <c r="T42" i="12"/>
  <c r="R42" i="12"/>
  <c r="J42" i="12"/>
  <c r="H42" i="12"/>
  <c r="E42" i="12"/>
  <c r="C42" i="12"/>
  <c r="S21" i="12"/>
  <c r="I21" i="12"/>
  <c r="S19" i="12"/>
  <c r="D19" i="12"/>
  <c r="I18" i="12"/>
  <c r="T14" i="12"/>
  <c r="R14" i="12"/>
  <c r="J14" i="12"/>
  <c r="H14" i="12"/>
  <c r="E14" i="12"/>
  <c r="C14" i="12"/>
  <c r="T13" i="12"/>
  <c r="R13" i="12"/>
  <c r="J13" i="12"/>
  <c r="H13" i="12"/>
  <c r="E13" i="12"/>
  <c r="C13" i="12"/>
  <c r="T12" i="12"/>
  <c r="R12" i="12"/>
  <c r="N15" i="12"/>
  <c r="J12" i="12"/>
  <c r="H12" i="12"/>
  <c r="E12" i="12"/>
  <c r="C12" i="12"/>
  <c r="U9" i="12"/>
  <c r="S9" i="12"/>
  <c r="S10" i="12" s="1"/>
  <c r="P9" i="12"/>
  <c r="N9" i="12"/>
  <c r="N10" i="12" s="1"/>
  <c r="K9" i="12"/>
  <c r="I9" i="12"/>
  <c r="I10" i="12" s="1"/>
  <c r="I42" i="12" s="1"/>
  <c r="F9" i="12"/>
  <c r="D9" i="12"/>
  <c r="D10" i="12" s="1"/>
  <c r="U8" i="12"/>
  <c r="P8" i="12"/>
  <c r="K8" i="12"/>
  <c r="F8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2" i="12" s="1"/>
  <c r="A63" i="12" s="1"/>
  <c r="A64" i="12" s="1"/>
  <c r="A65" i="12" s="1"/>
  <c r="A66" i="12" s="1"/>
  <c r="U7" i="12"/>
  <c r="P7" i="12"/>
  <c r="K7" i="12"/>
  <c r="F7" i="12"/>
  <c r="R55" i="11"/>
  <c r="R54" i="11"/>
  <c r="R38" i="11"/>
  <c r="R37" i="11"/>
  <c r="R33" i="11"/>
  <c r="R32" i="11"/>
  <c r="R31" i="11"/>
  <c r="R30" i="11"/>
  <c r="R29" i="11"/>
  <c r="R28" i="11"/>
  <c r="R27" i="11"/>
  <c r="R26" i="11"/>
  <c r="R25" i="11"/>
  <c r="R24" i="11"/>
  <c r="R22" i="11"/>
  <c r="R21" i="11"/>
  <c r="R20" i="11"/>
  <c r="R19" i="11"/>
  <c r="R18" i="11"/>
  <c r="M55" i="11"/>
  <c r="M38" i="11"/>
  <c r="M37" i="11"/>
  <c r="M33" i="11"/>
  <c r="M32" i="11"/>
  <c r="M31" i="11"/>
  <c r="M30" i="11"/>
  <c r="M29" i="11"/>
  <c r="M28" i="11"/>
  <c r="M27" i="11"/>
  <c r="M26" i="11"/>
  <c r="M25" i="11"/>
  <c r="M24" i="11"/>
  <c r="M22" i="11"/>
  <c r="M21" i="11"/>
  <c r="M20" i="11"/>
  <c r="M19" i="11"/>
  <c r="M18" i="11"/>
  <c r="I9" i="10"/>
  <c r="I9" i="11"/>
  <c r="T55" i="11"/>
  <c r="T38" i="11"/>
  <c r="T37" i="11"/>
  <c r="T33" i="11"/>
  <c r="T32" i="11"/>
  <c r="T31" i="11"/>
  <c r="T30" i="11"/>
  <c r="T28" i="11"/>
  <c r="T27" i="11"/>
  <c r="T26" i="11"/>
  <c r="T25" i="11"/>
  <c r="T22" i="11"/>
  <c r="T21" i="11"/>
  <c r="T20" i="11"/>
  <c r="T19" i="11"/>
  <c r="O55" i="11"/>
  <c r="O38" i="11"/>
  <c r="O37" i="11"/>
  <c r="O33" i="11"/>
  <c r="O32" i="11"/>
  <c r="O31" i="11"/>
  <c r="O30" i="11"/>
  <c r="O28" i="11"/>
  <c r="O27" i="11"/>
  <c r="O26" i="11"/>
  <c r="O25" i="11"/>
  <c r="O22" i="11"/>
  <c r="O21" i="11"/>
  <c r="O20" i="11"/>
  <c r="O19" i="11"/>
  <c r="J55" i="11"/>
  <c r="J38" i="11"/>
  <c r="J37" i="11"/>
  <c r="J33" i="11"/>
  <c r="J32" i="11"/>
  <c r="J31" i="11"/>
  <c r="J30" i="11"/>
  <c r="J29" i="11"/>
  <c r="J28" i="11"/>
  <c r="J27" i="11"/>
  <c r="J26" i="11"/>
  <c r="J25" i="11"/>
  <c r="J22" i="11"/>
  <c r="J21" i="11"/>
  <c r="J20" i="11"/>
  <c r="J19" i="11"/>
  <c r="H55" i="11"/>
  <c r="H54" i="11"/>
  <c r="H38" i="11"/>
  <c r="H37" i="11"/>
  <c r="H33" i="11"/>
  <c r="H32" i="11"/>
  <c r="H31" i="11"/>
  <c r="H30" i="11"/>
  <c r="H29" i="11"/>
  <c r="H28" i="11"/>
  <c r="H27" i="11"/>
  <c r="H26" i="11"/>
  <c r="H25" i="11"/>
  <c r="H24" i="11"/>
  <c r="H22" i="11"/>
  <c r="H21" i="11"/>
  <c r="H20" i="11"/>
  <c r="H19" i="11"/>
  <c r="H18" i="11"/>
  <c r="Q46" i="13" l="1"/>
  <c r="Q47" i="13" s="1"/>
  <c r="Q63" i="13"/>
  <c r="F54" i="12"/>
  <c r="F26" i="12"/>
  <c r="F30" i="12"/>
  <c r="F37" i="12"/>
  <c r="K25" i="12"/>
  <c r="K29" i="12"/>
  <c r="K33" i="12"/>
  <c r="U27" i="12"/>
  <c r="U32" i="12"/>
  <c r="U55" i="12"/>
  <c r="J54" i="14"/>
  <c r="K10" i="15"/>
  <c r="U54" i="12"/>
  <c r="U28" i="12"/>
  <c r="U33" i="12"/>
  <c r="N48" i="13"/>
  <c r="Q65" i="13"/>
  <c r="Q66" i="13" s="1"/>
  <c r="P27" i="15"/>
  <c r="P30" i="15"/>
  <c r="P33" i="15"/>
  <c r="P55" i="15"/>
  <c r="U44" i="12"/>
  <c r="U25" i="12"/>
  <c r="U30" i="12"/>
  <c r="U37" i="12"/>
  <c r="U102" i="12"/>
  <c r="V102" i="12" s="1"/>
  <c r="V103" i="12" s="1"/>
  <c r="U165" i="12"/>
  <c r="V165" i="12" s="1"/>
  <c r="V166" i="12" s="1"/>
  <c r="U228" i="12"/>
  <c r="V228" i="12" s="1"/>
  <c r="V229" i="12" s="1"/>
  <c r="U26" i="12"/>
  <c r="U31" i="12"/>
  <c r="U38" i="12"/>
  <c r="K102" i="12"/>
  <c r="L102" i="12" s="1"/>
  <c r="L103" i="12" s="1"/>
  <c r="K191" i="12"/>
  <c r="L191" i="12" s="1"/>
  <c r="K165" i="12"/>
  <c r="L165" i="12" s="1"/>
  <c r="L166" i="12" s="1"/>
  <c r="K26" i="12"/>
  <c r="K30" i="12"/>
  <c r="K37" i="12"/>
  <c r="K27" i="12"/>
  <c r="K31" i="12"/>
  <c r="K38" i="12"/>
  <c r="K28" i="12"/>
  <c r="K32" i="12"/>
  <c r="K55" i="12"/>
  <c r="P25" i="15"/>
  <c r="P28" i="15"/>
  <c r="P31" i="15"/>
  <c r="P37" i="15"/>
  <c r="P26" i="15"/>
  <c r="P32" i="15"/>
  <c r="P54" i="15"/>
  <c r="P29" i="15"/>
  <c r="P38" i="15"/>
  <c r="P44" i="15"/>
  <c r="F10" i="15"/>
  <c r="P25" i="14"/>
  <c r="P30" i="14"/>
  <c r="P38" i="14"/>
  <c r="P55" i="14"/>
  <c r="P29" i="14"/>
  <c r="P37" i="14"/>
  <c r="P33" i="14"/>
  <c r="P27" i="14"/>
  <c r="P28" i="14"/>
  <c r="P26" i="14"/>
  <c r="P31" i="14"/>
  <c r="P32" i="14"/>
  <c r="P54" i="14"/>
  <c r="P44" i="14"/>
  <c r="F44" i="14"/>
  <c r="P10" i="13"/>
  <c r="K25" i="13"/>
  <c r="K30" i="13"/>
  <c r="K28" i="13"/>
  <c r="K29" i="13"/>
  <c r="K27" i="13"/>
  <c r="K32" i="13"/>
  <c r="K33" i="13"/>
  <c r="K31" i="13"/>
  <c r="K55" i="13"/>
  <c r="K26" i="13"/>
  <c r="F27" i="13"/>
  <c r="F32" i="13"/>
  <c r="F33" i="13"/>
  <c r="F31" i="13"/>
  <c r="F55" i="13"/>
  <c r="F26" i="13"/>
  <c r="F25" i="13"/>
  <c r="F30" i="13"/>
  <c r="F28" i="13"/>
  <c r="F29" i="13"/>
  <c r="D39" i="16"/>
  <c r="F54" i="16"/>
  <c r="F27" i="16"/>
  <c r="F30" i="16"/>
  <c r="F38" i="16"/>
  <c r="F55" i="16"/>
  <c r="F29" i="16"/>
  <c r="F32" i="16"/>
  <c r="D54" i="16"/>
  <c r="F28" i="15"/>
  <c r="F28" i="16"/>
  <c r="K26" i="15"/>
  <c r="J54" i="15"/>
  <c r="K54" i="15" s="1"/>
  <c r="N42" i="14"/>
  <c r="N46" i="14" s="1"/>
  <c r="D37" i="13"/>
  <c r="D38" i="13"/>
  <c r="D39" i="13" s="1"/>
  <c r="I38" i="13"/>
  <c r="I37" i="13"/>
  <c r="F27" i="12"/>
  <c r="J54" i="12"/>
  <c r="K54" i="12" s="1"/>
  <c r="U10" i="14"/>
  <c r="I39" i="14"/>
  <c r="K27" i="14"/>
  <c r="K31" i="14"/>
  <c r="K55" i="14"/>
  <c r="D39" i="14"/>
  <c r="F27" i="14"/>
  <c r="F31" i="14"/>
  <c r="U10" i="13"/>
  <c r="N42" i="15"/>
  <c r="N46" i="15" s="1"/>
  <c r="P42" i="15"/>
  <c r="S65" i="15"/>
  <c r="N65" i="15"/>
  <c r="N39" i="15"/>
  <c r="D39" i="15"/>
  <c r="S39" i="15"/>
  <c r="U10" i="15"/>
  <c r="U42" i="15" s="1"/>
  <c r="U46" i="15" s="1"/>
  <c r="I65" i="15"/>
  <c r="F30" i="15"/>
  <c r="F31" i="15"/>
  <c r="D65" i="15"/>
  <c r="F55" i="15"/>
  <c r="F26" i="15"/>
  <c r="F27" i="15"/>
  <c r="F54" i="15"/>
  <c r="F37" i="15"/>
  <c r="D42" i="16"/>
  <c r="D46" i="16" s="1"/>
  <c r="F10" i="16"/>
  <c r="D65" i="16"/>
  <c r="F26" i="16"/>
  <c r="F31" i="16"/>
  <c r="F37" i="16"/>
  <c r="F25" i="16"/>
  <c r="F33" i="16"/>
  <c r="I42" i="15"/>
  <c r="I46" i="15" s="1"/>
  <c r="S42" i="15"/>
  <c r="S46" i="15" s="1"/>
  <c r="K42" i="15"/>
  <c r="K46" i="15" s="1"/>
  <c r="F44" i="15"/>
  <c r="U28" i="15"/>
  <c r="U30" i="15"/>
  <c r="U38" i="15"/>
  <c r="U32" i="15"/>
  <c r="U54" i="15"/>
  <c r="U26" i="15"/>
  <c r="K28" i="15"/>
  <c r="K30" i="15"/>
  <c r="K38" i="15"/>
  <c r="K32" i="15"/>
  <c r="F42" i="15"/>
  <c r="F46" i="15" s="1"/>
  <c r="D42" i="13"/>
  <c r="D46" i="13" s="1"/>
  <c r="S42" i="12"/>
  <c r="S46" i="12" s="1"/>
  <c r="D42" i="15"/>
  <c r="D46" i="15" s="1"/>
  <c r="K27" i="15"/>
  <c r="U31" i="15"/>
  <c r="U37" i="15"/>
  <c r="K55" i="15"/>
  <c r="U46" i="13"/>
  <c r="K25" i="15"/>
  <c r="F29" i="15"/>
  <c r="T29" i="15"/>
  <c r="U29" i="15" s="1"/>
  <c r="F32" i="15"/>
  <c r="K33" i="15"/>
  <c r="I39" i="15"/>
  <c r="F38" i="15"/>
  <c r="U27" i="15"/>
  <c r="K31" i="15"/>
  <c r="K37" i="15"/>
  <c r="U55" i="15"/>
  <c r="P10" i="14"/>
  <c r="F25" i="15"/>
  <c r="U25" i="15"/>
  <c r="K29" i="15"/>
  <c r="F33" i="15"/>
  <c r="U33" i="15"/>
  <c r="U46" i="14"/>
  <c r="F37" i="14"/>
  <c r="F33" i="14"/>
  <c r="F29" i="14"/>
  <c r="F25" i="14"/>
  <c r="F28" i="14"/>
  <c r="F32" i="14"/>
  <c r="F54" i="14"/>
  <c r="K37" i="14"/>
  <c r="K33" i="14"/>
  <c r="K29" i="14"/>
  <c r="K25" i="14"/>
  <c r="K10" i="14"/>
  <c r="K26" i="14"/>
  <c r="F55" i="14"/>
  <c r="D42" i="12"/>
  <c r="D46" i="12" s="1"/>
  <c r="S15" i="13"/>
  <c r="F26" i="14"/>
  <c r="S65" i="14"/>
  <c r="F30" i="14"/>
  <c r="K38" i="14"/>
  <c r="S46" i="14"/>
  <c r="I65" i="14"/>
  <c r="D42" i="14"/>
  <c r="D46" i="14" s="1"/>
  <c r="D65" i="14"/>
  <c r="K30" i="14"/>
  <c r="U39" i="14"/>
  <c r="V39" i="14" s="1"/>
  <c r="V40" i="14" s="1"/>
  <c r="F10" i="14"/>
  <c r="K28" i="14"/>
  <c r="K32" i="14"/>
  <c r="F38" i="14"/>
  <c r="I42" i="14"/>
  <c r="I46" i="14" s="1"/>
  <c r="K54" i="14"/>
  <c r="U15" i="13"/>
  <c r="N49" i="13"/>
  <c r="N50" i="13"/>
  <c r="D65" i="13"/>
  <c r="E54" i="13"/>
  <c r="F54" i="13" s="1"/>
  <c r="F44" i="13"/>
  <c r="U65" i="13"/>
  <c r="S65" i="13"/>
  <c r="J54" i="13"/>
  <c r="K54" i="13" s="1"/>
  <c r="K44" i="13"/>
  <c r="K10" i="13"/>
  <c r="Q34" i="13"/>
  <c r="Q35" i="13" s="1"/>
  <c r="Q64" i="13"/>
  <c r="F10" i="13"/>
  <c r="I65" i="13"/>
  <c r="Q59" i="13"/>
  <c r="Q60" i="13" s="1"/>
  <c r="S46" i="13"/>
  <c r="P48" i="13"/>
  <c r="Q39" i="13"/>
  <c r="Q40" i="13" s="1"/>
  <c r="I42" i="13"/>
  <c r="I46" i="13" s="1"/>
  <c r="U10" i="12"/>
  <c r="U42" i="12" s="1"/>
  <c r="I46" i="12"/>
  <c r="K10" i="12"/>
  <c r="F33" i="12"/>
  <c r="F29" i="12"/>
  <c r="F25" i="12"/>
  <c r="F38" i="12"/>
  <c r="F55" i="12"/>
  <c r="F32" i="12"/>
  <c r="F28" i="12"/>
  <c r="F31" i="12"/>
  <c r="T29" i="12"/>
  <c r="U29" i="12" s="1"/>
  <c r="K44" i="12"/>
  <c r="I65" i="12"/>
  <c r="P15" i="12"/>
  <c r="P10" i="12"/>
  <c r="N46" i="12"/>
  <c r="N63" i="12"/>
  <c r="D65" i="12"/>
  <c r="P46" i="12"/>
  <c r="S65" i="12"/>
  <c r="F10" i="12"/>
  <c r="N65" i="12"/>
  <c r="F44" i="12"/>
  <c r="I39" i="12"/>
  <c r="E55" i="11"/>
  <c r="E38" i="11"/>
  <c r="E37" i="11"/>
  <c r="E33" i="11"/>
  <c r="E32" i="11"/>
  <c r="E31" i="11"/>
  <c r="E30" i="11"/>
  <c r="E29" i="11"/>
  <c r="E28" i="11"/>
  <c r="E27" i="11"/>
  <c r="E26" i="11"/>
  <c r="E25" i="11"/>
  <c r="E22" i="11"/>
  <c r="F22" i="11" s="1"/>
  <c r="E21" i="11"/>
  <c r="F21" i="11" s="1"/>
  <c r="E20" i="11"/>
  <c r="F20" i="11" s="1"/>
  <c r="E19" i="11"/>
  <c r="F19" i="11" s="1"/>
  <c r="C55" i="11"/>
  <c r="D55" i="11" s="1"/>
  <c r="C54" i="11"/>
  <c r="D54" i="11" s="1"/>
  <c r="C38" i="11"/>
  <c r="C37" i="11"/>
  <c r="C33" i="11"/>
  <c r="C32" i="11"/>
  <c r="C31" i="11"/>
  <c r="D31" i="11" s="1"/>
  <c r="C30" i="11"/>
  <c r="D30" i="11" s="1"/>
  <c r="C29" i="11"/>
  <c r="D29" i="11" s="1"/>
  <c r="C28" i="11"/>
  <c r="C27" i="11"/>
  <c r="D27" i="11" s="1"/>
  <c r="C26" i="11"/>
  <c r="D26" i="11" s="1"/>
  <c r="C25" i="11"/>
  <c r="C24" i="11"/>
  <c r="C22" i="11"/>
  <c r="C21" i="11"/>
  <c r="D21" i="11" s="1"/>
  <c r="C20" i="11"/>
  <c r="D20" i="11" s="1"/>
  <c r="C19" i="11"/>
  <c r="C18" i="11"/>
  <c r="D18" i="11" s="1"/>
  <c r="S55" i="11"/>
  <c r="N55" i="11"/>
  <c r="I55" i="11"/>
  <c r="S54" i="11"/>
  <c r="M54" i="11"/>
  <c r="I54" i="11"/>
  <c r="E54" i="11"/>
  <c r="S44" i="11"/>
  <c r="N44" i="11"/>
  <c r="I44" i="11"/>
  <c r="D44" i="11"/>
  <c r="T43" i="11"/>
  <c r="U43" i="11" s="1"/>
  <c r="R43" i="11"/>
  <c r="S43" i="11" s="1"/>
  <c r="O43" i="11"/>
  <c r="P43" i="11" s="1"/>
  <c r="M43" i="11"/>
  <c r="N43" i="11" s="1"/>
  <c r="J43" i="11"/>
  <c r="K43" i="11" s="1"/>
  <c r="H43" i="11"/>
  <c r="I43" i="11" s="1"/>
  <c r="E43" i="11"/>
  <c r="F43" i="11" s="1"/>
  <c r="C43" i="11"/>
  <c r="D43" i="11" s="1"/>
  <c r="T42" i="11"/>
  <c r="R42" i="11"/>
  <c r="O42" i="11"/>
  <c r="M42" i="11"/>
  <c r="J42" i="11"/>
  <c r="H42" i="11"/>
  <c r="E42" i="11"/>
  <c r="C42" i="11"/>
  <c r="S33" i="11"/>
  <c r="N33" i="11"/>
  <c r="I33" i="11"/>
  <c r="D33" i="11"/>
  <c r="S32" i="11"/>
  <c r="N32" i="11"/>
  <c r="I32" i="11"/>
  <c r="D32" i="11"/>
  <c r="S31" i="11"/>
  <c r="N31" i="11"/>
  <c r="I31" i="11"/>
  <c r="S30" i="11"/>
  <c r="N30" i="11"/>
  <c r="I30" i="11"/>
  <c r="O29" i="11"/>
  <c r="I29" i="11"/>
  <c r="S28" i="11"/>
  <c r="N28" i="11"/>
  <c r="I28" i="11"/>
  <c r="D28" i="11"/>
  <c r="S27" i="11"/>
  <c r="N27" i="11"/>
  <c r="I27" i="11"/>
  <c r="S26" i="11"/>
  <c r="N26" i="11"/>
  <c r="I26" i="11"/>
  <c r="S25" i="11"/>
  <c r="N25" i="11"/>
  <c r="I25" i="11"/>
  <c r="D25" i="11"/>
  <c r="S24" i="11"/>
  <c r="N24" i="11"/>
  <c r="I24" i="11"/>
  <c r="D24" i="11"/>
  <c r="U22" i="11"/>
  <c r="S22" i="11"/>
  <c r="P22" i="11"/>
  <c r="N22" i="11"/>
  <c r="K22" i="11"/>
  <c r="I22" i="11"/>
  <c r="D22" i="11"/>
  <c r="U21" i="11"/>
  <c r="S21" i="11"/>
  <c r="P21" i="11"/>
  <c r="N21" i="11"/>
  <c r="K21" i="11"/>
  <c r="I21" i="11"/>
  <c r="U20" i="11"/>
  <c r="S20" i="11"/>
  <c r="P20" i="11"/>
  <c r="N20" i="11"/>
  <c r="K20" i="11"/>
  <c r="I20" i="11"/>
  <c r="U19" i="11"/>
  <c r="S19" i="11"/>
  <c r="P19" i="11"/>
  <c r="N19" i="11"/>
  <c r="K19" i="11"/>
  <c r="I19" i="11"/>
  <c r="D19" i="11"/>
  <c r="S18" i="11"/>
  <c r="N18" i="11"/>
  <c r="I18" i="11"/>
  <c r="T14" i="11"/>
  <c r="R14" i="11"/>
  <c r="O14" i="11"/>
  <c r="M14" i="11"/>
  <c r="J14" i="11"/>
  <c r="H14" i="11"/>
  <c r="E14" i="11"/>
  <c r="C14" i="11"/>
  <c r="T13" i="11"/>
  <c r="R13" i="11"/>
  <c r="O13" i="11"/>
  <c r="M13" i="11"/>
  <c r="J13" i="11"/>
  <c r="H13" i="11"/>
  <c r="E13" i="11"/>
  <c r="C13" i="11"/>
  <c r="T12" i="11"/>
  <c r="R12" i="11"/>
  <c r="O12" i="11"/>
  <c r="M12" i="11"/>
  <c r="J12" i="11"/>
  <c r="H12" i="11"/>
  <c r="E12" i="11"/>
  <c r="C12" i="11"/>
  <c r="U9" i="11"/>
  <c r="S9" i="11"/>
  <c r="S10" i="11" s="1"/>
  <c r="P9" i="11"/>
  <c r="N9" i="11"/>
  <c r="N10" i="11" s="1"/>
  <c r="K9" i="11"/>
  <c r="I10" i="11"/>
  <c r="F9" i="11"/>
  <c r="D9" i="11"/>
  <c r="D1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2" i="11" s="1"/>
  <c r="A63" i="11" s="1"/>
  <c r="A64" i="11" s="1"/>
  <c r="A65" i="11" s="1"/>
  <c r="A66" i="11" s="1"/>
  <c r="U7" i="11"/>
  <c r="U44" i="11" s="1"/>
  <c r="P7" i="11"/>
  <c r="P30" i="11" s="1"/>
  <c r="K7" i="11"/>
  <c r="K27" i="11" s="1"/>
  <c r="F7" i="11"/>
  <c r="R54" i="10"/>
  <c r="T54" i="10" s="1"/>
  <c r="R55" i="10"/>
  <c r="S55" i="10" s="1"/>
  <c r="R38" i="10"/>
  <c r="R37" i="10"/>
  <c r="R33" i="10"/>
  <c r="S33" i="10" s="1"/>
  <c r="R32" i="10"/>
  <c r="S32" i="10" s="1"/>
  <c r="R31" i="10"/>
  <c r="R30" i="10"/>
  <c r="R29" i="10"/>
  <c r="S29" i="10" s="1"/>
  <c r="R28" i="10"/>
  <c r="S28" i="10" s="1"/>
  <c r="R27" i="10"/>
  <c r="R26" i="10"/>
  <c r="R25" i="10"/>
  <c r="S25" i="10" s="1"/>
  <c r="R24" i="10"/>
  <c r="S24" i="10" s="1"/>
  <c r="R22" i="10"/>
  <c r="R21" i="10"/>
  <c r="S21" i="10" s="1"/>
  <c r="R20" i="10"/>
  <c r="S20" i="10" s="1"/>
  <c r="R19" i="10"/>
  <c r="S19" i="10" s="1"/>
  <c r="R18" i="10"/>
  <c r="S9" i="10"/>
  <c r="S10" i="10" s="1"/>
  <c r="M54" i="10"/>
  <c r="O54" i="10" s="1"/>
  <c r="H54" i="10"/>
  <c r="I54" i="10" s="1"/>
  <c r="C54" i="10"/>
  <c r="E54" i="10" s="1"/>
  <c r="M29" i="10"/>
  <c r="O29" i="10" s="1"/>
  <c r="M55" i="10"/>
  <c r="N55" i="10" s="1"/>
  <c r="M38" i="10"/>
  <c r="M37" i="10"/>
  <c r="M33" i="10"/>
  <c r="N33" i="10" s="1"/>
  <c r="M32" i="10"/>
  <c r="N32" i="10" s="1"/>
  <c r="M31" i="10"/>
  <c r="N31" i="10" s="1"/>
  <c r="M30" i="10"/>
  <c r="N30" i="10" s="1"/>
  <c r="N29" i="10"/>
  <c r="M28" i="10"/>
  <c r="N28" i="10" s="1"/>
  <c r="M27" i="10"/>
  <c r="N27" i="10" s="1"/>
  <c r="M26" i="10"/>
  <c r="N26" i="10" s="1"/>
  <c r="M25" i="10"/>
  <c r="N25" i="10" s="1"/>
  <c r="M24" i="10"/>
  <c r="N24" i="10" s="1"/>
  <c r="N63" i="10" s="1"/>
  <c r="M22" i="10"/>
  <c r="N22" i="10" s="1"/>
  <c r="M21" i="10"/>
  <c r="N21" i="10" s="1"/>
  <c r="M20" i="10"/>
  <c r="M19" i="10"/>
  <c r="N19" i="10" s="1"/>
  <c r="M18" i="10"/>
  <c r="N18" i="10" s="1"/>
  <c r="N9" i="10"/>
  <c r="N10" i="10" s="1"/>
  <c r="T55" i="10"/>
  <c r="O55" i="10"/>
  <c r="S44" i="10"/>
  <c r="N44" i="10"/>
  <c r="T43" i="10"/>
  <c r="U43" i="10" s="1"/>
  <c r="R43" i="10"/>
  <c r="S43" i="10" s="1"/>
  <c r="O43" i="10"/>
  <c r="P43" i="10" s="1"/>
  <c r="M43" i="10"/>
  <c r="N43" i="10" s="1"/>
  <c r="T42" i="10"/>
  <c r="R42" i="10"/>
  <c r="O42" i="10"/>
  <c r="M42" i="10"/>
  <c r="T38" i="10"/>
  <c r="O38" i="10"/>
  <c r="T37" i="10"/>
  <c r="O37" i="10"/>
  <c r="T33" i="10"/>
  <c r="U33" i="10" s="1"/>
  <c r="O33" i="10"/>
  <c r="P33" i="10" s="1"/>
  <c r="T32" i="10"/>
  <c r="U32" i="10" s="1"/>
  <c r="O32" i="10"/>
  <c r="P32" i="10" s="1"/>
  <c r="T31" i="10"/>
  <c r="S31" i="10"/>
  <c r="O31" i="10"/>
  <c r="T30" i="10"/>
  <c r="S30" i="10"/>
  <c r="O30" i="10"/>
  <c r="T28" i="10"/>
  <c r="O28" i="10"/>
  <c r="T27" i="10"/>
  <c r="S27" i="10"/>
  <c r="O27" i="10"/>
  <c r="T26" i="10"/>
  <c r="S26" i="10"/>
  <c r="O26" i="10"/>
  <c r="T25" i="10"/>
  <c r="O25" i="10"/>
  <c r="T22" i="10"/>
  <c r="U22" i="10" s="1"/>
  <c r="S22" i="10"/>
  <c r="O22" i="10"/>
  <c r="P22" i="10" s="1"/>
  <c r="T21" i="10"/>
  <c r="U21" i="10" s="1"/>
  <c r="O21" i="10"/>
  <c r="P21" i="10" s="1"/>
  <c r="T20" i="10"/>
  <c r="U20" i="10" s="1"/>
  <c r="O20" i="10"/>
  <c r="P20" i="10" s="1"/>
  <c r="N20" i="10"/>
  <c r="T19" i="10"/>
  <c r="U19" i="10" s="1"/>
  <c r="O19" i="10"/>
  <c r="P19" i="10" s="1"/>
  <c r="S18" i="10"/>
  <c r="T14" i="10"/>
  <c r="R14" i="10"/>
  <c r="O14" i="10"/>
  <c r="M14" i="10"/>
  <c r="T13" i="10"/>
  <c r="R13" i="10"/>
  <c r="O13" i="10"/>
  <c r="M13" i="10"/>
  <c r="T12" i="10"/>
  <c r="R12" i="10"/>
  <c r="O12" i="10"/>
  <c r="M12" i="10"/>
  <c r="U9" i="10"/>
  <c r="P9" i="10"/>
  <c r="U8" i="10"/>
  <c r="P8" i="10"/>
  <c r="U7" i="10"/>
  <c r="U44" i="10" s="1"/>
  <c r="P7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H55" i="10"/>
  <c r="I55" i="10" s="1"/>
  <c r="H38" i="10"/>
  <c r="H37" i="10"/>
  <c r="H33" i="10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2" i="10"/>
  <c r="I22" i="10" s="1"/>
  <c r="H21" i="10"/>
  <c r="I21" i="10" s="1"/>
  <c r="H20" i="10"/>
  <c r="I20" i="10" s="1"/>
  <c r="H19" i="10"/>
  <c r="I19" i="10" s="1"/>
  <c r="H18" i="10"/>
  <c r="I18" i="10" s="1"/>
  <c r="J55" i="10"/>
  <c r="I44" i="10"/>
  <c r="J43" i="10"/>
  <c r="K43" i="10" s="1"/>
  <c r="H43" i="10"/>
  <c r="I43" i="10" s="1"/>
  <c r="J42" i="10"/>
  <c r="H42" i="10"/>
  <c r="J38" i="10"/>
  <c r="J37" i="10"/>
  <c r="J33" i="10"/>
  <c r="K33" i="10" s="1"/>
  <c r="I33" i="10"/>
  <c r="J32" i="10"/>
  <c r="K32" i="10" s="1"/>
  <c r="J31" i="10"/>
  <c r="J30" i="10"/>
  <c r="J29" i="10"/>
  <c r="J28" i="10"/>
  <c r="J27" i="10"/>
  <c r="J26" i="10"/>
  <c r="J25" i="10"/>
  <c r="J22" i="10"/>
  <c r="K22" i="10" s="1"/>
  <c r="J21" i="10"/>
  <c r="K21" i="10" s="1"/>
  <c r="J20" i="10"/>
  <c r="K20" i="10" s="1"/>
  <c r="J19" i="10"/>
  <c r="K19" i="10" s="1"/>
  <c r="J14" i="10"/>
  <c r="H14" i="10"/>
  <c r="J13" i="10"/>
  <c r="H13" i="10"/>
  <c r="J12" i="10"/>
  <c r="H12" i="10"/>
  <c r="K9" i="10"/>
  <c r="I10" i="10"/>
  <c r="K8" i="10"/>
  <c r="K7" i="10"/>
  <c r="E55" i="10"/>
  <c r="E38" i="10"/>
  <c r="E37" i="10"/>
  <c r="E33" i="10"/>
  <c r="F33" i="10" s="1"/>
  <c r="E32" i="10"/>
  <c r="F32" i="10" s="1"/>
  <c r="E31" i="10"/>
  <c r="E30" i="10"/>
  <c r="E29" i="10"/>
  <c r="E28" i="10"/>
  <c r="E27" i="10"/>
  <c r="E26" i="10"/>
  <c r="E25" i="10"/>
  <c r="E22" i="10"/>
  <c r="F22" i="10" s="1"/>
  <c r="E21" i="10"/>
  <c r="F21" i="10" s="1"/>
  <c r="E20" i="10"/>
  <c r="F20" i="10" s="1"/>
  <c r="E19" i="10"/>
  <c r="F19" i="10" s="1"/>
  <c r="E12" i="10"/>
  <c r="C55" i="10"/>
  <c r="D55" i="10" s="1"/>
  <c r="C42" i="10"/>
  <c r="C38" i="10"/>
  <c r="C37" i="10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2" i="10"/>
  <c r="D22" i="10" s="1"/>
  <c r="C21" i="10"/>
  <c r="D21" i="10" s="1"/>
  <c r="C20" i="10"/>
  <c r="D20" i="10" s="1"/>
  <c r="C19" i="10"/>
  <c r="D19" i="10" s="1"/>
  <c r="C18" i="10"/>
  <c r="D18" i="10" s="1"/>
  <c r="D44" i="10"/>
  <c r="E43" i="10"/>
  <c r="F43" i="10" s="1"/>
  <c r="E42" i="10"/>
  <c r="C43" i="10"/>
  <c r="D43" i="10" s="1"/>
  <c r="E14" i="10"/>
  <c r="E13" i="10"/>
  <c r="C14" i="10"/>
  <c r="C13" i="10"/>
  <c r="C12" i="10"/>
  <c r="F9" i="10"/>
  <c r="F8" i="10"/>
  <c r="F7" i="10"/>
  <c r="F44" i="10" s="1"/>
  <c r="D9" i="10"/>
  <c r="D10" i="10" s="1"/>
  <c r="U39" i="15" l="1"/>
  <c r="V39" i="15" s="1"/>
  <c r="V40" i="15" s="1"/>
  <c r="K39" i="15"/>
  <c r="L39" i="15" s="1"/>
  <c r="L40" i="15" s="1"/>
  <c r="P39" i="14"/>
  <c r="Q39" i="14" s="1"/>
  <c r="Q40" i="14" s="1"/>
  <c r="D20" i="24"/>
  <c r="U26" i="10"/>
  <c r="U30" i="10"/>
  <c r="N54" i="10"/>
  <c r="U54" i="10"/>
  <c r="F54" i="10"/>
  <c r="U33" i="11"/>
  <c r="K55" i="10"/>
  <c r="I63" i="11"/>
  <c r="P39" i="15"/>
  <c r="Q39" i="15" s="1"/>
  <c r="Q40" i="15" s="1"/>
  <c r="D63" i="11"/>
  <c r="J54" i="10"/>
  <c r="K54" i="10" s="1"/>
  <c r="N63" i="11"/>
  <c r="I39" i="13"/>
  <c r="D63" i="10"/>
  <c r="F55" i="10"/>
  <c r="I63" i="10"/>
  <c r="S63" i="10"/>
  <c r="P54" i="10"/>
  <c r="S63" i="11"/>
  <c r="U26" i="11"/>
  <c r="U46" i="12"/>
  <c r="N51" i="13"/>
  <c r="P65" i="15"/>
  <c r="Q65" i="15" s="1"/>
  <c r="U128" i="12"/>
  <c r="V128" i="12" s="1"/>
  <c r="U191" i="12"/>
  <c r="V191" i="12" s="1"/>
  <c r="U254" i="12"/>
  <c r="V254" i="12" s="1"/>
  <c r="K228" i="12"/>
  <c r="L228" i="12" s="1"/>
  <c r="L229" i="12" s="1"/>
  <c r="K128" i="12"/>
  <c r="L128" i="12" s="1"/>
  <c r="K254" i="12"/>
  <c r="L254" i="12" s="1"/>
  <c r="F39" i="16"/>
  <c r="G39" i="16" s="1"/>
  <c r="G40" i="16" s="1"/>
  <c r="P46" i="15"/>
  <c r="P65" i="14"/>
  <c r="Q65" i="14" s="1"/>
  <c r="Q46" i="15"/>
  <c r="Q47" i="15" s="1"/>
  <c r="U31" i="11"/>
  <c r="U10" i="11"/>
  <c r="U32" i="11"/>
  <c r="U27" i="10"/>
  <c r="U31" i="10"/>
  <c r="U10" i="10"/>
  <c r="U28" i="10"/>
  <c r="U55" i="10"/>
  <c r="P55" i="10"/>
  <c r="I480" i="10"/>
  <c r="I417" i="10"/>
  <c r="I228" i="10"/>
  <c r="U354" i="10"/>
  <c r="U165" i="10"/>
  <c r="U102" i="10"/>
  <c r="S228" i="10"/>
  <c r="S291" i="10"/>
  <c r="N165" i="10"/>
  <c r="N228" i="10"/>
  <c r="N102" i="10"/>
  <c r="N291" i="10"/>
  <c r="D354" i="10"/>
  <c r="D102" i="10"/>
  <c r="D291" i="10"/>
  <c r="D480" i="10"/>
  <c r="D417" i="10"/>
  <c r="D228" i="10"/>
  <c r="F65" i="16"/>
  <c r="G65" i="16" s="1"/>
  <c r="F39" i="15"/>
  <c r="G39" i="15" s="1"/>
  <c r="G40" i="15" s="1"/>
  <c r="P42" i="14"/>
  <c r="P46" i="14" s="1"/>
  <c r="Q46" i="14" s="1"/>
  <c r="Q47" i="14" s="1"/>
  <c r="F38" i="13"/>
  <c r="F37" i="13"/>
  <c r="K42" i="13"/>
  <c r="K46" i="13" s="1"/>
  <c r="L46" i="13" s="1"/>
  <c r="L47" i="13" s="1"/>
  <c r="K37" i="13"/>
  <c r="K38" i="13"/>
  <c r="D54" i="10"/>
  <c r="T29" i="10"/>
  <c r="U29" i="10" s="1"/>
  <c r="U65" i="14"/>
  <c r="V65" i="14" s="1"/>
  <c r="K65" i="14"/>
  <c r="L65" i="14" s="1"/>
  <c r="F65" i="14"/>
  <c r="G65" i="14" s="1"/>
  <c r="K65" i="13"/>
  <c r="L65" i="13" s="1"/>
  <c r="V65" i="13"/>
  <c r="V15" i="13"/>
  <c r="V16" i="13" s="1"/>
  <c r="L46" i="15"/>
  <c r="L47" i="15" s="1"/>
  <c r="K65" i="15"/>
  <c r="L65" i="15" s="1"/>
  <c r="U65" i="15"/>
  <c r="V65" i="15" s="1"/>
  <c r="F65" i="15"/>
  <c r="G65" i="15" s="1"/>
  <c r="V46" i="12"/>
  <c r="V47" i="12" s="1"/>
  <c r="G46" i="15"/>
  <c r="G47" i="15" s="1"/>
  <c r="V46" i="13"/>
  <c r="V47" i="13" s="1"/>
  <c r="F42" i="16"/>
  <c r="F46" i="16" s="1"/>
  <c r="G46" i="16" s="1"/>
  <c r="G47" i="16" s="1"/>
  <c r="V46" i="15"/>
  <c r="V47" i="15" s="1"/>
  <c r="S63" i="13"/>
  <c r="S34" i="13"/>
  <c r="S48" i="13" s="1"/>
  <c r="F42" i="14"/>
  <c r="F46" i="14" s="1"/>
  <c r="G46" i="14" s="1"/>
  <c r="G47" i="14" s="1"/>
  <c r="F39" i="14"/>
  <c r="G39" i="14" s="1"/>
  <c r="G40" i="14" s="1"/>
  <c r="V46" i="14"/>
  <c r="V47" i="14" s="1"/>
  <c r="S34" i="14"/>
  <c r="K42" i="14"/>
  <c r="K46" i="14" s="1"/>
  <c r="L46" i="14" s="1"/>
  <c r="L47" i="14" s="1"/>
  <c r="K39" i="14"/>
  <c r="L39" i="14" s="1"/>
  <c r="L40" i="14" s="1"/>
  <c r="F65" i="13"/>
  <c r="G65" i="13" s="1"/>
  <c r="U39" i="13"/>
  <c r="V39" i="13" s="1"/>
  <c r="V40" i="13" s="1"/>
  <c r="P50" i="13"/>
  <c r="P51" i="13" s="1"/>
  <c r="Q51" i="13" s="1"/>
  <c r="Q52" i="13" s="1"/>
  <c r="P49" i="13"/>
  <c r="F42" i="13"/>
  <c r="F46" i="13" s="1"/>
  <c r="G46" i="13" s="1"/>
  <c r="G47" i="13" s="1"/>
  <c r="K39" i="12"/>
  <c r="L39" i="12" s="1"/>
  <c r="L40" i="12" s="1"/>
  <c r="K42" i="12"/>
  <c r="K46" i="12" s="1"/>
  <c r="L46" i="12" s="1"/>
  <c r="L47" i="12" s="1"/>
  <c r="K65" i="12"/>
  <c r="L65" i="12" s="1"/>
  <c r="D39" i="12"/>
  <c r="U65" i="12"/>
  <c r="V65" i="12" s="1"/>
  <c r="Q46" i="12"/>
  <c r="Q47" i="12" s="1"/>
  <c r="P65" i="12"/>
  <c r="Q65" i="12" s="1"/>
  <c r="Q66" i="12" s="1"/>
  <c r="F65" i="12"/>
  <c r="G65" i="12" s="1"/>
  <c r="F39" i="12"/>
  <c r="F42" i="12"/>
  <c r="F46" i="12" s="1"/>
  <c r="G46" i="12" s="1"/>
  <c r="G47" i="12" s="1"/>
  <c r="N39" i="12"/>
  <c r="S39" i="12"/>
  <c r="Q15" i="12"/>
  <c r="Q16" i="12" s="1"/>
  <c r="U39" i="12"/>
  <c r="N34" i="12"/>
  <c r="N48" i="12" s="1"/>
  <c r="U42" i="11"/>
  <c r="U46" i="11" s="1"/>
  <c r="U25" i="11"/>
  <c r="U27" i="11"/>
  <c r="U28" i="11"/>
  <c r="U30" i="11"/>
  <c r="U55" i="11"/>
  <c r="P27" i="11"/>
  <c r="P31" i="11"/>
  <c r="P26" i="11"/>
  <c r="P28" i="11"/>
  <c r="K31" i="11"/>
  <c r="K26" i="11"/>
  <c r="D37" i="11"/>
  <c r="F33" i="11"/>
  <c r="F25" i="11"/>
  <c r="F27" i="11"/>
  <c r="T29" i="11"/>
  <c r="U29" i="11" s="1"/>
  <c r="S29" i="11"/>
  <c r="F31" i="11"/>
  <c r="S38" i="11"/>
  <c r="F54" i="11"/>
  <c r="F55" i="11"/>
  <c r="K44" i="11"/>
  <c r="K33" i="11"/>
  <c r="K25" i="11"/>
  <c r="K10" i="11"/>
  <c r="K29" i="11"/>
  <c r="K30" i="11"/>
  <c r="S37" i="11"/>
  <c r="U38" i="11"/>
  <c r="I42" i="11"/>
  <c r="I46" i="11" s="1"/>
  <c r="F44" i="11"/>
  <c r="T54" i="11"/>
  <c r="U54" i="11" s="1"/>
  <c r="P44" i="11"/>
  <c r="P33" i="11"/>
  <c r="P25" i="11"/>
  <c r="P10" i="11"/>
  <c r="F29" i="11"/>
  <c r="F32" i="11"/>
  <c r="N37" i="11"/>
  <c r="N38" i="11"/>
  <c r="P55" i="11"/>
  <c r="F10" i="11"/>
  <c r="F38" i="11" s="1"/>
  <c r="F26" i="11"/>
  <c r="P29" i="11"/>
  <c r="F30" i="11"/>
  <c r="I37" i="11"/>
  <c r="U37" i="11"/>
  <c r="P38" i="11"/>
  <c r="N42" i="11"/>
  <c r="N46" i="11" s="1"/>
  <c r="N54" i="11"/>
  <c r="O54" i="11"/>
  <c r="P54" i="11" s="1"/>
  <c r="K55" i="11"/>
  <c r="K28" i="11"/>
  <c r="P32" i="11"/>
  <c r="I38" i="11"/>
  <c r="D42" i="11"/>
  <c r="D46" i="11" s="1"/>
  <c r="F28" i="11"/>
  <c r="N29" i="11"/>
  <c r="K32" i="11"/>
  <c r="D38" i="11"/>
  <c r="S42" i="11"/>
  <c r="S46" i="11" s="1"/>
  <c r="J54" i="11"/>
  <c r="K54" i="11" s="1"/>
  <c r="S54" i="10"/>
  <c r="F25" i="10"/>
  <c r="U38" i="10"/>
  <c r="U25" i="10"/>
  <c r="P25" i="10"/>
  <c r="P27" i="10"/>
  <c r="P29" i="10"/>
  <c r="P31" i="10"/>
  <c r="N37" i="10"/>
  <c r="N42" i="10"/>
  <c r="N46" i="10" s="1"/>
  <c r="U37" i="10"/>
  <c r="S38" i="10"/>
  <c r="U42" i="10"/>
  <c r="U46" i="10" s="1"/>
  <c r="P44" i="10"/>
  <c r="P10" i="10"/>
  <c r="P26" i="10"/>
  <c r="P28" i="10"/>
  <c r="P30" i="10"/>
  <c r="N38" i="10"/>
  <c r="S37" i="10"/>
  <c r="S42" i="10"/>
  <c r="S46" i="10" s="1"/>
  <c r="A56" i="10"/>
  <c r="A57" i="10" s="1"/>
  <c r="A58" i="10" s="1"/>
  <c r="A59" i="10" s="1"/>
  <c r="A60" i="10" s="1"/>
  <c r="A62" i="10" s="1"/>
  <c r="A63" i="10" s="1"/>
  <c r="A64" i="10" s="1"/>
  <c r="A65" i="10" s="1"/>
  <c r="A66" i="10" s="1"/>
  <c r="F29" i="10"/>
  <c r="F10" i="10"/>
  <c r="F28" i="10"/>
  <c r="K44" i="10"/>
  <c r="K10" i="10"/>
  <c r="K26" i="10"/>
  <c r="K28" i="10"/>
  <c r="K30" i="10"/>
  <c r="I37" i="10"/>
  <c r="I42" i="10"/>
  <c r="I46" i="10" s="1"/>
  <c r="K25" i="10"/>
  <c r="K27" i="10"/>
  <c r="K29" i="10"/>
  <c r="K31" i="10"/>
  <c r="I38" i="10"/>
  <c r="F31" i="10"/>
  <c r="F27" i="10"/>
  <c r="F30" i="10"/>
  <c r="F26" i="10"/>
  <c r="D42" i="10"/>
  <c r="D46" i="10" s="1"/>
  <c r="D37" i="10"/>
  <c r="D38" i="10"/>
  <c r="D8" i="24" l="1"/>
  <c r="H20" i="24"/>
  <c r="D9" i="24"/>
  <c r="H8" i="24"/>
  <c r="H21" i="24"/>
  <c r="H9" i="24"/>
  <c r="D21" i="24"/>
  <c r="U480" i="10"/>
  <c r="S417" i="10"/>
  <c r="N417" i="10"/>
  <c r="I291" i="10"/>
  <c r="K37" i="10"/>
  <c r="K354" i="10"/>
  <c r="K102" i="10"/>
  <c r="F42" i="10"/>
  <c r="F46" i="10" s="1"/>
  <c r="G46" i="10" s="1"/>
  <c r="G47" i="10" s="1"/>
  <c r="F417" i="10"/>
  <c r="F291" i="10"/>
  <c r="F102" i="10"/>
  <c r="F354" i="10"/>
  <c r="F480" i="10"/>
  <c r="S165" i="10"/>
  <c r="U228" i="10"/>
  <c r="D165" i="10"/>
  <c r="N480" i="10"/>
  <c r="N354" i="10"/>
  <c r="S480" i="10"/>
  <c r="U291" i="10"/>
  <c r="I102" i="10"/>
  <c r="I354" i="10"/>
  <c r="I165" i="10"/>
  <c r="P291" i="10"/>
  <c r="P102" i="10"/>
  <c r="S102" i="10"/>
  <c r="S354" i="10"/>
  <c r="U417" i="10"/>
  <c r="F39" i="13"/>
  <c r="G39" i="13" s="1"/>
  <c r="G40" i="13" s="1"/>
  <c r="K39" i="13"/>
  <c r="L39" i="13" s="1"/>
  <c r="L40" i="13" s="1"/>
  <c r="V66" i="13"/>
  <c r="U63" i="14"/>
  <c r="U34" i="14"/>
  <c r="U63" i="13"/>
  <c r="V63" i="13" s="1"/>
  <c r="V64" i="13" s="1"/>
  <c r="U34" i="13"/>
  <c r="S49" i="13"/>
  <c r="S50" i="13" s="1"/>
  <c r="V39" i="12"/>
  <c r="V40" i="12" s="1"/>
  <c r="G39" i="12"/>
  <c r="G40" i="12" s="1"/>
  <c r="P39" i="12"/>
  <c r="Q39" i="12" s="1"/>
  <c r="Q40" i="12" s="1"/>
  <c r="N49" i="12"/>
  <c r="N50" i="12" s="1"/>
  <c r="N51" i="12" s="1"/>
  <c r="P63" i="12"/>
  <c r="Q63" i="12" s="1"/>
  <c r="Q64" i="12" s="1"/>
  <c r="P34" i="12"/>
  <c r="V46" i="11"/>
  <c r="V47" i="11" s="1"/>
  <c r="D39" i="11"/>
  <c r="F37" i="11"/>
  <c r="F39" i="11" s="1"/>
  <c r="F42" i="11"/>
  <c r="F46" i="11" s="1"/>
  <c r="G46" i="11" s="1"/>
  <c r="G47" i="11" s="1"/>
  <c r="N39" i="11"/>
  <c r="K38" i="11"/>
  <c r="K37" i="11"/>
  <c r="U39" i="11"/>
  <c r="P37" i="11"/>
  <c r="P39" i="11" s="1"/>
  <c r="S39" i="11"/>
  <c r="I39" i="11"/>
  <c r="K42" i="11"/>
  <c r="K46" i="11" s="1"/>
  <c r="L46" i="11" s="1"/>
  <c r="L47" i="11" s="1"/>
  <c r="P42" i="11"/>
  <c r="P46" i="11" s="1"/>
  <c r="Q46" i="11" s="1"/>
  <c r="Q47" i="11" s="1"/>
  <c r="U39" i="10"/>
  <c r="F37" i="10"/>
  <c r="N39" i="10"/>
  <c r="P42" i="10"/>
  <c r="P46" i="10" s="1"/>
  <c r="Q46" i="10" s="1"/>
  <c r="Q47" i="10" s="1"/>
  <c r="P37" i="10"/>
  <c r="P38" i="10"/>
  <c r="S39" i="10"/>
  <c r="V46" i="10"/>
  <c r="V47" i="10" s="1"/>
  <c r="F38" i="10"/>
  <c r="K42" i="10"/>
  <c r="K46" i="10" s="1"/>
  <c r="L46" i="10" s="1"/>
  <c r="L47" i="10" s="1"/>
  <c r="I39" i="10"/>
  <c r="K38" i="10"/>
  <c r="D39" i="10"/>
  <c r="K39" i="10" l="1"/>
  <c r="L39" i="10" s="1"/>
  <c r="L40" i="10" s="1"/>
  <c r="V165" i="10"/>
  <c r="V166" i="10" s="1"/>
  <c r="V102" i="10"/>
  <c r="V103" i="10" s="1"/>
  <c r="V291" i="10"/>
  <c r="V292" i="10" s="1"/>
  <c r="P480" i="10"/>
  <c r="Q480" i="10" s="1"/>
  <c r="Q481" i="10" s="1"/>
  <c r="P165" i="10"/>
  <c r="Q165" i="10" s="1"/>
  <c r="Q166" i="10" s="1"/>
  <c r="K480" i="10"/>
  <c r="L480" i="10" s="1"/>
  <c r="L481" i="10" s="1"/>
  <c r="K417" i="10"/>
  <c r="L417" i="10" s="1"/>
  <c r="L418" i="10" s="1"/>
  <c r="G480" i="10"/>
  <c r="G481" i="10" s="1"/>
  <c r="G291" i="10"/>
  <c r="G292" i="10" s="1"/>
  <c r="L354" i="10"/>
  <c r="L355" i="10" s="1"/>
  <c r="P228" i="10"/>
  <c r="P417" i="10"/>
  <c r="P354" i="10"/>
  <c r="V480" i="10"/>
  <c r="V481" i="10" s="1"/>
  <c r="G354" i="10"/>
  <c r="G355" i="10" s="1"/>
  <c r="F228" i="10"/>
  <c r="K165" i="10"/>
  <c r="K228" i="10"/>
  <c r="Q102" i="10"/>
  <c r="Q103" i="10" s="1"/>
  <c r="V228" i="10"/>
  <c r="V229" i="10" s="1"/>
  <c r="G417" i="10"/>
  <c r="G418" i="10" s="1"/>
  <c r="L102" i="10"/>
  <c r="L103" i="10" s="1"/>
  <c r="V417" i="10"/>
  <c r="V418" i="10" s="1"/>
  <c r="V354" i="10"/>
  <c r="V355" i="10" s="1"/>
  <c r="Q291" i="10"/>
  <c r="Q292" i="10" s="1"/>
  <c r="G102" i="10"/>
  <c r="G103" i="10" s="1"/>
  <c r="F165" i="10"/>
  <c r="K291" i="10"/>
  <c r="V39" i="10"/>
  <c r="V40" i="10" s="1"/>
  <c r="V34" i="14"/>
  <c r="V35" i="14" s="1"/>
  <c r="V34" i="13"/>
  <c r="V35" i="13" s="1"/>
  <c r="U48" i="13"/>
  <c r="S51" i="13"/>
  <c r="G39" i="11"/>
  <c r="G40" i="11" s="1"/>
  <c r="Q34" i="12"/>
  <c r="Q35" i="12" s="1"/>
  <c r="P48" i="12"/>
  <c r="N59" i="12"/>
  <c r="V39" i="11"/>
  <c r="V40" i="11" s="1"/>
  <c r="Q39" i="11"/>
  <c r="Q40" i="11" s="1"/>
  <c r="K39" i="11"/>
  <c r="L39" i="11" s="1"/>
  <c r="L40" i="11" s="1"/>
  <c r="F39" i="10"/>
  <c r="G39" i="10" s="1"/>
  <c r="G40" i="10" s="1"/>
  <c r="P39" i="10"/>
  <c r="Q39" i="10" s="1"/>
  <c r="Q40" i="10" s="1"/>
  <c r="L165" i="10" l="1"/>
  <c r="L166" i="10" s="1"/>
  <c r="Q228" i="10"/>
  <c r="Q229" i="10" s="1"/>
  <c r="G228" i="10"/>
  <c r="G229" i="10" s="1"/>
  <c r="G165" i="10"/>
  <c r="G166" i="10" s="1"/>
  <c r="L291" i="10"/>
  <c r="L292" i="10" s="1"/>
  <c r="L228" i="10"/>
  <c r="L229" i="10" s="1"/>
  <c r="Q354" i="10"/>
  <c r="Q355" i="10" s="1"/>
  <c r="Q417" i="10"/>
  <c r="Q418" i="10" s="1"/>
  <c r="S59" i="14"/>
  <c r="U49" i="13"/>
  <c r="S59" i="13"/>
  <c r="P49" i="12"/>
  <c r="P50" i="12" s="1"/>
  <c r="P51" i="12" s="1"/>
  <c r="Q51" i="12" s="1"/>
  <c r="Q52" i="12" s="1"/>
  <c r="U50" i="13" l="1"/>
  <c r="U51" i="13" s="1"/>
  <c r="V51" i="13" s="1"/>
  <c r="V52" i="13" s="1"/>
  <c r="U59" i="14"/>
  <c r="V59" i="14" s="1"/>
  <c r="V60" i="14" s="1"/>
  <c r="U59" i="13" l="1"/>
  <c r="V59" i="13" s="1"/>
  <c r="V60" i="13" s="1"/>
  <c r="P59" i="12"/>
  <c r="Q59" i="12" s="1"/>
  <c r="Q60" i="12" s="1"/>
  <c r="B29" i="3" l="1"/>
  <c r="B28" i="3"/>
  <c r="D28" i="3" s="1"/>
  <c r="B27" i="3"/>
  <c r="B24" i="3"/>
  <c r="D29" i="3" l="1"/>
  <c r="K77" i="12"/>
  <c r="S266" i="11"/>
  <c r="K203" i="12"/>
  <c r="D77" i="11"/>
  <c r="N140" i="11"/>
  <c r="D140" i="11"/>
  <c r="F140" i="11"/>
  <c r="F140" i="12"/>
  <c r="U266" i="11"/>
  <c r="I77" i="11"/>
  <c r="S77" i="12"/>
  <c r="F203" i="11"/>
  <c r="I77" i="12"/>
  <c r="I203" i="11"/>
  <c r="U203" i="12"/>
  <c r="F266" i="11"/>
  <c r="K77" i="11"/>
  <c r="F77" i="11"/>
  <c r="S140" i="11"/>
  <c r="D266" i="11"/>
  <c r="I266" i="11"/>
  <c r="I140" i="12"/>
  <c r="D203" i="11"/>
  <c r="N77" i="11"/>
  <c r="U140" i="12"/>
  <c r="S77" i="11"/>
  <c r="K140" i="12"/>
  <c r="D140" i="12"/>
  <c r="P203" i="11"/>
  <c r="S203" i="11"/>
  <c r="U77" i="12"/>
  <c r="D77" i="12"/>
  <c r="N266" i="11"/>
  <c r="P266" i="11"/>
  <c r="S203" i="12"/>
  <c r="U203" i="11"/>
  <c r="I140" i="11"/>
  <c r="I203" i="12"/>
  <c r="S140" i="12"/>
  <c r="D203" i="12"/>
  <c r="F77" i="12"/>
  <c r="F203" i="12"/>
  <c r="N203" i="11"/>
  <c r="I140" i="10"/>
  <c r="K140" i="10"/>
  <c r="P329" i="10"/>
  <c r="P392" i="10"/>
  <c r="D455" i="10"/>
  <c r="K203" i="11"/>
  <c r="K140" i="11"/>
  <c r="D392" i="10"/>
  <c r="F266" i="10"/>
  <c r="I392" i="10"/>
  <c r="P455" i="10"/>
  <c r="P140" i="11"/>
  <c r="S203" i="10"/>
  <c r="K77" i="10"/>
  <c r="P203" i="10"/>
  <c r="S266" i="10"/>
  <c r="K329" i="10"/>
  <c r="U77" i="11"/>
  <c r="U203" i="10"/>
  <c r="N266" i="10"/>
  <c r="F329" i="10"/>
  <c r="F77" i="10"/>
  <c r="N140" i="10"/>
  <c r="S77" i="10"/>
  <c r="F203" i="10"/>
  <c r="S455" i="10"/>
  <c r="S140" i="10"/>
  <c r="K455" i="10"/>
  <c r="U140" i="10"/>
  <c r="N455" i="10"/>
  <c r="N329" i="10"/>
  <c r="P266" i="10"/>
  <c r="I329" i="10"/>
  <c r="S392" i="10"/>
  <c r="D329" i="10"/>
  <c r="U77" i="10"/>
  <c r="F140" i="10"/>
  <c r="U329" i="10"/>
  <c r="K392" i="10"/>
  <c r="U140" i="11"/>
  <c r="F392" i="10"/>
  <c r="U455" i="10"/>
  <c r="N203" i="10"/>
  <c r="D77" i="10"/>
  <c r="P77" i="10"/>
  <c r="K203" i="10"/>
  <c r="D266" i="10"/>
  <c r="P77" i="11"/>
  <c r="U266" i="10"/>
  <c r="D140" i="10"/>
  <c r="D203" i="10"/>
  <c r="S329" i="10"/>
  <c r="K266" i="10"/>
  <c r="P140" i="10"/>
  <c r="U392" i="10"/>
  <c r="I455" i="10"/>
  <c r="N77" i="10"/>
  <c r="N392" i="10"/>
  <c r="K266" i="11"/>
  <c r="I203" i="10"/>
  <c r="I77" i="10"/>
  <c r="F455" i="10"/>
  <c r="I266" i="10"/>
  <c r="N14" i="14"/>
  <c r="D14" i="20"/>
  <c r="F14" i="17"/>
  <c r="F14" i="20"/>
  <c r="D14" i="18"/>
  <c r="D14" i="17"/>
  <c r="I14" i="20"/>
  <c r="K14" i="20"/>
  <c r="F14" i="18"/>
  <c r="I14" i="14"/>
  <c r="D14" i="12"/>
  <c r="D14" i="14"/>
  <c r="U14" i="14"/>
  <c r="N14" i="15"/>
  <c r="I14" i="12"/>
  <c r="K14" i="14"/>
  <c r="K14" i="15"/>
  <c r="U14" i="15"/>
  <c r="F14" i="16"/>
  <c r="I14" i="13"/>
  <c r="D14" i="16"/>
  <c r="D14" i="15"/>
  <c r="D14" i="13"/>
  <c r="I14" i="15"/>
  <c r="F14" i="15"/>
  <c r="F14" i="13"/>
  <c r="S14" i="14"/>
  <c r="S14" i="15"/>
  <c r="P14" i="15"/>
  <c r="P14" i="14"/>
  <c r="F14" i="14"/>
  <c r="K14" i="13"/>
  <c r="K14" i="12"/>
  <c r="U14" i="12"/>
  <c r="F14" i="12"/>
  <c r="S14" i="12"/>
  <c r="I14" i="10"/>
  <c r="D14" i="11"/>
  <c r="U14" i="11"/>
  <c r="K14" i="10"/>
  <c r="F14" i="10"/>
  <c r="S14" i="11"/>
  <c r="S14" i="10"/>
  <c r="D14" i="10"/>
  <c r="N14" i="11"/>
  <c r="F14" i="11"/>
  <c r="P14" i="10"/>
  <c r="U14" i="10"/>
  <c r="P14" i="11"/>
  <c r="N14" i="10"/>
  <c r="K14" i="11"/>
  <c r="I14" i="11"/>
  <c r="B30" i="3"/>
  <c r="K201" i="12"/>
  <c r="K75" i="12"/>
  <c r="D138" i="11"/>
  <c r="F75" i="11"/>
  <c r="D264" i="11"/>
  <c r="D75" i="12"/>
  <c r="S264" i="11"/>
  <c r="S201" i="12"/>
  <c r="U264" i="11"/>
  <c r="I138" i="12"/>
  <c r="F201" i="12"/>
  <c r="S201" i="11"/>
  <c r="U201" i="11"/>
  <c r="U138" i="12"/>
  <c r="I201" i="12"/>
  <c r="N201" i="11"/>
  <c r="D75" i="11"/>
  <c r="I75" i="11"/>
  <c r="S75" i="12"/>
  <c r="F264" i="11"/>
  <c r="I75" i="12"/>
  <c r="U201" i="12"/>
  <c r="F201" i="11"/>
  <c r="K75" i="11"/>
  <c r="U75" i="12"/>
  <c r="K201" i="11"/>
  <c r="N75" i="11"/>
  <c r="N138" i="11"/>
  <c r="F138" i="12"/>
  <c r="F138" i="11"/>
  <c r="S75" i="11"/>
  <c r="I138" i="11"/>
  <c r="K138" i="12"/>
  <c r="D138" i="12"/>
  <c r="P201" i="11"/>
  <c r="N264" i="11"/>
  <c r="D201" i="11"/>
  <c r="S138" i="11"/>
  <c r="S138" i="12"/>
  <c r="I264" i="11"/>
  <c r="D201" i="12"/>
  <c r="F75" i="12"/>
  <c r="I201" i="11"/>
  <c r="I138" i="10"/>
  <c r="K264" i="10"/>
  <c r="U453" i="10"/>
  <c r="F75" i="10"/>
  <c r="K138" i="10"/>
  <c r="P327" i="10"/>
  <c r="P390" i="10"/>
  <c r="D453" i="10"/>
  <c r="N327" i="10"/>
  <c r="I390" i="10"/>
  <c r="P453" i="10"/>
  <c r="K75" i="10"/>
  <c r="P201" i="10"/>
  <c r="S264" i="10"/>
  <c r="K327" i="10"/>
  <c r="N390" i="10"/>
  <c r="N75" i="10"/>
  <c r="I201" i="10"/>
  <c r="U138" i="10"/>
  <c r="N453" i="10"/>
  <c r="U75" i="11"/>
  <c r="P264" i="11"/>
  <c r="I75" i="10"/>
  <c r="P264" i="10"/>
  <c r="I327" i="10"/>
  <c r="S390" i="10"/>
  <c r="U264" i="10"/>
  <c r="S75" i="10"/>
  <c r="U75" i="10"/>
  <c r="F138" i="10"/>
  <c r="U327" i="10"/>
  <c r="K390" i="10"/>
  <c r="P75" i="11"/>
  <c r="D138" i="10"/>
  <c r="F453" i="10"/>
  <c r="I264" i="10"/>
  <c r="U138" i="11"/>
  <c r="N138" i="10"/>
  <c r="S201" i="10"/>
  <c r="D75" i="10"/>
  <c r="K264" i="11"/>
  <c r="K201" i="10"/>
  <c r="D264" i="10"/>
  <c r="D390" i="10"/>
  <c r="P75" i="10"/>
  <c r="D201" i="10"/>
  <c r="S327" i="10"/>
  <c r="P138" i="11"/>
  <c r="K453" i="10"/>
  <c r="P138" i="10"/>
  <c r="U390" i="10"/>
  <c r="I453" i="10"/>
  <c r="F264" i="10"/>
  <c r="K138" i="11"/>
  <c r="S138" i="10"/>
  <c r="D327" i="10"/>
  <c r="U201" i="10"/>
  <c r="N264" i="10"/>
  <c r="F327" i="10"/>
  <c r="F390" i="10"/>
  <c r="N201" i="10"/>
  <c r="F201" i="10"/>
  <c r="S453" i="10"/>
  <c r="N12" i="14"/>
  <c r="F12" i="17"/>
  <c r="I12" i="20"/>
  <c r="D12" i="20"/>
  <c r="D12" i="17"/>
  <c r="K12" i="20"/>
  <c r="F12" i="20"/>
  <c r="D12" i="18"/>
  <c r="F12" i="18"/>
  <c r="I12" i="14"/>
  <c r="D12" i="15"/>
  <c r="D12" i="16"/>
  <c r="D12" i="14"/>
  <c r="F12" i="15"/>
  <c r="P12" i="14"/>
  <c r="U12" i="14"/>
  <c r="F12" i="16"/>
  <c r="F12" i="13"/>
  <c r="F12" i="12"/>
  <c r="K12" i="15"/>
  <c r="D12" i="13"/>
  <c r="D12" i="12"/>
  <c r="S12" i="12"/>
  <c r="P12" i="15"/>
  <c r="S12" i="14"/>
  <c r="U12" i="15"/>
  <c r="K12" i="14"/>
  <c r="K12" i="12"/>
  <c r="U12" i="12"/>
  <c r="I12" i="13"/>
  <c r="F12" i="14"/>
  <c r="I12" i="12"/>
  <c r="I12" i="15"/>
  <c r="S12" i="15"/>
  <c r="N12" i="15"/>
  <c r="K12" i="13"/>
  <c r="D12" i="10"/>
  <c r="D12" i="11"/>
  <c r="N12" i="10"/>
  <c r="F12" i="11"/>
  <c r="P12" i="10"/>
  <c r="F12" i="10"/>
  <c r="I12" i="10"/>
  <c r="N12" i="11"/>
  <c r="U12" i="10"/>
  <c r="K12" i="11"/>
  <c r="K12" i="10"/>
  <c r="S12" i="10"/>
  <c r="S12" i="11"/>
  <c r="I12" i="11"/>
  <c r="U12" i="11"/>
  <c r="P12" i="11"/>
  <c r="U76" i="12"/>
  <c r="F139" i="11"/>
  <c r="D202" i="11"/>
  <c r="K139" i="12"/>
  <c r="S76" i="11"/>
  <c r="I139" i="11"/>
  <c r="D202" i="12"/>
  <c r="I139" i="12"/>
  <c r="N265" i="11"/>
  <c r="K76" i="12"/>
  <c r="F76" i="12"/>
  <c r="S76" i="12"/>
  <c r="S202" i="11"/>
  <c r="U139" i="12"/>
  <c r="F202" i="12"/>
  <c r="K76" i="11"/>
  <c r="N139" i="11"/>
  <c r="F76" i="11"/>
  <c r="S139" i="11"/>
  <c r="D76" i="11"/>
  <c r="S202" i="12"/>
  <c r="F265" i="11"/>
  <c r="I202" i="12"/>
  <c r="I265" i="11"/>
  <c r="D139" i="12"/>
  <c r="K202" i="12"/>
  <c r="K139" i="11"/>
  <c r="I76" i="11"/>
  <c r="U202" i="11"/>
  <c r="P202" i="11"/>
  <c r="N202" i="11"/>
  <c r="U265" i="11"/>
  <c r="D265" i="11"/>
  <c r="I76" i="12"/>
  <c r="F202" i="11"/>
  <c r="D76" i="12"/>
  <c r="I202" i="11"/>
  <c r="S265" i="11"/>
  <c r="S139" i="12"/>
  <c r="U202" i="12"/>
  <c r="F139" i="12"/>
  <c r="N76" i="11"/>
  <c r="N78" i="11" s="1"/>
  <c r="D139" i="11"/>
  <c r="I139" i="10"/>
  <c r="S202" i="10"/>
  <c r="N328" i="10"/>
  <c r="K202" i="10"/>
  <c r="D265" i="10"/>
  <c r="P265" i="11"/>
  <c r="D139" i="10"/>
  <c r="D202" i="10"/>
  <c r="S328" i="10"/>
  <c r="D328" i="10"/>
  <c r="P139" i="10"/>
  <c r="U391" i="10"/>
  <c r="I454" i="10"/>
  <c r="U139" i="10"/>
  <c r="P76" i="11"/>
  <c r="P265" i="10"/>
  <c r="U139" i="11"/>
  <c r="F139" i="10"/>
  <c r="K391" i="10"/>
  <c r="S139" i="10"/>
  <c r="U265" i="10"/>
  <c r="P76" i="10"/>
  <c r="U202" i="10"/>
  <c r="N265" i="10"/>
  <c r="F328" i="10"/>
  <c r="F391" i="10"/>
  <c r="K265" i="10"/>
  <c r="N139" i="10"/>
  <c r="N202" i="10"/>
  <c r="F454" i="10"/>
  <c r="P139" i="11"/>
  <c r="F202" i="10"/>
  <c r="I265" i="10"/>
  <c r="S454" i="10"/>
  <c r="F76" i="10"/>
  <c r="N76" i="10"/>
  <c r="I328" i="10"/>
  <c r="U76" i="10"/>
  <c r="U328" i="10"/>
  <c r="D76" i="10"/>
  <c r="N391" i="10"/>
  <c r="K139" i="10"/>
  <c r="P328" i="10"/>
  <c r="P391" i="10"/>
  <c r="D454" i="10"/>
  <c r="K202" i="11"/>
  <c r="U76" i="11"/>
  <c r="K454" i="10"/>
  <c r="I76" i="10"/>
  <c r="F265" i="10"/>
  <c r="I391" i="10"/>
  <c r="P454" i="10"/>
  <c r="S76" i="10"/>
  <c r="K76" i="10"/>
  <c r="P202" i="10"/>
  <c r="S265" i="10"/>
  <c r="K328" i="10"/>
  <c r="I202" i="10"/>
  <c r="K265" i="11"/>
  <c r="N454" i="10"/>
  <c r="D391" i="10"/>
  <c r="S391" i="10"/>
  <c r="U454" i="10"/>
  <c r="N13" i="14"/>
  <c r="K13" i="20"/>
  <c r="F13" i="17"/>
  <c r="D13" i="17"/>
  <c r="I13" i="20"/>
  <c r="F13" i="20"/>
  <c r="D13" i="20"/>
  <c r="D13" i="18"/>
  <c r="F13" i="18"/>
  <c r="I13" i="14"/>
  <c r="I13" i="13"/>
  <c r="I13" i="15"/>
  <c r="D13" i="13"/>
  <c r="D13" i="16"/>
  <c r="S13" i="15"/>
  <c r="F13" i="14"/>
  <c r="F13" i="15"/>
  <c r="F13" i="12"/>
  <c r="D13" i="12"/>
  <c r="P13" i="15"/>
  <c r="K13" i="13"/>
  <c r="U13" i="12"/>
  <c r="S13" i="14"/>
  <c r="F13" i="16"/>
  <c r="I13" i="12"/>
  <c r="D13" i="14"/>
  <c r="S13" i="12"/>
  <c r="F13" i="13"/>
  <c r="N13" i="15"/>
  <c r="U13" i="15"/>
  <c r="K13" i="15"/>
  <c r="K13" i="14"/>
  <c r="K13" i="12"/>
  <c r="U13" i="14"/>
  <c r="D13" i="15"/>
  <c r="P13" i="14"/>
  <c r="S13" i="10"/>
  <c r="I13" i="10"/>
  <c r="K13" i="11"/>
  <c r="P13" i="11"/>
  <c r="P13" i="10"/>
  <c r="F13" i="10"/>
  <c r="U13" i="11"/>
  <c r="D13" i="10"/>
  <c r="N13" i="10"/>
  <c r="K13" i="10"/>
  <c r="S13" i="11"/>
  <c r="I13" i="11"/>
  <c r="D13" i="11"/>
  <c r="U13" i="10"/>
  <c r="F13" i="11"/>
  <c r="N13" i="11"/>
  <c r="D27" i="3"/>
  <c r="D30" i="3" s="1"/>
  <c r="P15" i="11" l="1"/>
  <c r="S15" i="10"/>
  <c r="N15" i="11"/>
  <c r="F15" i="11"/>
  <c r="E23" i="11" s="1"/>
  <c r="F23" i="11" s="1"/>
  <c r="K15" i="13"/>
  <c r="I15" i="12"/>
  <c r="K15" i="12"/>
  <c r="P15" i="15"/>
  <c r="O23" i="15" s="1"/>
  <c r="P23" i="15" s="1"/>
  <c r="D15" i="18"/>
  <c r="C23" i="18" s="1"/>
  <c r="D23" i="18" s="1"/>
  <c r="D15" i="20"/>
  <c r="C23" i="20" s="1"/>
  <c r="D23" i="20" s="1"/>
  <c r="S456" i="10"/>
  <c r="S141" i="10"/>
  <c r="R149" i="10" s="1"/>
  <c r="S149" i="10" s="1"/>
  <c r="U393" i="10"/>
  <c r="S204" i="10"/>
  <c r="F456" i="10"/>
  <c r="U330" i="10"/>
  <c r="T338" i="10" s="1"/>
  <c r="U338" i="10" s="1"/>
  <c r="U141" i="10"/>
  <c r="P456" i="10"/>
  <c r="P393" i="10"/>
  <c r="U456" i="10"/>
  <c r="T464" i="10" s="1"/>
  <c r="U464" i="10" s="1"/>
  <c r="F78" i="12"/>
  <c r="S141" i="11"/>
  <c r="D141" i="12"/>
  <c r="F141" i="11"/>
  <c r="E149" i="11" s="1"/>
  <c r="F149" i="11" s="1"/>
  <c r="K204" i="11"/>
  <c r="U141" i="12"/>
  <c r="K78" i="12"/>
  <c r="U15" i="11"/>
  <c r="M23" i="11"/>
  <c r="N23" i="11" s="1"/>
  <c r="D24" i="24" s="1"/>
  <c r="H23" i="12"/>
  <c r="I23" i="12" s="1"/>
  <c r="L15" i="12"/>
  <c r="L16" i="12" s="1"/>
  <c r="D64" i="20"/>
  <c r="G67" i="20" s="1"/>
  <c r="D35" i="20"/>
  <c r="D49" i="20" s="1"/>
  <c r="D267" i="10"/>
  <c r="T149" i="10"/>
  <c r="U149" i="10" s="1"/>
  <c r="O401" i="10"/>
  <c r="P401" i="10" s="1"/>
  <c r="R149" i="11"/>
  <c r="S149" i="11" s="1"/>
  <c r="J212" i="11"/>
  <c r="K212" i="11" s="1"/>
  <c r="T149" i="12"/>
  <c r="U149" i="12" s="1"/>
  <c r="J86" i="12"/>
  <c r="K86" i="12" s="1"/>
  <c r="T23" i="11"/>
  <c r="U23" i="11" s="1"/>
  <c r="F78" i="10"/>
  <c r="M86" i="11"/>
  <c r="N86" i="11" s="1"/>
  <c r="I15" i="11"/>
  <c r="K15" i="11"/>
  <c r="F15" i="10"/>
  <c r="D15" i="11"/>
  <c r="S15" i="15"/>
  <c r="I15" i="13"/>
  <c r="U15" i="15"/>
  <c r="T23" i="15" s="1"/>
  <c r="U23" i="15" s="1"/>
  <c r="D15" i="12"/>
  <c r="F15" i="13"/>
  <c r="F15" i="15"/>
  <c r="I15" i="14"/>
  <c r="K15" i="20"/>
  <c r="F15" i="17"/>
  <c r="N204" i="10"/>
  <c r="U204" i="10"/>
  <c r="F267" i="10"/>
  <c r="K456" i="10"/>
  <c r="P78" i="10"/>
  <c r="K267" i="11"/>
  <c r="U141" i="11"/>
  <c r="P78" i="11"/>
  <c r="Q78" i="11" s="1"/>
  <c r="Q79" i="11" s="1"/>
  <c r="U78" i="10"/>
  <c r="I330" i="10"/>
  <c r="U78" i="11"/>
  <c r="N78" i="10"/>
  <c r="P204" i="10"/>
  <c r="N330" i="10"/>
  <c r="K141" i="10"/>
  <c r="I141" i="10"/>
  <c r="I267" i="11"/>
  <c r="N267" i="11"/>
  <c r="I141" i="11"/>
  <c r="N141" i="11"/>
  <c r="K78" i="11"/>
  <c r="N204" i="11"/>
  <c r="S204" i="11"/>
  <c r="S204" i="12"/>
  <c r="F78" i="11"/>
  <c r="Q15" i="11"/>
  <c r="Q16" i="11" s="1"/>
  <c r="O23" i="11"/>
  <c r="P23" i="11" s="1"/>
  <c r="J23" i="12"/>
  <c r="K23" i="12" s="1"/>
  <c r="U15" i="14"/>
  <c r="U48" i="14" s="1"/>
  <c r="U51" i="14" s="1"/>
  <c r="D15" i="16"/>
  <c r="C23" i="16" s="1"/>
  <c r="D23" i="16" s="1"/>
  <c r="R464" i="10"/>
  <c r="S464" i="10" s="1"/>
  <c r="V456" i="10"/>
  <c r="V457" i="10" s="1"/>
  <c r="T401" i="10"/>
  <c r="U401" i="10" s="1"/>
  <c r="R212" i="10"/>
  <c r="S212" i="10" s="1"/>
  <c r="V204" i="10"/>
  <c r="V205" i="10" s="1"/>
  <c r="U267" i="10"/>
  <c r="K330" i="10"/>
  <c r="I78" i="11"/>
  <c r="D78" i="12"/>
  <c r="K15" i="15"/>
  <c r="S15" i="11"/>
  <c r="U15" i="10"/>
  <c r="V15" i="10" s="1"/>
  <c r="V16" i="10" s="1"/>
  <c r="P15" i="10"/>
  <c r="D15" i="10"/>
  <c r="I15" i="15"/>
  <c r="U15" i="12"/>
  <c r="S15" i="14"/>
  <c r="D15" i="13"/>
  <c r="F15" i="16"/>
  <c r="D15" i="14"/>
  <c r="F15" i="18"/>
  <c r="D15" i="17"/>
  <c r="N15" i="14"/>
  <c r="F393" i="10"/>
  <c r="D330" i="10"/>
  <c r="I456" i="10"/>
  <c r="P141" i="11"/>
  <c r="D393" i="10"/>
  <c r="D78" i="10"/>
  <c r="I267" i="10"/>
  <c r="K393" i="10"/>
  <c r="S78" i="10"/>
  <c r="P267" i="10"/>
  <c r="N456" i="10"/>
  <c r="N393" i="10"/>
  <c r="K78" i="10"/>
  <c r="D456" i="10"/>
  <c r="I204" i="11"/>
  <c r="S141" i="12"/>
  <c r="P204" i="11"/>
  <c r="S78" i="11"/>
  <c r="F204" i="11"/>
  <c r="S78" i="12"/>
  <c r="I204" i="12"/>
  <c r="F204" i="12"/>
  <c r="S267" i="11"/>
  <c r="D141" i="11"/>
  <c r="R23" i="10"/>
  <c r="S23" i="10" s="1"/>
  <c r="H23" i="24" s="1"/>
  <c r="J23" i="13"/>
  <c r="K23" i="13" s="1"/>
  <c r="D63" i="18"/>
  <c r="G66" i="18" s="1"/>
  <c r="D34" i="18"/>
  <c r="D48" i="18" s="1"/>
  <c r="F330" i="10"/>
  <c r="S330" i="10"/>
  <c r="E464" i="10"/>
  <c r="F464" i="10" s="1"/>
  <c r="I78" i="10"/>
  <c r="O464" i="10"/>
  <c r="P464" i="10" s="1"/>
  <c r="E86" i="12"/>
  <c r="F86" i="12" s="1"/>
  <c r="C149" i="12"/>
  <c r="D149" i="12" s="1"/>
  <c r="G141" i="12"/>
  <c r="G142" i="12" s="1"/>
  <c r="U204" i="12"/>
  <c r="I141" i="12"/>
  <c r="K15" i="10"/>
  <c r="I15" i="10"/>
  <c r="H23" i="10" s="1"/>
  <c r="I23" i="10" s="1"/>
  <c r="H11" i="24" s="1"/>
  <c r="N15" i="10"/>
  <c r="N15" i="15"/>
  <c r="F15" i="14"/>
  <c r="K15" i="14"/>
  <c r="S15" i="12"/>
  <c r="F15" i="12"/>
  <c r="P15" i="14"/>
  <c r="D15" i="15"/>
  <c r="F15" i="20"/>
  <c r="I15" i="20"/>
  <c r="F204" i="10"/>
  <c r="N267" i="10"/>
  <c r="K141" i="11"/>
  <c r="P141" i="10"/>
  <c r="D204" i="10"/>
  <c r="K204" i="10"/>
  <c r="N141" i="10"/>
  <c r="D141" i="10"/>
  <c r="F141" i="10"/>
  <c r="S393" i="10"/>
  <c r="P267" i="11"/>
  <c r="I204" i="10"/>
  <c r="S267" i="10"/>
  <c r="I393" i="10"/>
  <c r="P330" i="10"/>
  <c r="K267" i="10"/>
  <c r="D204" i="12"/>
  <c r="D204" i="11"/>
  <c r="K141" i="12"/>
  <c r="F141" i="12"/>
  <c r="U78" i="12"/>
  <c r="I78" i="12"/>
  <c r="D78" i="11"/>
  <c r="U204" i="11"/>
  <c r="U267" i="11"/>
  <c r="D267" i="11"/>
  <c r="K204" i="12"/>
  <c r="F267" i="11"/>
  <c r="V141" i="10" l="1"/>
  <c r="V142" i="10" s="1"/>
  <c r="C212" i="11"/>
  <c r="D212" i="11" s="1"/>
  <c r="G204" i="11"/>
  <c r="G205" i="11" s="1"/>
  <c r="J212" i="10"/>
  <c r="K212" i="10" s="1"/>
  <c r="G15" i="15"/>
  <c r="G16" i="15" s="1"/>
  <c r="C23" i="15"/>
  <c r="D23" i="15" s="1"/>
  <c r="F506" i="10"/>
  <c r="C149" i="11"/>
  <c r="D149" i="11" s="1"/>
  <c r="G141" i="11"/>
  <c r="G142" i="11" s="1"/>
  <c r="M401" i="10"/>
  <c r="N401" i="10" s="1"/>
  <c r="Q393" i="10"/>
  <c r="Q394" i="10" s="1"/>
  <c r="O149" i="11"/>
  <c r="P149" i="11" s="1"/>
  <c r="L15" i="15"/>
  <c r="L16" i="15" s="1"/>
  <c r="H23" i="15"/>
  <c r="I23" i="15" s="1"/>
  <c r="S254" i="10"/>
  <c r="S223" i="10"/>
  <c r="S237" i="10" s="1"/>
  <c r="M149" i="11"/>
  <c r="N149" i="11" s="1"/>
  <c r="Q141" i="11"/>
  <c r="Q142" i="11" s="1"/>
  <c r="M86" i="10"/>
  <c r="N86" i="10" s="1"/>
  <c r="Q78" i="10"/>
  <c r="Q79" i="10" s="1"/>
  <c r="J464" i="10"/>
  <c r="K464" i="10" s="1"/>
  <c r="E23" i="13"/>
  <c r="F23" i="13" s="1"/>
  <c r="H23" i="11"/>
  <c r="I23" i="11" s="1"/>
  <c r="H12" i="24" s="1"/>
  <c r="L15" i="11"/>
  <c r="L16" i="11" s="1"/>
  <c r="S191" i="11"/>
  <c r="S160" i="11"/>
  <c r="S174" i="11" s="1"/>
  <c r="C275" i="10"/>
  <c r="D275" i="10" s="1"/>
  <c r="G267" i="10"/>
  <c r="G268" i="10" s="1"/>
  <c r="T86" i="12"/>
  <c r="U86" i="12" s="1"/>
  <c r="R275" i="10"/>
  <c r="S275" i="10" s="1"/>
  <c r="V267" i="10"/>
  <c r="V268" i="10" s="1"/>
  <c r="C212" i="10"/>
  <c r="D212" i="10" s="1"/>
  <c r="G204" i="10"/>
  <c r="G205" i="10" s="1"/>
  <c r="O23" i="14"/>
  <c r="P23" i="14" s="1"/>
  <c r="E23" i="14"/>
  <c r="F23" i="14" s="1"/>
  <c r="L15" i="10"/>
  <c r="L16" i="10" s="1"/>
  <c r="J23" i="10"/>
  <c r="K23" i="10" s="1"/>
  <c r="E275" i="11"/>
  <c r="F275" i="11" s="1"/>
  <c r="T212" i="11"/>
  <c r="U212" i="11" s="1"/>
  <c r="E149" i="12"/>
  <c r="F149" i="12" s="1"/>
  <c r="J275" i="10"/>
  <c r="K275" i="10" s="1"/>
  <c r="H212" i="10"/>
  <c r="I212" i="10" s="1"/>
  <c r="L204" i="10"/>
  <c r="L205" i="10" s="1"/>
  <c r="C149" i="10"/>
  <c r="D149" i="10" s="1"/>
  <c r="G141" i="10"/>
  <c r="G142" i="10" s="1"/>
  <c r="O149" i="10"/>
  <c r="P149" i="10" s="1"/>
  <c r="H23" i="20"/>
  <c r="I23" i="20" s="1"/>
  <c r="L15" i="20"/>
  <c r="L16" i="20" s="1"/>
  <c r="E23" i="12"/>
  <c r="F23" i="12" s="1"/>
  <c r="M23" i="15"/>
  <c r="N23" i="15" s="1"/>
  <c r="Q15" i="15"/>
  <c r="Q16" i="15" s="1"/>
  <c r="H149" i="12"/>
  <c r="I149" i="12" s="1"/>
  <c r="L141" i="12"/>
  <c r="L142" i="12" s="1"/>
  <c r="H86" i="10"/>
  <c r="I86" i="10" s="1"/>
  <c r="L78" i="10"/>
  <c r="L79" i="10" s="1"/>
  <c r="E338" i="10"/>
  <c r="F338" i="10" s="1"/>
  <c r="E212" i="12"/>
  <c r="F212" i="12" s="1"/>
  <c r="R86" i="11"/>
  <c r="S86" i="11" s="1"/>
  <c r="V78" i="11"/>
  <c r="V79" i="11" s="1"/>
  <c r="G456" i="10"/>
  <c r="G457" i="10" s="1"/>
  <c r="C464" i="10"/>
  <c r="D464" i="10" s="1"/>
  <c r="O275" i="10"/>
  <c r="P275" i="10" s="1"/>
  <c r="C86" i="10"/>
  <c r="D86" i="10" s="1"/>
  <c r="G78" i="10"/>
  <c r="G79" i="10" s="1"/>
  <c r="C338" i="10"/>
  <c r="D338" i="10" s="1"/>
  <c r="G330" i="10"/>
  <c r="G331" i="10" s="1"/>
  <c r="G15" i="18"/>
  <c r="G16" i="18" s="1"/>
  <c r="E23" i="18"/>
  <c r="F23" i="18" s="1"/>
  <c r="S63" i="14"/>
  <c r="V15" i="14"/>
  <c r="V16" i="14" s="1"/>
  <c r="S48" i="14"/>
  <c r="S51" i="14" s="1"/>
  <c r="V51" i="14" s="1"/>
  <c r="V52" i="14" s="1"/>
  <c r="O23" i="10"/>
  <c r="P23" i="10" s="1"/>
  <c r="C86" i="12"/>
  <c r="D86" i="12" s="1"/>
  <c r="G78" i="12"/>
  <c r="G79" i="12" s="1"/>
  <c r="U443" i="10"/>
  <c r="D63" i="16"/>
  <c r="G66" i="16" s="1"/>
  <c r="D34" i="16"/>
  <c r="D48" i="16" s="1"/>
  <c r="M212" i="11"/>
  <c r="N212" i="11" s="1"/>
  <c r="Q204" i="11"/>
  <c r="Q205" i="11" s="1"/>
  <c r="M275" i="11"/>
  <c r="N275" i="11" s="1"/>
  <c r="Q267" i="11"/>
  <c r="Q268" i="11" s="1"/>
  <c r="M338" i="10"/>
  <c r="N338" i="10" s="1"/>
  <c r="Q330" i="10"/>
  <c r="Q331" i="10" s="1"/>
  <c r="H338" i="10"/>
  <c r="I338" i="10" s="1"/>
  <c r="L330" i="10"/>
  <c r="L331" i="10" s="1"/>
  <c r="J275" i="11"/>
  <c r="K275" i="11" s="1"/>
  <c r="T212" i="10"/>
  <c r="U212" i="10" s="1"/>
  <c r="H23" i="14"/>
  <c r="I23" i="14" s="1"/>
  <c r="L15" i="14"/>
  <c r="L16" i="14" s="1"/>
  <c r="E23" i="10"/>
  <c r="F23" i="10" s="1"/>
  <c r="C275" i="11"/>
  <c r="D275" i="11" s="1"/>
  <c r="G267" i="11"/>
  <c r="G268" i="11" s="1"/>
  <c r="H401" i="10"/>
  <c r="I401" i="10" s="1"/>
  <c r="L393" i="10"/>
  <c r="L394" i="10" s="1"/>
  <c r="I65" i="10"/>
  <c r="I34" i="10"/>
  <c r="I48" i="10" s="1"/>
  <c r="R149" i="12"/>
  <c r="S149" i="12" s="1"/>
  <c r="V141" i="12"/>
  <c r="V142" i="12" s="1"/>
  <c r="M23" i="14"/>
  <c r="N23" i="14" s="1"/>
  <c r="Q15" i="14"/>
  <c r="Q16" i="14" s="1"/>
  <c r="J212" i="12"/>
  <c r="K212" i="12" s="1"/>
  <c r="C86" i="11"/>
  <c r="D86" i="11" s="1"/>
  <c r="G78" i="11"/>
  <c r="G79" i="11" s="1"/>
  <c r="J149" i="12"/>
  <c r="K149" i="12" s="1"/>
  <c r="O338" i="10"/>
  <c r="P338" i="10" s="1"/>
  <c r="O275" i="11"/>
  <c r="P275" i="11" s="1"/>
  <c r="M149" i="10"/>
  <c r="N149" i="10" s="1"/>
  <c r="Q141" i="10"/>
  <c r="Q142" i="10" s="1"/>
  <c r="J149" i="11"/>
  <c r="K149" i="11" s="1"/>
  <c r="G15" i="20"/>
  <c r="G16" i="20" s="1"/>
  <c r="E23" i="20"/>
  <c r="F23" i="20" s="1"/>
  <c r="R23" i="12"/>
  <c r="S23" i="12" s="1"/>
  <c r="M23" i="10"/>
  <c r="N23" i="10" s="1"/>
  <c r="D23" i="24" s="1"/>
  <c r="Q15" i="10"/>
  <c r="Q16" i="10" s="1"/>
  <c r="T212" i="12"/>
  <c r="U212" i="12" s="1"/>
  <c r="D56" i="18"/>
  <c r="D49" i="18"/>
  <c r="D50" i="18" s="1"/>
  <c r="S65" i="10"/>
  <c r="S34" i="10"/>
  <c r="S48" i="10" s="1"/>
  <c r="H212" i="12"/>
  <c r="I212" i="12" s="1"/>
  <c r="L204" i="12"/>
  <c r="L205" i="12" s="1"/>
  <c r="O212" i="11"/>
  <c r="P212" i="11" s="1"/>
  <c r="J86" i="10"/>
  <c r="K86" i="10" s="1"/>
  <c r="R86" i="10"/>
  <c r="S86" i="10" s="1"/>
  <c r="V78" i="10"/>
  <c r="V79" i="10" s="1"/>
  <c r="C401" i="10"/>
  <c r="D401" i="10" s="1"/>
  <c r="G393" i="10"/>
  <c r="G394" i="10" s="1"/>
  <c r="E401" i="10"/>
  <c r="F401" i="10" s="1"/>
  <c r="C23" i="14"/>
  <c r="D23" i="14" s="1"/>
  <c r="G15" i="14"/>
  <c r="G16" i="14" s="1"/>
  <c r="V15" i="12"/>
  <c r="V16" i="12" s="1"/>
  <c r="T23" i="12"/>
  <c r="U23" i="12" s="1"/>
  <c r="T23" i="10"/>
  <c r="U23" i="10" s="1"/>
  <c r="H86" i="11"/>
  <c r="I86" i="11" s="1"/>
  <c r="L78" i="11"/>
  <c r="L79" i="11" s="1"/>
  <c r="U506" i="10"/>
  <c r="F65" i="11"/>
  <c r="E86" i="11"/>
  <c r="F86" i="11" s="1"/>
  <c r="J86" i="11"/>
  <c r="K86" i="11" s="1"/>
  <c r="H275" i="11"/>
  <c r="I275" i="11" s="1"/>
  <c r="L267" i="11"/>
  <c r="L268" i="11" s="1"/>
  <c r="O212" i="10"/>
  <c r="P212" i="10" s="1"/>
  <c r="T86" i="10"/>
  <c r="U86" i="10" s="1"/>
  <c r="O86" i="10"/>
  <c r="P86" i="10" s="1"/>
  <c r="M212" i="10"/>
  <c r="N212" i="10" s="1"/>
  <c r="Q204" i="10"/>
  <c r="Q205" i="10" s="1"/>
  <c r="E23" i="15"/>
  <c r="F23" i="15" s="1"/>
  <c r="H23" i="13"/>
  <c r="I23" i="13" s="1"/>
  <c r="L15" i="13"/>
  <c r="L16" i="13" s="1"/>
  <c r="J23" i="11"/>
  <c r="K23" i="11" s="1"/>
  <c r="E86" i="10"/>
  <c r="F86" i="10" s="1"/>
  <c r="K254" i="11"/>
  <c r="P443" i="10"/>
  <c r="U380" i="10"/>
  <c r="S191" i="10"/>
  <c r="S160" i="10"/>
  <c r="S174" i="10" s="1"/>
  <c r="I63" i="12"/>
  <c r="L66" i="12" s="1"/>
  <c r="I34" i="12"/>
  <c r="I48" i="12" s="1"/>
  <c r="H86" i="12"/>
  <c r="I86" i="12" s="1"/>
  <c r="L78" i="12"/>
  <c r="L79" i="12" s="1"/>
  <c r="R401" i="10"/>
  <c r="S401" i="10" s="1"/>
  <c r="V393" i="10"/>
  <c r="V394" i="10" s="1"/>
  <c r="M275" i="10"/>
  <c r="N275" i="10" s="1"/>
  <c r="Q267" i="10"/>
  <c r="Q268" i="10" s="1"/>
  <c r="J23" i="14"/>
  <c r="K23" i="14" s="1"/>
  <c r="R86" i="12"/>
  <c r="S86" i="12" s="1"/>
  <c r="V78" i="12"/>
  <c r="V79" i="12" s="1"/>
  <c r="J401" i="10"/>
  <c r="K401" i="10" s="1"/>
  <c r="G15" i="16"/>
  <c r="G16" i="16" s="1"/>
  <c r="E23" i="16"/>
  <c r="F23" i="16" s="1"/>
  <c r="R23" i="11"/>
  <c r="S23" i="11" s="1"/>
  <c r="H24" i="24" s="1"/>
  <c r="V15" i="11"/>
  <c r="V16" i="11" s="1"/>
  <c r="J338" i="10"/>
  <c r="K338" i="10" s="1"/>
  <c r="R212" i="12"/>
  <c r="S212" i="12" s="1"/>
  <c r="V204" i="12"/>
  <c r="V205" i="12" s="1"/>
  <c r="H149" i="10"/>
  <c r="I149" i="10" s="1"/>
  <c r="L141" i="10"/>
  <c r="L142" i="10" s="1"/>
  <c r="O86" i="11"/>
  <c r="P86" i="11" s="1"/>
  <c r="E23" i="17"/>
  <c r="F23" i="17" s="1"/>
  <c r="R23" i="15"/>
  <c r="S23" i="15" s="1"/>
  <c r="V15" i="15"/>
  <c r="V16" i="15" s="1"/>
  <c r="D57" i="20"/>
  <c r="D50" i="20"/>
  <c r="D51" i="20"/>
  <c r="D52" i="20" s="1"/>
  <c r="T275" i="11"/>
  <c r="U275" i="11" s="1"/>
  <c r="C212" i="12"/>
  <c r="D212" i="12" s="1"/>
  <c r="G204" i="12"/>
  <c r="G205" i="12" s="1"/>
  <c r="E149" i="10"/>
  <c r="F149" i="10" s="1"/>
  <c r="E212" i="10"/>
  <c r="F212" i="10" s="1"/>
  <c r="D189" i="12"/>
  <c r="G192" i="12" s="1"/>
  <c r="D160" i="12"/>
  <c r="D174" i="12" s="1"/>
  <c r="P506" i="10"/>
  <c r="R338" i="10"/>
  <c r="S338" i="10" s="1"/>
  <c r="V330" i="10"/>
  <c r="V331" i="10" s="1"/>
  <c r="R275" i="11"/>
  <c r="S275" i="11" s="1"/>
  <c r="V267" i="11"/>
  <c r="V268" i="11" s="1"/>
  <c r="E212" i="11"/>
  <c r="F212" i="11" s="1"/>
  <c r="H212" i="11"/>
  <c r="I212" i="11" s="1"/>
  <c r="L204" i="11"/>
  <c r="L205" i="11" s="1"/>
  <c r="M464" i="10"/>
  <c r="N464" i="10" s="1"/>
  <c r="Q456" i="10"/>
  <c r="Q457" i="10" s="1"/>
  <c r="H275" i="10"/>
  <c r="I275" i="10" s="1"/>
  <c r="L267" i="10"/>
  <c r="L268" i="10" s="1"/>
  <c r="H464" i="10"/>
  <c r="I464" i="10" s="1"/>
  <c r="L456" i="10"/>
  <c r="L457" i="10" s="1"/>
  <c r="C23" i="17"/>
  <c r="D23" i="17" s="1"/>
  <c r="G15" i="17"/>
  <c r="G16" i="17" s="1"/>
  <c r="C23" i="13"/>
  <c r="D23" i="13" s="1"/>
  <c r="G15" i="13"/>
  <c r="G16" i="13" s="1"/>
  <c r="C23" i="10"/>
  <c r="D23" i="10" s="1"/>
  <c r="D11" i="24" s="1"/>
  <c r="G15" i="10"/>
  <c r="G16" i="10" s="1"/>
  <c r="J23" i="15"/>
  <c r="K23" i="15" s="1"/>
  <c r="F191" i="11"/>
  <c r="T275" i="10"/>
  <c r="U275" i="10" s="1"/>
  <c r="S506" i="10"/>
  <c r="S475" i="10"/>
  <c r="S489" i="10" s="1"/>
  <c r="P65" i="11"/>
  <c r="R212" i="11"/>
  <c r="S212" i="11" s="1"/>
  <c r="V204" i="11"/>
  <c r="V205" i="11" s="1"/>
  <c r="L141" i="11"/>
  <c r="L142" i="11" s="1"/>
  <c r="H149" i="11"/>
  <c r="I149" i="11" s="1"/>
  <c r="J149" i="10"/>
  <c r="K149" i="10" s="1"/>
  <c r="T86" i="11"/>
  <c r="U86" i="11" s="1"/>
  <c r="T149" i="11"/>
  <c r="U149" i="11" s="1"/>
  <c r="E275" i="10"/>
  <c r="F275" i="10" s="1"/>
  <c r="J23" i="20"/>
  <c r="K23" i="20" s="1"/>
  <c r="C23" i="12"/>
  <c r="D23" i="12" s="1"/>
  <c r="G15" i="12"/>
  <c r="G16" i="12" s="1"/>
  <c r="C23" i="11"/>
  <c r="D23" i="11" s="1"/>
  <c r="D12" i="24" s="1"/>
  <c r="G15" i="11"/>
  <c r="G16" i="11" s="1"/>
  <c r="N128" i="11"/>
  <c r="N97" i="11"/>
  <c r="N111" i="11" s="1"/>
  <c r="U65" i="11"/>
  <c r="V141" i="11"/>
  <c r="V142" i="11" s="1"/>
  <c r="U191" i="10"/>
  <c r="V191" i="10" s="1"/>
  <c r="V192" i="10" s="1"/>
  <c r="N65" i="11"/>
  <c r="N34" i="11"/>
  <c r="N48" i="11" s="1"/>
  <c r="F317" i="10" l="1"/>
  <c r="S56" i="10"/>
  <c r="S57" i="10" s="1"/>
  <c r="S58" i="10" s="1"/>
  <c r="S59" i="10" s="1"/>
  <c r="P15" i="21" s="1"/>
  <c r="S49" i="10"/>
  <c r="S50" i="10" s="1"/>
  <c r="S51" i="10" s="1"/>
  <c r="S128" i="11"/>
  <c r="S97" i="11"/>
  <c r="S111" i="11" s="1"/>
  <c r="S182" i="11"/>
  <c r="S175" i="11"/>
  <c r="S176" i="11"/>
  <c r="S177" i="11" s="1"/>
  <c r="P9" i="22" s="1"/>
  <c r="K506" i="10"/>
  <c r="I34" i="15"/>
  <c r="I48" i="15" s="1"/>
  <c r="I63" i="15"/>
  <c r="L66" i="15" s="1"/>
  <c r="Q65" i="11"/>
  <c r="Q66" i="11" s="1"/>
  <c r="N112" i="11"/>
  <c r="N113" i="11" s="1"/>
  <c r="N114" i="11" s="1"/>
  <c r="L8" i="22" s="1"/>
  <c r="N119" i="11"/>
  <c r="N120" i="11" s="1"/>
  <c r="N121" i="11" s="1"/>
  <c r="N122" i="11" s="1"/>
  <c r="L13" i="22" s="1"/>
  <c r="D34" i="11"/>
  <c r="D48" i="11" s="1"/>
  <c r="D65" i="11"/>
  <c r="U191" i="11"/>
  <c r="V191" i="11" s="1"/>
  <c r="V192" i="11" s="1"/>
  <c r="K191" i="10"/>
  <c r="S254" i="11"/>
  <c r="S223" i="11"/>
  <c r="S237" i="11" s="1"/>
  <c r="U317" i="10"/>
  <c r="D34" i="13"/>
  <c r="D48" i="13" s="1"/>
  <c r="D63" i="13"/>
  <c r="G66" i="13" s="1"/>
  <c r="I317" i="10"/>
  <c r="I286" i="10"/>
  <c r="I300" i="10" s="1"/>
  <c r="S380" i="10"/>
  <c r="S349" i="10"/>
  <c r="S363" i="10" s="1"/>
  <c r="F191" i="10"/>
  <c r="D58" i="20"/>
  <c r="D59" i="20" s="1"/>
  <c r="D60" i="20" s="1"/>
  <c r="G11" i="19" s="1"/>
  <c r="S65" i="11"/>
  <c r="S34" i="11"/>
  <c r="S48" i="11" s="1"/>
  <c r="S126" i="12"/>
  <c r="V129" i="12" s="1"/>
  <c r="S97" i="12"/>
  <c r="S111" i="12" s="1"/>
  <c r="S443" i="10"/>
  <c r="S412" i="10"/>
  <c r="S426" i="10" s="1"/>
  <c r="V380" i="10"/>
  <c r="V381" i="10" s="1"/>
  <c r="F128" i="10"/>
  <c r="I63" i="13"/>
  <c r="L66" i="13" s="1"/>
  <c r="I34" i="13"/>
  <c r="I48" i="13" s="1"/>
  <c r="K128" i="11"/>
  <c r="D443" i="10"/>
  <c r="D412" i="10"/>
  <c r="D426" i="10" s="1"/>
  <c r="D51" i="18"/>
  <c r="K191" i="11"/>
  <c r="I56" i="10"/>
  <c r="I49" i="10"/>
  <c r="I50" i="10" s="1"/>
  <c r="I51" i="10" s="1"/>
  <c r="I443" i="10"/>
  <c r="I412" i="10"/>
  <c r="I426" i="10" s="1"/>
  <c r="F65" i="10"/>
  <c r="I63" i="14"/>
  <c r="L66" i="14" s="1"/>
  <c r="I34" i="14"/>
  <c r="I48" i="14" s="1"/>
  <c r="K317" i="11"/>
  <c r="D56" i="16"/>
  <c r="D57" i="16" s="1"/>
  <c r="D59" i="16" s="1"/>
  <c r="G15" i="19" s="1"/>
  <c r="D49" i="16"/>
  <c r="D51" i="16" s="1"/>
  <c r="D380" i="10"/>
  <c r="D349" i="10"/>
  <c r="D363" i="10" s="1"/>
  <c r="F380" i="10"/>
  <c r="G380" i="10" s="1"/>
  <c r="G381" i="10" s="1"/>
  <c r="D191" i="10"/>
  <c r="D160" i="10"/>
  <c r="D174" i="10" s="1"/>
  <c r="S317" i="10"/>
  <c r="S286" i="10"/>
  <c r="S300" i="10" s="1"/>
  <c r="S238" i="10"/>
  <c r="S239" i="10" s="1"/>
  <c r="S240" i="10" s="1"/>
  <c r="P11" i="21" s="1"/>
  <c r="S245" i="10"/>
  <c r="N443" i="10"/>
  <c r="N412" i="10"/>
  <c r="N426" i="10" s="1"/>
  <c r="K254" i="10"/>
  <c r="D63" i="12"/>
  <c r="G66" i="12" s="1"/>
  <c r="D34" i="12"/>
  <c r="D48" i="12" s="1"/>
  <c r="D63" i="17"/>
  <c r="G66" i="17" s="1"/>
  <c r="D34" i="17"/>
  <c r="D48" i="17" s="1"/>
  <c r="F254" i="10"/>
  <c r="P128" i="11"/>
  <c r="Q128" i="11" s="1"/>
  <c r="Q129" i="11" s="1"/>
  <c r="F128" i="11"/>
  <c r="U254" i="10"/>
  <c r="V254" i="10" s="1"/>
  <c r="V255" i="10" s="1"/>
  <c r="I191" i="11"/>
  <c r="I160" i="11"/>
  <c r="I174" i="11" s="1"/>
  <c r="S490" i="10"/>
  <c r="S491" i="10" s="1"/>
  <c r="S497" i="10"/>
  <c r="I506" i="10"/>
  <c r="I475" i="10"/>
  <c r="I489" i="10" s="1"/>
  <c r="I254" i="11"/>
  <c r="I223" i="11"/>
  <c r="I237" i="11" s="1"/>
  <c r="S317" i="11"/>
  <c r="S286" i="11"/>
  <c r="S300" i="11" s="1"/>
  <c r="U317" i="11"/>
  <c r="I191" i="10"/>
  <c r="I160" i="10"/>
  <c r="I174" i="10" s="1"/>
  <c r="K380" i="10"/>
  <c r="K443" i="10"/>
  <c r="L443" i="10" s="1"/>
  <c r="L444" i="10" s="1"/>
  <c r="N317" i="10"/>
  <c r="N286" i="10"/>
  <c r="N300" i="10" s="1"/>
  <c r="S182" i="10"/>
  <c r="S183" i="10" s="1"/>
  <c r="S184" i="10" s="1"/>
  <c r="S185" i="10" s="1"/>
  <c r="P18" i="21" s="1"/>
  <c r="S175" i="10"/>
  <c r="S176" i="10" s="1"/>
  <c r="S177" i="10" s="1"/>
  <c r="P10" i="21" s="1"/>
  <c r="N254" i="10"/>
  <c r="N223" i="10"/>
  <c r="N237" i="10" s="1"/>
  <c r="U128" i="10"/>
  <c r="I128" i="11"/>
  <c r="I97" i="11"/>
  <c r="I111" i="11" s="1"/>
  <c r="F443" i="10"/>
  <c r="K128" i="10"/>
  <c r="I252" i="12"/>
  <c r="L255" i="12" s="1"/>
  <c r="I223" i="12"/>
  <c r="I237" i="12" s="1"/>
  <c r="N65" i="10"/>
  <c r="N34" i="10"/>
  <c r="N48" i="10" s="1"/>
  <c r="P317" i="11"/>
  <c r="S189" i="12"/>
  <c r="V192" i="12" s="1"/>
  <c r="S160" i="12"/>
  <c r="S174" i="12" s="1"/>
  <c r="N317" i="11"/>
  <c r="N286" i="11"/>
  <c r="N300" i="11" s="1"/>
  <c r="D126" i="12"/>
  <c r="G129" i="12" s="1"/>
  <c r="D97" i="12"/>
  <c r="D111" i="12" s="1"/>
  <c r="P317" i="10"/>
  <c r="I160" i="12"/>
  <c r="I174" i="12" s="1"/>
  <c r="I189" i="12"/>
  <c r="L192" i="12" s="1"/>
  <c r="P191" i="10"/>
  <c r="K317" i="10"/>
  <c r="L317" i="10" s="1"/>
  <c r="L318" i="10" s="1"/>
  <c r="U254" i="11"/>
  <c r="K65" i="10"/>
  <c r="L65" i="10" s="1"/>
  <c r="L66" i="10" s="1"/>
  <c r="D254" i="10"/>
  <c r="D223" i="10"/>
  <c r="D237" i="10" s="1"/>
  <c r="D317" i="10"/>
  <c r="D286" i="10"/>
  <c r="D300" i="10" s="1"/>
  <c r="N128" i="10"/>
  <c r="N97" i="10"/>
  <c r="N111" i="10" s="1"/>
  <c r="P191" i="11"/>
  <c r="D63" i="15"/>
  <c r="G66" i="15" s="1"/>
  <c r="D34" i="15"/>
  <c r="D48" i="15" s="1"/>
  <c r="U128" i="11"/>
  <c r="V128" i="11" s="1"/>
  <c r="V129" i="11" s="1"/>
  <c r="D65" i="10"/>
  <c r="D34" i="10"/>
  <c r="D48" i="10" s="1"/>
  <c r="S63" i="15"/>
  <c r="V66" i="15" s="1"/>
  <c r="S34" i="15"/>
  <c r="S48" i="15" s="1"/>
  <c r="I126" i="12"/>
  <c r="L129" i="12" s="1"/>
  <c r="I97" i="12"/>
  <c r="I111" i="12" s="1"/>
  <c r="K65" i="11"/>
  <c r="I317" i="11"/>
  <c r="I286" i="11"/>
  <c r="I300" i="11" s="1"/>
  <c r="D57" i="18"/>
  <c r="D58" i="18" s="1"/>
  <c r="D59" i="18" s="1"/>
  <c r="G10" i="19" s="1"/>
  <c r="D317" i="11"/>
  <c r="D286" i="11"/>
  <c r="D300" i="11" s="1"/>
  <c r="N380" i="10"/>
  <c r="N349" i="10"/>
  <c r="N363" i="10" s="1"/>
  <c r="V66" i="14"/>
  <c r="V63" i="14"/>
  <c r="V64" i="14" s="1"/>
  <c r="I65" i="11"/>
  <c r="I34" i="11"/>
  <c r="I48" i="11" s="1"/>
  <c r="D191" i="11"/>
  <c r="D160" i="11"/>
  <c r="D174" i="11" s="1"/>
  <c r="N49" i="11"/>
  <c r="N50" i="11" s="1"/>
  <c r="N51" i="11" s="1"/>
  <c r="N56" i="11"/>
  <c r="N57" i="11" s="1"/>
  <c r="N58" i="11" s="1"/>
  <c r="N59" i="11" s="1"/>
  <c r="L12" i="22" s="1"/>
  <c r="V65" i="11"/>
  <c r="V66" i="11" s="1"/>
  <c r="N506" i="10"/>
  <c r="N475" i="10"/>
  <c r="N489" i="10" s="1"/>
  <c r="F254" i="11"/>
  <c r="D182" i="12"/>
  <c r="D183" i="12" s="1"/>
  <c r="D184" i="12" s="1"/>
  <c r="D185" i="12" s="1"/>
  <c r="D175" i="12"/>
  <c r="D176" i="12" s="1"/>
  <c r="D223" i="12"/>
  <c r="D237" i="12" s="1"/>
  <c r="D252" i="12"/>
  <c r="G255" i="12" s="1"/>
  <c r="S252" i="12"/>
  <c r="V255" i="12" s="1"/>
  <c r="S223" i="12"/>
  <c r="S237" i="12" s="1"/>
  <c r="I49" i="12"/>
  <c r="I50" i="12" s="1"/>
  <c r="I51" i="12" s="1"/>
  <c r="I56" i="12"/>
  <c r="I57" i="12" s="1"/>
  <c r="I58" i="12" s="1"/>
  <c r="I59" i="12" s="1"/>
  <c r="G19" i="19" s="1"/>
  <c r="P128" i="10"/>
  <c r="P254" i="10"/>
  <c r="G65" i="11"/>
  <c r="G66" i="11" s="1"/>
  <c r="V506" i="10"/>
  <c r="V507" i="10" s="1"/>
  <c r="U65" i="10"/>
  <c r="V65" i="10" s="1"/>
  <c r="V66" i="10" s="1"/>
  <c r="D34" i="14"/>
  <c r="D48" i="14" s="1"/>
  <c r="D63" i="14"/>
  <c r="G66" i="14" s="1"/>
  <c r="S128" i="10"/>
  <c r="S97" i="10"/>
  <c r="S111" i="10" s="1"/>
  <c r="P254" i="11"/>
  <c r="S63" i="12"/>
  <c r="V66" i="12" s="1"/>
  <c r="S34" i="12"/>
  <c r="S48" i="12" s="1"/>
  <c r="N191" i="10"/>
  <c r="N160" i="10"/>
  <c r="N174" i="10" s="1"/>
  <c r="P380" i="10"/>
  <c r="D128" i="11"/>
  <c r="D97" i="11"/>
  <c r="D111" i="11" s="1"/>
  <c r="N63" i="14"/>
  <c r="Q66" i="14" s="1"/>
  <c r="N34" i="14"/>
  <c r="N48" i="14" s="1"/>
  <c r="I380" i="10"/>
  <c r="I349" i="10"/>
  <c r="I363" i="10" s="1"/>
  <c r="N254" i="11"/>
  <c r="N223" i="11"/>
  <c r="N237" i="11" s="1"/>
  <c r="V443" i="10"/>
  <c r="V444" i="10" s="1"/>
  <c r="P65" i="10"/>
  <c r="D128" i="10"/>
  <c r="D97" i="10"/>
  <c r="D111" i="10" s="1"/>
  <c r="D506" i="10"/>
  <c r="D475" i="10"/>
  <c r="D489" i="10" s="1"/>
  <c r="I128" i="10"/>
  <c r="I97" i="10"/>
  <c r="I111" i="10" s="1"/>
  <c r="N63" i="15"/>
  <c r="Q66" i="15" s="1"/>
  <c r="N34" i="15"/>
  <c r="N48" i="15" s="1"/>
  <c r="I35" i="20"/>
  <c r="I49" i="20" s="1"/>
  <c r="I64" i="20"/>
  <c r="L67" i="20" s="1"/>
  <c r="I254" i="10"/>
  <c r="I223" i="10"/>
  <c r="I237" i="10" s="1"/>
  <c r="F317" i="11"/>
  <c r="N191" i="11"/>
  <c r="N160" i="11"/>
  <c r="N174" i="11" s="1"/>
  <c r="D223" i="11"/>
  <c r="D237" i="11" s="1"/>
  <c r="D254" i="11"/>
  <c r="V317" i="11" l="1"/>
  <c r="V318" i="11" s="1"/>
  <c r="Q443" i="10"/>
  <c r="Q444" i="10" s="1"/>
  <c r="L254" i="10"/>
  <c r="L255" i="10" s="1"/>
  <c r="G317" i="11"/>
  <c r="G318" i="11" s="1"/>
  <c r="Q317" i="11"/>
  <c r="Q318" i="11" s="1"/>
  <c r="L7" i="22"/>
  <c r="D27" i="24" s="1"/>
  <c r="G26" i="19"/>
  <c r="L65" i="11"/>
  <c r="L66" i="11" s="1"/>
  <c r="Q254" i="10"/>
  <c r="Q255" i="10" s="1"/>
  <c r="H7" i="21"/>
  <c r="H14" i="24" s="1"/>
  <c r="G17" i="19"/>
  <c r="L191" i="11"/>
  <c r="L192" i="11" s="1"/>
  <c r="S427" i="10"/>
  <c r="S428" i="10" s="1"/>
  <c r="S429" i="10" s="1"/>
  <c r="P14" i="21" s="1"/>
  <c r="S434" i="10"/>
  <c r="S435" i="10" s="1"/>
  <c r="S436" i="10" s="1"/>
  <c r="S437" i="10" s="1"/>
  <c r="P22" i="21" s="1"/>
  <c r="S56" i="11"/>
  <c r="S57" i="11" s="1"/>
  <c r="S58" i="11" s="1"/>
  <c r="S59" i="11" s="1"/>
  <c r="P12" i="22" s="1"/>
  <c r="S49" i="11"/>
  <c r="S50" i="11" s="1"/>
  <c r="S51" i="11" s="1"/>
  <c r="S364" i="10"/>
  <c r="S365" i="10" s="1"/>
  <c r="S371" i="10"/>
  <c r="S372" i="10" s="1"/>
  <c r="S373" i="10" s="1"/>
  <c r="S374" i="10" s="1"/>
  <c r="P21" i="21" s="1"/>
  <c r="S238" i="11"/>
  <c r="S239" i="11" s="1"/>
  <c r="S240" i="11" s="1"/>
  <c r="P10" i="22" s="1"/>
  <c r="S245" i="11"/>
  <c r="S246" i="11" s="1"/>
  <c r="S247" i="11" s="1"/>
  <c r="S248" i="11" s="1"/>
  <c r="P15" i="22" s="1"/>
  <c r="I57" i="20"/>
  <c r="I58" i="20" s="1"/>
  <c r="I59" i="20" s="1"/>
  <c r="I60" i="20" s="1"/>
  <c r="G20" i="19" s="1"/>
  <c r="I50" i="20"/>
  <c r="I51" i="20" s="1"/>
  <c r="I52" i="20" s="1"/>
  <c r="D119" i="11"/>
  <c r="D112" i="11"/>
  <c r="D113" i="11" s="1"/>
  <c r="D114" i="11" s="1"/>
  <c r="D8" i="22" s="1"/>
  <c r="N371" i="10"/>
  <c r="N364" i="10"/>
  <c r="N365" i="10"/>
  <c r="N366" i="10" s="1"/>
  <c r="L13" i="21" s="1"/>
  <c r="I245" i="11"/>
  <c r="I238" i="11"/>
  <c r="I239" i="11" s="1"/>
  <c r="I240" i="11" s="1"/>
  <c r="H10" i="22" s="1"/>
  <c r="I245" i="10"/>
  <c r="I238" i="10"/>
  <c r="I239" i="10" s="1"/>
  <c r="D490" i="10"/>
  <c r="D491" i="10" s="1"/>
  <c r="D492" i="10" s="1"/>
  <c r="D8" i="21" s="1"/>
  <c r="D497" i="10"/>
  <c r="D498" i="10" s="1"/>
  <c r="D499" i="10" s="1"/>
  <c r="D500" i="10" s="1"/>
  <c r="D16" i="21" s="1"/>
  <c r="Q191" i="10"/>
  <c r="Q192" i="10" s="1"/>
  <c r="D245" i="12"/>
  <c r="D238" i="12"/>
  <c r="D239" i="12" s="1"/>
  <c r="D240" i="12" s="1"/>
  <c r="D175" i="11"/>
  <c r="D176" i="11" s="1"/>
  <c r="D177" i="11" s="1"/>
  <c r="D9" i="22" s="1"/>
  <c r="D182" i="11"/>
  <c r="Q380" i="10"/>
  <c r="Q381" i="10" s="1"/>
  <c r="D56" i="10"/>
  <c r="D57" i="10" s="1"/>
  <c r="D58" i="10" s="1"/>
  <c r="D59" i="10" s="1"/>
  <c r="D15" i="21" s="1"/>
  <c r="D49" i="10"/>
  <c r="D50" i="10" s="1"/>
  <c r="D51" i="10" s="1"/>
  <c r="D49" i="15"/>
  <c r="D50" i="15" s="1"/>
  <c r="D56" i="15"/>
  <c r="N119" i="10"/>
  <c r="N120" i="10" s="1"/>
  <c r="N121" i="10" s="1"/>
  <c r="N122" i="10" s="1"/>
  <c r="L17" i="21" s="1"/>
  <c r="N112" i="10"/>
  <c r="N113" i="10" s="1"/>
  <c r="N114" i="10" s="1"/>
  <c r="L9" i="21" s="1"/>
  <c r="D238" i="10"/>
  <c r="D239" i="10" s="1"/>
  <c r="D240" i="10" s="1"/>
  <c r="D11" i="21" s="1"/>
  <c r="D245" i="10"/>
  <c r="D246" i="10" s="1"/>
  <c r="D247" i="10" s="1"/>
  <c r="D248" i="10" s="1"/>
  <c r="D19" i="21" s="1"/>
  <c r="N301" i="11"/>
  <c r="N302" i="11" s="1"/>
  <c r="N303" i="11" s="1"/>
  <c r="L11" i="22" s="1"/>
  <c r="N308" i="11"/>
  <c r="S182" i="12"/>
  <c r="S183" i="12" s="1"/>
  <c r="S184" i="12" s="1"/>
  <c r="S185" i="12" s="1"/>
  <c r="S175" i="12"/>
  <c r="S176" i="12" s="1"/>
  <c r="S177" i="12" s="1"/>
  <c r="I245" i="12"/>
  <c r="I238" i="12"/>
  <c r="I239" i="12" s="1"/>
  <c r="I240" i="12" s="1"/>
  <c r="L254" i="11"/>
  <c r="L255" i="11" s="1"/>
  <c r="G128" i="11"/>
  <c r="G129" i="11" s="1"/>
  <c r="D49" i="12"/>
  <c r="D50" i="12" s="1"/>
  <c r="D51" i="12" s="1"/>
  <c r="D56" i="12"/>
  <c r="D57" i="12" s="1"/>
  <c r="D58" i="12" s="1"/>
  <c r="D59" i="12" s="1"/>
  <c r="G9" i="19" s="1"/>
  <c r="N427" i="10"/>
  <c r="N428" i="10" s="1"/>
  <c r="N434" i="10"/>
  <c r="N429" i="10"/>
  <c r="L14" i="21" s="1"/>
  <c r="D371" i="10"/>
  <c r="D372" i="10" s="1"/>
  <c r="D373" i="10" s="1"/>
  <c r="D374" i="10" s="1"/>
  <c r="D21" i="21" s="1"/>
  <c r="D364" i="10"/>
  <c r="D365" i="10" s="1"/>
  <c r="D366" i="10" s="1"/>
  <c r="D13" i="21" s="1"/>
  <c r="L317" i="11"/>
  <c r="L318" i="11" s="1"/>
  <c r="G65" i="10"/>
  <c r="G66" i="10" s="1"/>
  <c r="D49" i="13"/>
  <c r="D50" i="13" s="1"/>
  <c r="D56" i="13"/>
  <c r="D57" i="13" s="1"/>
  <c r="D58" i="13" s="1"/>
  <c r="D59" i="13" s="1"/>
  <c r="D51" i="13"/>
  <c r="G12" i="19" s="1"/>
  <c r="V317" i="10"/>
  <c r="V318" i="10" s="1"/>
  <c r="V254" i="11"/>
  <c r="V255" i="11" s="1"/>
  <c r="D56" i="11"/>
  <c r="D49" i="11"/>
  <c r="D50" i="11" s="1"/>
  <c r="I49" i="15"/>
  <c r="I50" i="15" s="1"/>
  <c r="I51" i="15" s="1"/>
  <c r="I56" i="15"/>
  <c r="P7" i="21"/>
  <c r="H26" i="24" s="1"/>
  <c r="G31" i="19"/>
  <c r="G317" i="10"/>
  <c r="G318" i="10" s="1"/>
  <c r="N238" i="11"/>
  <c r="N245" i="11"/>
  <c r="N246" i="11" s="1"/>
  <c r="N247" i="11" s="1"/>
  <c r="N248" i="11" s="1"/>
  <c r="L15" i="22" s="1"/>
  <c r="N239" i="11"/>
  <c r="N240" i="11" s="1"/>
  <c r="L10" i="22" s="1"/>
  <c r="S119" i="10"/>
  <c r="S112" i="10"/>
  <c r="S113" i="10" s="1"/>
  <c r="Q191" i="11"/>
  <c r="Q192" i="11" s="1"/>
  <c r="L128" i="10"/>
  <c r="L129" i="10" s="1"/>
  <c r="I175" i="10"/>
  <c r="I176" i="10" s="1"/>
  <c r="I177" i="10" s="1"/>
  <c r="H10" i="21" s="1"/>
  <c r="I182" i="10"/>
  <c r="I183" i="10" s="1"/>
  <c r="I184" i="10" s="1"/>
  <c r="I185" i="10" s="1"/>
  <c r="H18" i="21" s="1"/>
  <c r="N49" i="15"/>
  <c r="N50" i="15" s="1"/>
  <c r="N51" i="15" s="1"/>
  <c r="N56" i="15"/>
  <c r="N57" i="15" s="1"/>
  <c r="N58" i="15" s="1"/>
  <c r="N59" i="15" s="1"/>
  <c r="G29" i="19" s="1"/>
  <c r="G506" i="10"/>
  <c r="G507" i="10" s="1"/>
  <c r="Q65" i="10"/>
  <c r="Q66" i="10" s="1"/>
  <c r="I371" i="10"/>
  <c r="I372" i="10" s="1"/>
  <c r="I373" i="10" s="1"/>
  <c r="I374" i="10" s="1"/>
  <c r="H21" i="21" s="1"/>
  <c r="I364" i="10"/>
  <c r="I365" i="10" s="1"/>
  <c r="I366" i="10" s="1"/>
  <c r="H13" i="21" s="1"/>
  <c r="N49" i="14"/>
  <c r="N50" i="14" s="1"/>
  <c r="N51" i="14" s="1"/>
  <c r="G28" i="19" s="1"/>
  <c r="N56" i="14"/>
  <c r="S56" i="12"/>
  <c r="S57" i="12" s="1"/>
  <c r="S58" i="12" s="1"/>
  <c r="S59" i="12" s="1"/>
  <c r="S49" i="12"/>
  <c r="S50" i="12" s="1"/>
  <c r="S238" i="12"/>
  <c r="S239" i="12" s="1"/>
  <c r="S240" i="12" s="1"/>
  <c r="S245" i="12"/>
  <c r="D177" i="12"/>
  <c r="G254" i="11"/>
  <c r="G255" i="11" s="1"/>
  <c r="D301" i="11"/>
  <c r="D302" i="11"/>
  <c r="D303" i="11" s="1"/>
  <c r="D11" i="22" s="1"/>
  <c r="D308" i="11"/>
  <c r="I301" i="11"/>
  <c r="I302" i="11" s="1"/>
  <c r="I303" i="11" s="1"/>
  <c r="H11" i="22" s="1"/>
  <c r="I308" i="11"/>
  <c r="I309" i="11" s="1"/>
  <c r="I310" i="11" s="1"/>
  <c r="I311" i="11" s="1"/>
  <c r="H16" i="22" s="1"/>
  <c r="I112" i="12"/>
  <c r="I113" i="12" s="1"/>
  <c r="I119" i="12"/>
  <c r="I120" i="12" s="1"/>
  <c r="I121" i="12" s="1"/>
  <c r="I122" i="12" s="1"/>
  <c r="S56" i="15"/>
  <c r="S57" i="15" s="1"/>
  <c r="S58" i="15" s="1"/>
  <c r="S59" i="15" s="1"/>
  <c r="G34" i="19" s="1"/>
  <c r="S49" i="15"/>
  <c r="S50" i="15"/>
  <c r="S51" i="15" s="1"/>
  <c r="Q128" i="10"/>
  <c r="Q129" i="10" s="1"/>
  <c r="G254" i="10"/>
  <c r="G255" i="10" s="1"/>
  <c r="I182" i="12"/>
  <c r="I175" i="12"/>
  <c r="I176" i="12" s="1"/>
  <c r="I177" i="12" s="1"/>
  <c r="G443" i="10"/>
  <c r="G444" i="10" s="1"/>
  <c r="V128" i="10"/>
  <c r="V129" i="10" s="1"/>
  <c r="N308" i="10"/>
  <c r="N301" i="10"/>
  <c r="N302" i="10" s="1"/>
  <c r="N303" i="10" s="1"/>
  <c r="L12" i="21" s="1"/>
  <c r="S308" i="11"/>
  <c r="S301" i="11"/>
  <c r="S302" i="11" s="1"/>
  <c r="S303" i="11" s="1"/>
  <c r="P11" i="22" s="1"/>
  <c r="I497" i="10"/>
  <c r="I490" i="10"/>
  <c r="I491" i="10" s="1"/>
  <c r="I492" i="10" s="1"/>
  <c r="H8" i="21" s="1"/>
  <c r="S492" i="10"/>
  <c r="P8" i="21" s="1"/>
  <c r="I56" i="14"/>
  <c r="I57" i="14" s="1"/>
  <c r="I58" i="14" s="1"/>
  <c r="I59" i="14" s="1"/>
  <c r="I49" i="14"/>
  <c r="I50" i="14" s="1"/>
  <c r="I51" i="14" s="1"/>
  <c r="G22" i="19" s="1"/>
  <c r="I434" i="10"/>
  <c r="I427" i="10"/>
  <c r="I428" i="10" s="1"/>
  <c r="I429" i="10" s="1"/>
  <c r="H14" i="21" s="1"/>
  <c r="I57" i="10"/>
  <c r="I58" i="10" s="1"/>
  <c r="L128" i="11"/>
  <c r="L129" i="11" s="1"/>
  <c r="G128" i="10"/>
  <c r="G129" i="10" s="1"/>
  <c r="S119" i="12"/>
  <c r="S120" i="12" s="1"/>
  <c r="S121" i="12" s="1"/>
  <c r="S122" i="12" s="1"/>
  <c r="S112" i="12"/>
  <c r="S113" i="12" s="1"/>
  <c r="S114" i="12" s="1"/>
  <c r="I308" i="10"/>
  <c r="I309" i="10" s="1"/>
  <c r="I310" i="10" s="1"/>
  <c r="I311" i="10" s="1"/>
  <c r="H20" i="21" s="1"/>
  <c r="I301" i="10"/>
  <c r="I302" i="10" s="1"/>
  <c r="I303" i="10" s="1"/>
  <c r="H12" i="21" s="1"/>
  <c r="S183" i="11"/>
  <c r="S184" i="11" s="1"/>
  <c r="S185" i="11" s="1"/>
  <c r="P14" i="22" s="1"/>
  <c r="D238" i="11"/>
  <c r="D239" i="11"/>
  <c r="D240" i="11" s="1"/>
  <c r="D10" i="22" s="1"/>
  <c r="D245" i="11"/>
  <c r="D246" i="11" s="1"/>
  <c r="D247" i="11" s="1"/>
  <c r="D248" i="11" s="1"/>
  <c r="D15" i="22" s="1"/>
  <c r="N182" i="10"/>
  <c r="N175" i="10"/>
  <c r="N176" i="10" s="1"/>
  <c r="N177" i="10"/>
  <c r="L10" i="21" s="1"/>
  <c r="Q506" i="10"/>
  <c r="Q507" i="10" s="1"/>
  <c r="N182" i="11"/>
  <c r="N175" i="11"/>
  <c r="N176" i="11" s="1"/>
  <c r="N177" i="11" s="1"/>
  <c r="L9" i="22" s="1"/>
  <c r="I112" i="10"/>
  <c r="I119" i="10"/>
  <c r="I120" i="10" s="1"/>
  <c r="I121" i="10" s="1"/>
  <c r="I122" i="10" s="1"/>
  <c r="H17" i="21" s="1"/>
  <c r="I113" i="10"/>
  <c r="I114" i="10" s="1"/>
  <c r="H9" i="21" s="1"/>
  <c r="D119" i="10"/>
  <c r="D112" i="10"/>
  <c r="D113" i="10" s="1"/>
  <c r="D114" i="10" s="1"/>
  <c r="D9" i="21" s="1"/>
  <c r="Q254" i="11"/>
  <c r="Q255" i="11" s="1"/>
  <c r="D49" i="14"/>
  <c r="D50" i="14" s="1"/>
  <c r="D51" i="14" s="1"/>
  <c r="G13" i="19" s="1"/>
  <c r="D56" i="14"/>
  <c r="N490" i="10"/>
  <c r="N491" i="10" s="1"/>
  <c r="N497" i="10"/>
  <c r="I56" i="11"/>
  <c r="I49" i="11"/>
  <c r="I50" i="11"/>
  <c r="I51" i="11" s="1"/>
  <c r="D301" i="10"/>
  <c r="D302" i="10" s="1"/>
  <c r="D303" i="10" s="1"/>
  <c r="D12" i="21" s="1"/>
  <c r="D308" i="10"/>
  <c r="D119" i="12"/>
  <c r="D112" i="12"/>
  <c r="D113" i="12"/>
  <c r="D114" i="12" s="1"/>
  <c r="N56" i="10"/>
  <c r="N49" i="10"/>
  <c r="N50" i="10" s="1"/>
  <c r="N51" i="10" s="1"/>
  <c r="I119" i="11"/>
  <c r="I112" i="11"/>
  <c r="I113" i="11" s="1"/>
  <c r="I114" i="11"/>
  <c r="H8" i="22" s="1"/>
  <c r="N238" i="10"/>
  <c r="N239" i="10" s="1"/>
  <c r="N240" i="10" s="1"/>
  <c r="L11" i="21" s="1"/>
  <c r="N245" i="10"/>
  <c r="Q317" i="10"/>
  <c r="Q318" i="10" s="1"/>
  <c r="L380" i="10"/>
  <c r="L381" i="10" s="1"/>
  <c r="S498" i="10"/>
  <c r="S499" i="10" s="1"/>
  <c r="I175" i="11"/>
  <c r="I176" i="11" s="1"/>
  <c r="I177" i="11" s="1"/>
  <c r="H9" i="22" s="1"/>
  <c r="I182" i="11"/>
  <c r="I183" i="11" s="1"/>
  <c r="I184" i="11" s="1"/>
  <c r="I185" i="11" s="1"/>
  <c r="H14" i="22" s="1"/>
  <c r="D49" i="17"/>
  <c r="D50" i="17" s="1"/>
  <c r="D56" i="17"/>
  <c r="S246" i="10"/>
  <c r="S247" i="10" s="1"/>
  <c r="S308" i="10"/>
  <c r="S309" i="10" s="1"/>
  <c r="S310" i="10" s="1"/>
  <c r="S311" i="10" s="1"/>
  <c r="P20" i="21" s="1"/>
  <c r="S301" i="10"/>
  <c r="S302" i="10"/>
  <c r="S303" i="10" s="1"/>
  <c r="P12" i="21" s="1"/>
  <c r="D182" i="10"/>
  <c r="D183" i="10" s="1"/>
  <c r="D184" i="10" s="1"/>
  <c r="D185" i="10" s="1"/>
  <c r="D18" i="21" s="1"/>
  <c r="D175" i="10"/>
  <c r="D176" i="10" s="1"/>
  <c r="D177" i="10" s="1"/>
  <c r="D10" i="21" s="1"/>
  <c r="D434" i="10"/>
  <c r="D435" i="10" s="1"/>
  <c r="D436" i="10" s="1"/>
  <c r="D437" i="10" s="1"/>
  <c r="D22" i="21" s="1"/>
  <c r="D427" i="10"/>
  <c r="D428" i="10" s="1"/>
  <c r="D429" i="10" s="1"/>
  <c r="D14" i="21" s="1"/>
  <c r="I56" i="13"/>
  <c r="I49" i="13"/>
  <c r="I50" i="13" s="1"/>
  <c r="I51" i="13"/>
  <c r="G21" i="19" s="1"/>
  <c r="G191" i="10"/>
  <c r="G192" i="10" s="1"/>
  <c r="L191" i="10"/>
  <c r="L192" i="10" s="1"/>
  <c r="L506" i="10"/>
  <c r="L507" i="10" s="1"/>
  <c r="S119" i="11"/>
  <c r="S112" i="11"/>
  <c r="S113" i="11" s="1"/>
  <c r="S114" i="11" s="1"/>
  <c r="P8" i="22" s="1"/>
  <c r="G191" i="11"/>
  <c r="G192" i="11" s="1"/>
  <c r="S114" i="10" l="1"/>
  <c r="P9" i="21" s="1"/>
  <c r="S366" i="10"/>
  <c r="P13" i="21" s="1"/>
  <c r="S500" i="10"/>
  <c r="P16" i="21" s="1"/>
  <c r="I59" i="10"/>
  <c r="H15" i="21" s="1"/>
  <c r="I57" i="13"/>
  <c r="I58" i="13" s="1"/>
  <c r="I59" i="13" s="1"/>
  <c r="D120" i="12"/>
  <c r="D121" i="12" s="1"/>
  <c r="H7" i="22"/>
  <c r="H15" i="24" s="1"/>
  <c r="G18" i="19"/>
  <c r="N183" i="11"/>
  <c r="N184" i="11" s="1"/>
  <c r="N185" i="11" s="1"/>
  <c r="L14" i="22" s="1"/>
  <c r="S120" i="10"/>
  <c r="S121" i="10" s="1"/>
  <c r="D57" i="17"/>
  <c r="D58" i="17" s="1"/>
  <c r="N57" i="14"/>
  <c r="N58" i="14" s="1"/>
  <c r="N59" i="14" s="1"/>
  <c r="L7" i="21"/>
  <c r="D26" i="24" s="1"/>
  <c r="G25" i="19"/>
  <c r="D309" i="10"/>
  <c r="D310" i="10" s="1"/>
  <c r="I498" i="10"/>
  <c r="I499" i="10" s="1"/>
  <c r="D57" i="11"/>
  <c r="D58" i="11" s="1"/>
  <c r="D7" i="21"/>
  <c r="D14" i="24" s="1"/>
  <c r="G7" i="19"/>
  <c r="I246" i="10"/>
  <c r="I247" i="10" s="1"/>
  <c r="D120" i="11"/>
  <c r="D121" i="11" s="1"/>
  <c r="N246" i="10"/>
  <c r="N247" i="10" s="1"/>
  <c r="N248" i="10"/>
  <c r="L19" i="21" s="1"/>
  <c r="I120" i="11"/>
  <c r="I121" i="11" s="1"/>
  <c r="N57" i="10"/>
  <c r="N58" i="10"/>
  <c r="N59" i="10" s="1"/>
  <c r="L15" i="21" s="1"/>
  <c r="I57" i="11"/>
  <c r="I58" i="11" s="1"/>
  <c r="I59" i="11" s="1"/>
  <c r="H12" i="22" s="1"/>
  <c r="N183" i="10"/>
  <c r="N184" i="10" s="1"/>
  <c r="I435" i="10"/>
  <c r="I436" i="10" s="1"/>
  <c r="N309" i="10"/>
  <c r="N310" i="10" s="1"/>
  <c r="N435" i="10"/>
  <c r="N436" i="10" s="1"/>
  <c r="N309" i="11"/>
  <c r="N310" i="11"/>
  <c r="N311" i="11" s="1"/>
  <c r="L16" i="22" s="1"/>
  <c r="D51" i="15"/>
  <c r="D183" i="11"/>
  <c r="D184" i="11" s="1"/>
  <c r="N372" i="10"/>
  <c r="N373" i="10" s="1"/>
  <c r="N498" i="10"/>
  <c r="N499" i="10" s="1"/>
  <c r="S309" i="11"/>
  <c r="S310" i="11" s="1"/>
  <c r="S311" i="11" s="1"/>
  <c r="P16" i="22" s="1"/>
  <c r="D309" i="11"/>
  <c r="D310" i="11" s="1"/>
  <c r="I57" i="15"/>
  <c r="I58" i="15" s="1"/>
  <c r="I59" i="15" s="1"/>
  <c r="G23" i="19" s="1"/>
  <c r="S120" i="11"/>
  <c r="S121" i="11" s="1"/>
  <c r="S248" i="10"/>
  <c r="P19" i="21" s="1"/>
  <c r="D51" i="17"/>
  <c r="G27" i="19" s="1"/>
  <c r="N492" i="10"/>
  <c r="L8" i="21" s="1"/>
  <c r="D57" i="14"/>
  <c r="D58" i="14" s="1"/>
  <c r="D59" i="14"/>
  <c r="D120" i="10"/>
  <c r="D121" i="10" s="1"/>
  <c r="D122" i="10"/>
  <c r="D17" i="21" s="1"/>
  <c r="I183" i="12"/>
  <c r="I184" i="12" s="1"/>
  <c r="I185" i="12" s="1"/>
  <c r="I114" i="12"/>
  <c r="S246" i="12"/>
  <c r="S247" i="12" s="1"/>
  <c r="S248" i="12"/>
  <c r="S51" i="12"/>
  <c r="G33" i="19" s="1"/>
  <c r="D51" i="11"/>
  <c r="I246" i="12"/>
  <c r="I247" i="12" s="1"/>
  <c r="D57" i="15"/>
  <c r="D58" i="15" s="1"/>
  <c r="D246" i="12"/>
  <c r="D247" i="12" s="1"/>
  <c r="I240" i="10"/>
  <c r="H11" i="21" s="1"/>
  <c r="I246" i="11"/>
  <c r="I247" i="11"/>
  <c r="I248" i="11" s="1"/>
  <c r="H15" i="22" s="1"/>
  <c r="P7" i="22"/>
  <c r="H27" i="24" s="1"/>
  <c r="G32" i="19"/>
  <c r="D185" i="11" l="1"/>
  <c r="D14" i="22" s="1"/>
  <c r="I122" i="11"/>
  <c r="H13" i="22" s="1"/>
  <c r="N185" i="10"/>
  <c r="L18" i="21" s="1"/>
  <c r="S122" i="10"/>
  <c r="P17" i="21" s="1"/>
  <c r="D59" i="17"/>
  <c r="D59" i="15"/>
  <c r="G14" i="19" s="1"/>
  <c r="D311" i="11"/>
  <c r="D16" i="22" s="1"/>
  <c r="D122" i="11"/>
  <c r="D13" i="22" s="1"/>
  <c r="I500" i="10"/>
  <c r="H16" i="21" s="1"/>
  <c r="D311" i="10"/>
  <c r="D20" i="21" s="1"/>
  <c r="D122" i="12"/>
  <c r="D59" i="11"/>
  <c r="D248" i="12"/>
  <c r="I248" i="12"/>
  <c r="D7" i="22"/>
  <c r="G8" i="19"/>
  <c r="S122" i="11"/>
  <c r="P13" i="22" s="1"/>
  <c r="N500" i="10"/>
  <c r="L16" i="21" s="1"/>
  <c r="N374" i="10"/>
  <c r="L21" i="21" s="1"/>
  <c r="N437" i="10"/>
  <c r="N311" i="10"/>
  <c r="L20" i="21" s="1"/>
  <c r="I437" i="10"/>
  <c r="H22" i="21" s="1"/>
  <c r="I248" i="10"/>
  <c r="H19" i="21" s="1"/>
  <c r="D15" i="24" l="1"/>
  <c r="D12" i="22"/>
  <c r="L22" i="21"/>
  <c r="E24" i="16" l="1"/>
  <c r="F24" i="16" s="1"/>
  <c r="J24" i="20"/>
  <c r="K24" i="20" s="1"/>
  <c r="E24" i="20"/>
  <c r="F24" i="20" s="1"/>
  <c r="E18" i="16"/>
  <c r="F18" i="16" s="1"/>
  <c r="J18" i="20"/>
  <c r="K18" i="20" s="1"/>
  <c r="E18" i="20"/>
  <c r="F18" i="20" s="1"/>
  <c r="T213" i="11" l="1"/>
  <c r="U213" i="11" s="1"/>
  <c r="O87" i="11"/>
  <c r="P87" i="11" s="1"/>
  <c r="T150" i="11"/>
  <c r="U150" i="11" s="1"/>
  <c r="T87" i="11"/>
  <c r="U87" i="11" s="1"/>
  <c r="O276" i="11"/>
  <c r="P276" i="11" s="1"/>
  <c r="J213" i="11"/>
  <c r="K213" i="11" s="1"/>
  <c r="E87" i="11"/>
  <c r="F87" i="11" s="1"/>
  <c r="J150" i="11"/>
  <c r="K150" i="11" s="1"/>
  <c r="E276" i="11"/>
  <c r="F276" i="11" s="1"/>
  <c r="O150" i="11"/>
  <c r="P150" i="11" s="1"/>
  <c r="O213" i="11"/>
  <c r="P213" i="11" s="1"/>
  <c r="J87" i="11"/>
  <c r="K87" i="11" s="1"/>
  <c r="T276" i="11"/>
  <c r="U276" i="11" s="1"/>
  <c r="E150" i="11"/>
  <c r="F150" i="11" s="1"/>
  <c r="E213" i="11"/>
  <c r="F213" i="11" s="1"/>
  <c r="J276" i="11"/>
  <c r="K276" i="11" s="1"/>
  <c r="T24" i="11"/>
  <c r="U24" i="11" s="1"/>
  <c r="J24" i="11"/>
  <c r="K24" i="11" s="1"/>
  <c r="O24" i="11"/>
  <c r="P24" i="11" s="1"/>
  <c r="E24" i="11"/>
  <c r="F24" i="11" s="1"/>
  <c r="E24" i="13"/>
  <c r="F24" i="13" s="1"/>
  <c r="J24" i="13"/>
  <c r="K24" i="13" s="1"/>
  <c r="T213" i="12"/>
  <c r="U213" i="12" s="1"/>
  <c r="E87" i="12"/>
  <c r="F87" i="12" s="1"/>
  <c r="T150" i="12"/>
  <c r="U150" i="12" s="1"/>
  <c r="E213" i="12"/>
  <c r="F213" i="12" s="1"/>
  <c r="J213" i="12"/>
  <c r="K213" i="12" s="1"/>
  <c r="J150" i="12"/>
  <c r="K150" i="12" s="1"/>
  <c r="E150" i="12"/>
  <c r="F150" i="12" s="1"/>
  <c r="T87" i="12"/>
  <c r="U87" i="12" s="1"/>
  <c r="J87" i="12"/>
  <c r="K87" i="12" s="1"/>
  <c r="E24" i="17"/>
  <c r="F24" i="17" s="1"/>
  <c r="E24" i="18"/>
  <c r="F24" i="18" s="1"/>
  <c r="J24" i="12"/>
  <c r="K24" i="12" s="1"/>
  <c r="E24" i="12"/>
  <c r="F24" i="12" s="1"/>
  <c r="T24" i="12"/>
  <c r="U24" i="12" s="1"/>
  <c r="E24" i="14"/>
  <c r="F24" i="14" s="1"/>
  <c r="O24" i="14"/>
  <c r="P24" i="14" s="1"/>
  <c r="J24" i="14"/>
  <c r="K24" i="14" s="1"/>
  <c r="T24" i="15"/>
  <c r="U24" i="15" s="1"/>
  <c r="O24" i="15"/>
  <c r="P24" i="15" s="1"/>
  <c r="E24" i="15"/>
  <c r="F24" i="15" s="1"/>
  <c r="J24" i="15"/>
  <c r="K24" i="15" s="1"/>
  <c r="E339" i="10"/>
  <c r="F339" i="10" s="1"/>
  <c r="E150" i="10"/>
  <c r="F150" i="10" s="1"/>
  <c r="E276" i="10"/>
  <c r="F276" i="10" s="1"/>
  <c r="J339" i="10"/>
  <c r="K339" i="10" s="1"/>
  <c r="J150" i="10"/>
  <c r="K150" i="10" s="1"/>
  <c r="J87" i="10"/>
  <c r="K87" i="10" s="1"/>
  <c r="J276" i="10"/>
  <c r="K276" i="10" s="1"/>
  <c r="O402" i="10"/>
  <c r="P402" i="10" s="1"/>
  <c r="T213" i="10"/>
  <c r="U213" i="10" s="1"/>
  <c r="O465" i="10"/>
  <c r="P465" i="10" s="1"/>
  <c r="T402" i="10"/>
  <c r="U402" i="10" s="1"/>
  <c r="O213" i="10"/>
  <c r="P213" i="10" s="1"/>
  <c r="J465" i="10"/>
  <c r="K465" i="10" s="1"/>
  <c r="T465" i="10"/>
  <c r="U465" i="10" s="1"/>
  <c r="E402" i="10"/>
  <c r="F402" i="10" s="1"/>
  <c r="J213" i="10"/>
  <c r="K213" i="10" s="1"/>
  <c r="E465" i="10"/>
  <c r="F465" i="10" s="1"/>
  <c r="J402" i="10"/>
  <c r="K402" i="10" s="1"/>
  <c r="E213" i="10"/>
  <c r="F213" i="10" s="1"/>
  <c r="T276" i="10"/>
  <c r="U276" i="10" s="1"/>
  <c r="O87" i="10"/>
  <c r="P87" i="10" s="1"/>
  <c r="O339" i="10"/>
  <c r="P339" i="10" s="1"/>
  <c r="O150" i="10"/>
  <c r="P150" i="10" s="1"/>
  <c r="O276" i="10"/>
  <c r="P276" i="10" s="1"/>
  <c r="T339" i="10"/>
  <c r="U339" i="10" s="1"/>
  <c r="T150" i="10"/>
  <c r="U150" i="10" s="1"/>
  <c r="T87" i="10"/>
  <c r="U87" i="10" s="1"/>
  <c r="E87" i="10"/>
  <c r="F87" i="10" s="1"/>
  <c r="O24" i="10"/>
  <c r="P24" i="10" s="1"/>
  <c r="E24" i="10"/>
  <c r="F24" i="10" s="1"/>
  <c r="T24" i="10"/>
  <c r="U24" i="10" s="1"/>
  <c r="J24" i="10"/>
  <c r="K24" i="10" s="1"/>
  <c r="T144" i="12"/>
  <c r="U144" i="12" s="1"/>
  <c r="J81" i="12"/>
  <c r="K81" i="12" s="1"/>
  <c r="E207" i="12"/>
  <c r="F207" i="12" s="1"/>
  <c r="J207" i="12"/>
  <c r="K207" i="12" s="1"/>
  <c r="E144" i="12"/>
  <c r="F144" i="12" s="1"/>
  <c r="T81" i="12"/>
  <c r="U81" i="12" s="1"/>
  <c r="T207" i="12"/>
  <c r="U207" i="12" s="1"/>
  <c r="J144" i="12"/>
  <c r="K144" i="12" s="1"/>
  <c r="E81" i="12"/>
  <c r="F81" i="12" s="1"/>
  <c r="E18" i="17"/>
  <c r="F18" i="17" s="1"/>
  <c r="E18" i="18"/>
  <c r="F18" i="18" s="1"/>
  <c r="E18" i="12"/>
  <c r="F18" i="12" s="1"/>
  <c r="T18" i="12"/>
  <c r="U18" i="12" s="1"/>
  <c r="J18" i="12"/>
  <c r="K18" i="12" s="1"/>
  <c r="O18" i="14"/>
  <c r="P18" i="14" s="1"/>
  <c r="E18" i="14"/>
  <c r="F18" i="14" s="1"/>
  <c r="J18" i="14"/>
  <c r="K18" i="14" s="1"/>
  <c r="F69" i="20"/>
  <c r="F70" i="20" s="1"/>
  <c r="F64" i="20"/>
  <c r="G64" i="20" s="1"/>
  <c r="G65" i="20" s="1"/>
  <c r="F35" i="20"/>
  <c r="J18" i="15"/>
  <c r="K18" i="15" s="1"/>
  <c r="T18" i="15"/>
  <c r="U18" i="15" s="1"/>
  <c r="E18" i="15"/>
  <c r="F18" i="15" s="1"/>
  <c r="O18" i="15"/>
  <c r="P18" i="15" s="1"/>
  <c r="O270" i="10"/>
  <c r="P270" i="10" s="1"/>
  <c r="E144" i="10"/>
  <c r="F144" i="10" s="1"/>
  <c r="O207" i="10"/>
  <c r="P207" i="10" s="1"/>
  <c r="J459" i="10"/>
  <c r="K459" i="10" s="1"/>
  <c r="E396" i="10"/>
  <c r="F396" i="10" s="1"/>
  <c r="O81" i="10"/>
  <c r="P81" i="10" s="1"/>
  <c r="T396" i="10"/>
  <c r="U396" i="10" s="1"/>
  <c r="B9" i="1"/>
  <c r="J270" i="10"/>
  <c r="K270" i="10" s="1"/>
  <c r="J207" i="10"/>
  <c r="K207" i="10" s="1"/>
  <c r="O459" i="10"/>
  <c r="P459" i="10" s="1"/>
  <c r="J333" i="10"/>
  <c r="K333" i="10" s="1"/>
  <c r="E270" i="10"/>
  <c r="F270" i="10" s="1"/>
  <c r="O333" i="10"/>
  <c r="P333" i="10" s="1"/>
  <c r="E207" i="10"/>
  <c r="F207" i="10" s="1"/>
  <c r="T144" i="10"/>
  <c r="U144" i="10" s="1"/>
  <c r="J396" i="10"/>
  <c r="K396" i="10" s="1"/>
  <c r="O396" i="10"/>
  <c r="P396" i="10" s="1"/>
  <c r="T270" i="10"/>
  <c r="U270" i="10" s="1"/>
  <c r="O144" i="10"/>
  <c r="P144" i="10" s="1"/>
  <c r="T207" i="10"/>
  <c r="U207" i="10" s="1"/>
  <c r="E81" i="10"/>
  <c r="F81" i="10" s="1"/>
  <c r="J144" i="10"/>
  <c r="K144" i="10" s="1"/>
  <c r="E333" i="10"/>
  <c r="F333" i="10" s="1"/>
  <c r="T81" i="10"/>
  <c r="U81" i="10" s="1"/>
  <c r="T459" i="10"/>
  <c r="U459" i="10" s="1"/>
  <c r="E459" i="10"/>
  <c r="F459" i="10" s="1"/>
  <c r="T333" i="10"/>
  <c r="U333" i="10" s="1"/>
  <c r="J81" i="10"/>
  <c r="K81" i="10" s="1"/>
  <c r="O18" i="10"/>
  <c r="P18" i="10" s="1"/>
  <c r="J18" i="10"/>
  <c r="K18" i="10" s="1"/>
  <c r="E18" i="10"/>
  <c r="F18" i="10" s="1"/>
  <c r="T18" i="10"/>
  <c r="U18" i="10" s="1"/>
  <c r="K69" i="20"/>
  <c r="K70" i="20" s="1"/>
  <c r="K71" i="20" s="1"/>
  <c r="K64" i="20"/>
  <c r="L64" i="20" s="1"/>
  <c r="L65" i="20" s="1"/>
  <c r="K35" i="20"/>
  <c r="F63" i="16"/>
  <c r="G63" i="16" s="1"/>
  <c r="G64" i="16" s="1"/>
  <c r="F34" i="16"/>
  <c r="T270" i="11"/>
  <c r="U270" i="11" s="1"/>
  <c r="O207" i="11"/>
  <c r="P207" i="11" s="1"/>
  <c r="T207" i="11"/>
  <c r="U207" i="11" s="1"/>
  <c r="E144" i="11"/>
  <c r="F144" i="11" s="1"/>
  <c r="E270" i="11"/>
  <c r="F270" i="11" s="1"/>
  <c r="J207" i="11"/>
  <c r="K207" i="11" s="1"/>
  <c r="J270" i="11"/>
  <c r="K270" i="11" s="1"/>
  <c r="T81" i="11"/>
  <c r="U81" i="11" s="1"/>
  <c r="J81" i="11"/>
  <c r="K81" i="11" s="1"/>
  <c r="J144" i="11"/>
  <c r="K144" i="11" s="1"/>
  <c r="O270" i="11"/>
  <c r="P270" i="11" s="1"/>
  <c r="E81" i="11"/>
  <c r="F81" i="11" s="1"/>
  <c r="T144" i="11"/>
  <c r="U144" i="11" s="1"/>
  <c r="O81" i="11"/>
  <c r="P81" i="11" s="1"/>
  <c r="E207" i="11"/>
  <c r="F207" i="11" s="1"/>
  <c r="O144" i="11"/>
  <c r="P144" i="11" s="1"/>
  <c r="O18" i="11"/>
  <c r="P18" i="11" s="1"/>
  <c r="J18" i="11"/>
  <c r="K18" i="11" s="1"/>
  <c r="T18" i="11"/>
  <c r="U18" i="11" s="1"/>
  <c r="E18" i="11"/>
  <c r="F18" i="11" s="1"/>
  <c r="E18" i="13"/>
  <c r="F18" i="13" s="1"/>
  <c r="J18" i="13"/>
  <c r="K18" i="13" s="1"/>
  <c r="K34" i="13" l="1"/>
  <c r="K63" i="13"/>
  <c r="L63" i="13" s="1"/>
  <c r="L64" i="13" s="1"/>
  <c r="K63" i="11"/>
  <c r="K34" i="11"/>
  <c r="P126" i="11"/>
  <c r="Q126" i="11" s="1"/>
  <c r="Q127" i="11" s="1"/>
  <c r="P97" i="11"/>
  <c r="K189" i="11"/>
  <c r="L189" i="11" s="1"/>
  <c r="L190" i="11" s="1"/>
  <c r="K160" i="11"/>
  <c r="K252" i="11"/>
  <c r="L252" i="11" s="1"/>
  <c r="L253" i="11" s="1"/>
  <c r="K223" i="11"/>
  <c r="P252" i="11"/>
  <c r="Q252" i="11" s="1"/>
  <c r="Q253" i="11" s="1"/>
  <c r="P223" i="11"/>
  <c r="K49" i="20"/>
  <c r="L35" i="20"/>
  <c r="L36" i="20" s="1"/>
  <c r="F63" i="10"/>
  <c r="F34" i="10"/>
  <c r="U378" i="10"/>
  <c r="V378" i="10" s="1"/>
  <c r="V379" i="10" s="1"/>
  <c r="U349" i="10"/>
  <c r="F378" i="10"/>
  <c r="G378" i="10" s="1"/>
  <c r="G379" i="10" s="1"/>
  <c r="F349" i="10"/>
  <c r="P189" i="10"/>
  <c r="Q189" i="10" s="1"/>
  <c r="Q190" i="10" s="1"/>
  <c r="P160" i="10"/>
  <c r="U189" i="10"/>
  <c r="V189" i="10" s="1"/>
  <c r="V190" i="10" s="1"/>
  <c r="U160" i="10"/>
  <c r="K378" i="10"/>
  <c r="L378" i="10" s="1"/>
  <c r="L379" i="10" s="1"/>
  <c r="K349" i="10"/>
  <c r="K504" i="10"/>
  <c r="L504" i="10" s="1"/>
  <c r="L505" i="10" s="1"/>
  <c r="K475" i="10"/>
  <c r="P63" i="15"/>
  <c r="Q63" i="15" s="1"/>
  <c r="Q64" i="15" s="1"/>
  <c r="P34" i="15"/>
  <c r="G35" i="20"/>
  <c r="G36" i="20" s="1"/>
  <c r="F49" i="20"/>
  <c r="F63" i="14"/>
  <c r="G63" i="14" s="1"/>
  <c r="G64" i="14" s="1"/>
  <c r="F34" i="14"/>
  <c r="F63" i="12"/>
  <c r="G63" i="12" s="1"/>
  <c r="G64" i="12" s="1"/>
  <c r="F34" i="12"/>
  <c r="K189" i="12"/>
  <c r="L189" i="12" s="1"/>
  <c r="L190" i="12" s="1"/>
  <c r="K160" i="12"/>
  <c r="K223" i="12"/>
  <c r="K252" i="12"/>
  <c r="L252" i="12" s="1"/>
  <c r="L253" i="12" s="1"/>
  <c r="F63" i="13"/>
  <c r="G63" i="13" s="1"/>
  <c r="G64" i="13" s="1"/>
  <c r="F34" i="13"/>
  <c r="P63" i="11"/>
  <c r="P34" i="11"/>
  <c r="U189" i="11"/>
  <c r="V189" i="11" s="1"/>
  <c r="V190" i="11" s="1"/>
  <c r="U160" i="11"/>
  <c r="K126" i="11"/>
  <c r="L126" i="11" s="1"/>
  <c r="L127" i="11" s="1"/>
  <c r="K97" i="11"/>
  <c r="F315" i="11"/>
  <c r="G315" i="11" s="1"/>
  <c r="G316" i="11" s="1"/>
  <c r="F286" i="11"/>
  <c r="U315" i="11"/>
  <c r="V315" i="11" s="1"/>
  <c r="V316" i="11" s="1"/>
  <c r="U286" i="11"/>
  <c r="K63" i="10"/>
  <c r="K34" i="10"/>
  <c r="F504" i="10"/>
  <c r="G504" i="10" s="1"/>
  <c r="G505" i="10" s="1"/>
  <c r="F475" i="10"/>
  <c r="K189" i="10"/>
  <c r="L189" i="10" s="1"/>
  <c r="L190" i="10" s="1"/>
  <c r="K160" i="10"/>
  <c r="U315" i="10"/>
  <c r="V315" i="10" s="1"/>
  <c r="V316" i="10" s="1"/>
  <c r="U286" i="10"/>
  <c r="F252" i="10"/>
  <c r="G252" i="10" s="1"/>
  <c r="G253" i="10" s="1"/>
  <c r="F223" i="10"/>
  <c r="P504" i="10"/>
  <c r="Q504" i="10" s="1"/>
  <c r="Q505" i="10" s="1"/>
  <c r="P475" i="10"/>
  <c r="U441" i="10"/>
  <c r="V441" i="10" s="1"/>
  <c r="V442" i="10" s="1"/>
  <c r="U412" i="10"/>
  <c r="P252" i="10"/>
  <c r="Q252" i="10" s="1"/>
  <c r="Q253" i="10" s="1"/>
  <c r="P223" i="10"/>
  <c r="F34" i="15"/>
  <c r="F63" i="15"/>
  <c r="G63" i="15" s="1"/>
  <c r="G64" i="15" s="1"/>
  <c r="P34" i="14"/>
  <c r="P63" i="14"/>
  <c r="Q63" i="14" s="1"/>
  <c r="Q64" i="14" s="1"/>
  <c r="F34" i="18"/>
  <c r="F63" i="18"/>
  <c r="G63" i="18" s="1"/>
  <c r="G64" i="18" s="1"/>
  <c r="U252" i="12"/>
  <c r="V252" i="12" s="1"/>
  <c r="V253" i="12" s="1"/>
  <c r="U223" i="12"/>
  <c r="F252" i="12"/>
  <c r="G252" i="12" s="1"/>
  <c r="G253" i="12" s="1"/>
  <c r="F223" i="12"/>
  <c r="F63" i="11"/>
  <c r="F34" i="11"/>
  <c r="P189" i="11"/>
  <c r="Q189" i="11" s="1"/>
  <c r="Q190" i="11" s="1"/>
  <c r="P160" i="11"/>
  <c r="F126" i="11"/>
  <c r="G126" i="11" s="1"/>
  <c r="G127" i="11" s="1"/>
  <c r="F97" i="11"/>
  <c r="U126" i="11"/>
  <c r="V126" i="11" s="1"/>
  <c r="V127" i="11" s="1"/>
  <c r="U97" i="11"/>
  <c r="F189" i="11"/>
  <c r="G189" i="11" s="1"/>
  <c r="G190" i="11" s="1"/>
  <c r="F160" i="11"/>
  <c r="G34" i="16"/>
  <c r="G35" i="16" s="1"/>
  <c r="F48" i="16"/>
  <c r="P63" i="10"/>
  <c r="P34" i="10"/>
  <c r="U504" i="10"/>
  <c r="V504" i="10" s="1"/>
  <c r="V505" i="10" s="1"/>
  <c r="U475" i="10"/>
  <c r="F126" i="10"/>
  <c r="G126" i="10" s="1"/>
  <c r="G127" i="10" s="1"/>
  <c r="F97" i="10"/>
  <c r="P441" i="10"/>
  <c r="Q441" i="10" s="1"/>
  <c r="Q442" i="10" s="1"/>
  <c r="P412" i="10"/>
  <c r="P378" i="10"/>
  <c r="Q378" i="10" s="1"/>
  <c r="Q379" i="10" s="1"/>
  <c r="P349" i="10"/>
  <c r="K252" i="10"/>
  <c r="L252" i="10" s="1"/>
  <c r="L253" i="10" s="1"/>
  <c r="K223" i="10"/>
  <c r="P126" i="10"/>
  <c r="Q126" i="10" s="1"/>
  <c r="Q127" i="10" s="1"/>
  <c r="P97" i="10"/>
  <c r="F189" i="10"/>
  <c r="G189" i="10" s="1"/>
  <c r="G190" i="10" s="1"/>
  <c r="F160" i="10"/>
  <c r="U63" i="15"/>
  <c r="V63" i="15" s="1"/>
  <c r="V64" i="15" s="1"/>
  <c r="U34" i="15"/>
  <c r="K34" i="12"/>
  <c r="K63" i="12"/>
  <c r="L63" i="12" s="1"/>
  <c r="L64" i="12" s="1"/>
  <c r="F63" i="17"/>
  <c r="G63" i="17" s="1"/>
  <c r="G64" i="17" s="1"/>
  <c r="F34" i="17"/>
  <c r="U97" i="12"/>
  <c r="U126" i="12"/>
  <c r="V126" i="12" s="1"/>
  <c r="V127" i="12" s="1"/>
  <c r="K97" i="12"/>
  <c r="K126" i="12"/>
  <c r="L126" i="12" s="1"/>
  <c r="L127" i="12" s="1"/>
  <c r="U63" i="11"/>
  <c r="U34" i="11"/>
  <c r="F252" i="11"/>
  <c r="G252" i="11" s="1"/>
  <c r="G253" i="11" s="1"/>
  <c r="F223" i="11"/>
  <c r="P315" i="11"/>
  <c r="Q315" i="11" s="1"/>
  <c r="Q316" i="11" s="1"/>
  <c r="P286" i="11"/>
  <c r="K315" i="11"/>
  <c r="L315" i="11" s="1"/>
  <c r="L316" i="11" s="1"/>
  <c r="K286" i="11"/>
  <c r="U252" i="11"/>
  <c r="V252" i="11" s="1"/>
  <c r="V253" i="11" s="1"/>
  <c r="U223" i="11"/>
  <c r="U63" i="10"/>
  <c r="U34" i="10"/>
  <c r="K126" i="10"/>
  <c r="L126" i="10" s="1"/>
  <c r="L127" i="10" s="1"/>
  <c r="K97" i="10"/>
  <c r="U126" i="10"/>
  <c r="V126" i="10" s="1"/>
  <c r="V127" i="10" s="1"/>
  <c r="U97" i="10"/>
  <c r="U252" i="10"/>
  <c r="V252" i="10" s="1"/>
  <c r="V253" i="10" s="1"/>
  <c r="U223" i="10"/>
  <c r="K441" i="10"/>
  <c r="L441" i="10" s="1"/>
  <c r="L442" i="10" s="1"/>
  <c r="K412" i="10"/>
  <c r="F315" i="10"/>
  <c r="G315" i="10" s="1"/>
  <c r="G316" i="10" s="1"/>
  <c r="F286" i="10"/>
  <c r="K315" i="10"/>
  <c r="L315" i="10" s="1"/>
  <c r="L316" i="10" s="1"/>
  <c r="K286" i="10"/>
  <c r="F441" i="10"/>
  <c r="G441" i="10" s="1"/>
  <c r="G442" i="10" s="1"/>
  <c r="F412" i="10"/>
  <c r="P315" i="10"/>
  <c r="Q315" i="10" s="1"/>
  <c r="Q316" i="10" s="1"/>
  <c r="P286" i="10"/>
  <c r="K34" i="15"/>
  <c r="K63" i="15"/>
  <c r="L63" i="15" s="1"/>
  <c r="L64" i="15" s="1"/>
  <c r="K34" i="14"/>
  <c r="K63" i="14"/>
  <c r="L63" i="14" s="1"/>
  <c r="L64" i="14" s="1"/>
  <c r="U63" i="12"/>
  <c r="V63" i="12" s="1"/>
  <c r="V64" i="12" s="1"/>
  <c r="U34" i="12"/>
  <c r="F126" i="12"/>
  <c r="G126" i="12" s="1"/>
  <c r="G127" i="12" s="1"/>
  <c r="F97" i="12"/>
  <c r="F189" i="12"/>
  <c r="G189" i="12" s="1"/>
  <c r="G190" i="12" s="1"/>
  <c r="F160" i="12"/>
  <c r="U160" i="12"/>
  <c r="U189" i="12"/>
  <c r="V189" i="12" s="1"/>
  <c r="V190" i="12" s="1"/>
  <c r="K111" i="12" l="1"/>
  <c r="L97" i="12"/>
  <c r="L98" i="12" s="1"/>
  <c r="E20" i="24"/>
  <c r="F20" i="24" s="1"/>
  <c r="G20" i="24" s="1"/>
  <c r="Q63" i="10"/>
  <c r="Q64" i="10" s="1"/>
  <c r="E23" i="24"/>
  <c r="F23" i="24" s="1"/>
  <c r="G23" i="24" s="1"/>
  <c r="E9" i="24"/>
  <c r="F9" i="24" s="1"/>
  <c r="G9" i="24" s="1"/>
  <c r="G63" i="11"/>
  <c r="G64" i="11" s="1"/>
  <c r="E12" i="24"/>
  <c r="F12" i="24" s="1"/>
  <c r="G12" i="24" s="1"/>
  <c r="P48" i="14"/>
  <c r="Q34" i="14"/>
  <c r="Q35" i="14" s="1"/>
  <c r="K237" i="12"/>
  <c r="L223" i="12"/>
  <c r="L224" i="12" s="1"/>
  <c r="F174" i="12"/>
  <c r="G160" i="12"/>
  <c r="G161" i="12" s="1"/>
  <c r="F300" i="10"/>
  <c r="G286" i="10"/>
  <c r="G287" i="10" s="1"/>
  <c r="L97" i="10"/>
  <c r="L98" i="10" s="1"/>
  <c r="K111" i="10"/>
  <c r="Q286" i="11"/>
  <c r="Q287" i="11" s="1"/>
  <c r="P300" i="11"/>
  <c r="G160" i="10"/>
  <c r="G161" i="10" s="1"/>
  <c r="F174" i="10"/>
  <c r="Q412" i="10"/>
  <c r="Q413" i="10" s="1"/>
  <c r="P426" i="10"/>
  <c r="V475" i="10"/>
  <c r="V476" i="10" s="1"/>
  <c r="U489" i="10"/>
  <c r="Q160" i="11"/>
  <c r="Q161" i="11" s="1"/>
  <c r="P174" i="11"/>
  <c r="U426" i="10"/>
  <c r="V412" i="10"/>
  <c r="V413" i="10" s="1"/>
  <c r="L160" i="10"/>
  <c r="L161" i="10" s="1"/>
  <c r="K174" i="10"/>
  <c r="G286" i="11"/>
  <c r="G287" i="11" s="1"/>
  <c r="F300" i="11"/>
  <c r="G34" i="13"/>
  <c r="G35" i="13" s="1"/>
  <c r="F48" i="13"/>
  <c r="F48" i="14"/>
  <c r="G34" i="14"/>
  <c r="G35" i="14" s="1"/>
  <c r="K363" i="10"/>
  <c r="L349" i="10"/>
  <c r="L350" i="10" s="1"/>
  <c r="V349" i="10"/>
  <c r="V350" i="10" s="1"/>
  <c r="U363" i="10"/>
  <c r="K237" i="11"/>
  <c r="L223" i="11"/>
  <c r="L224" i="11" s="1"/>
  <c r="Q97" i="11"/>
  <c r="Q98" i="11" s="1"/>
  <c r="P111" i="11"/>
  <c r="L34" i="15"/>
  <c r="L35" i="15" s="1"/>
  <c r="K48" i="15"/>
  <c r="F111" i="12"/>
  <c r="G97" i="12"/>
  <c r="G98" i="12" s="1"/>
  <c r="Q286" i="10"/>
  <c r="Q287" i="10" s="1"/>
  <c r="P300" i="10"/>
  <c r="K300" i="10"/>
  <c r="L286" i="10"/>
  <c r="L287" i="10" s="1"/>
  <c r="K426" i="10"/>
  <c r="L412" i="10"/>
  <c r="L413" i="10" s="1"/>
  <c r="U111" i="10"/>
  <c r="V97" i="10"/>
  <c r="V98" i="10" s="1"/>
  <c r="U48" i="10"/>
  <c r="V34" i="10"/>
  <c r="V35" i="10" s="1"/>
  <c r="L286" i="11"/>
  <c r="L287" i="11" s="1"/>
  <c r="K300" i="11"/>
  <c r="G223" i="11"/>
  <c r="G224" i="11" s="1"/>
  <c r="F237" i="11"/>
  <c r="F48" i="17"/>
  <c r="G34" i="17"/>
  <c r="G35" i="17" s="1"/>
  <c r="U48" i="15"/>
  <c r="V34" i="15"/>
  <c r="V35" i="15" s="1"/>
  <c r="P111" i="10"/>
  <c r="Q97" i="10"/>
  <c r="Q98" i="10" s="1"/>
  <c r="Q349" i="10"/>
  <c r="Q350" i="10" s="1"/>
  <c r="P363" i="10"/>
  <c r="F111" i="10"/>
  <c r="G97" i="10"/>
  <c r="G98" i="10" s="1"/>
  <c r="P48" i="10"/>
  <c r="Q34" i="10"/>
  <c r="Q35" i="10" s="1"/>
  <c r="F174" i="11"/>
  <c r="G160" i="11"/>
  <c r="G161" i="11" s="1"/>
  <c r="G97" i="11"/>
  <c r="G98" i="11" s="1"/>
  <c r="F111" i="11"/>
  <c r="F48" i="11"/>
  <c r="G34" i="11"/>
  <c r="G35" i="11" s="1"/>
  <c r="U237" i="12"/>
  <c r="V223" i="12"/>
  <c r="V224" i="12" s="1"/>
  <c r="Q223" i="10"/>
  <c r="Q224" i="10" s="1"/>
  <c r="P237" i="10"/>
  <c r="P489" i="10"/>
  <c r="Q475" i="10"/>
  <c r="Q476" i="10" s="1"/>
  <c r="U300" i="10"/>
  <c r="V286" i="10"/>
  <c r="V287" i="10" s="1"/>
  <c r="F489" i="10"/>
  <c r="G475" i="10"/>
  <c r="G476" i="10" s="1"/>
  <c r="V286" i="11"/>
  <c r="V287" i="11" s="1"/>
  <c r="U300" i="11"/>
  <c r="L97" i="11"/>
  <c r="L98" i="11" s="1"/>
  <c r="K111" i="11"/>
  <c r="Q34" i="11"/>
  <c r="Q35" i="11" s="1"/>
  <c r="P48" i="11"/>
  <c r="G34" i="12"/>
  <c r="G35" i="12" s="1"/>
  <c r="F48" i="12"/>
  <c r="F57" i="20"/>
  <c r="F58" i="20" s="1"/>
  <c r="F59" i="20" s="1"/>
  <c r="F60" i="20" s="1"/>
  <c r="F50" i="20"/>
  <c r="F51" i="20" s="1"/>
  <c r="L475" i="10"/>
  <c r="L476" i="10" s="1"/>
  <c r="K489" i="10"/>
  <c r="V160" i="10"/>
  <c r="V161" i="10" s="1"/>
  <c r="U174" i="10"/>
  <c r="G349" i="10"/>
  <c r="G350" i="10" s="1"/>
  <c r="F363" i="10"/>
  <c r="F48" i="10"/>
  <c r="G34" i="10"/>
  <c r="G35" i="10" s="1"/>
  <c r="Q223" i="11"/>
  <c r="Q224" i="11" s="1"/>
  <c r="P237" i="11"/>
  <c r="K174" i="11"/>
  <c r="L160" i="11"/>
  <c r="L161" i="11" s="1"/>
  <c r="L34" i="11"/>
  <c r="L35" i="11" s="1"/>
  <c r="K48" i="11"/>
  <c r="U174" i="12"/>
  <c r="V160" i="12"/>
  <c r="V161" i="12" s="1"/>
  <c r="L34" i="14"/>
  <c r="L35" i="14" s="1"/>
  <c r="K48" i="14"/>
  <c r="I20" i="24"/>
  <c r="J20" i="24" s="1"/>
  <c r="K20" i="24" s="1"/>
  <c r="V63" i="10"/>
  <c r="V64" i="10" s="1"/>
  <c r="I23" i="24"/>
  <c r="J23" i="24" s="1"/>
  <c r="K23" i="24" s="1"/>
  <c r="E21" i="24"/>
  <c r="F21" i="24" s="1"/>
  <c r="G21" i="24" s="1"/>
  <c r="Q63" i="11"/>
  <c r="Q64" i="11" s="1"/>
  <c r="E24" i="24"/>
  <c r="F24" i="24" s="1"/>
  <c r="G24" i="24" s="1"/>
  <c r="E8" i="24"/>
  <c r="F8" i="24" s="1"/>
  <c r="G8" i="24" s="1"/>
  <c r="G63" i="10"/>
  <c r="G64" i="10" s="1"/>
  <c r="E11" i="24"/>
  <c r="F11" i="24" s="1"/>
  <c r="G11" i="24" s="1"/>
  <c r="L63" i="11"/>
  <c r="L64" i="11" s="1"/>
  <c r="I9" i="24"/>
  <c r="J9" i="24" s="1"/>
  <c r="K9" i="24" s="1"/>
  <c r="I12" i="24"/>
  <c r="J12" i="24" s="1"/>
  <c r="K12" i="24" s="1"/>
  <c r="V34" i="12"/>
  <c r="V35" i="12" s="1"/>
  <c r="U48" i="12"/>
  <c r="G412" i="10"/>
  <c r="G413" i="10" s="1"/>
  <c r="F426" i="10"/>
  <c r="U237" i="10"/>
  <c r="V223" i="10"/>
  <c r="V224" i="10" s="1"/>
  <c r="V223" i="11"/>
  <c r="V224" i="11" s="1"/>
  <c r="U237" i="11"/>
  <c r="U48" i="11"/>
  <c r="V34" i="11"/>
  <c r="V35" i="11" s="1"/>
  <c r="L223" i="10"/>
  <c r="L224" i="10" s="1"/>
  <c r="K237" i="10"/>
  <c r="F49" i="16"/>
  <c r="F51" i="16" s="1"/>
  <c r="G51" i="16" s="1"/>
  <c r="G52" i="16" s="1"/>
  <c r="F56" i="16"/>
  <c r="F57" i="16" s="1"/>
  <c r="F59" i="16" s="1"/>
  <c r="U111" i="11"/>
  <c r="V97" i="11"/>
  <c r="V98" i="11" s="1"/>
  <c r="G223" i="12"/>
  <c r="G224" i="12" s="1"/>
  <c r="F237" i="12"/>
  <c r="G223" i="10"/>
  <c r="G224" i="10" s="1"/>
  <c r="F237" i="10"/>
  <c r="L34" i="10"/>
  <c r="L35" i="10" s="1"/>
  <c r="K48" i="10"/>
  <c r="U174" i="11"/>
  <c r="V160" i="11"/>
  <c r="V161" i="11" s="1"/>
  <c r="K174" i="12"/>
  <c r="L160" i="12"/>
  <c r="L161" i="12" s="1"/>
  <c r="Q34" i="15"/>
  <c r="Q35" i="15" s="1"/>
  <c r="P48" i="15"/>
  <c r="P174" i="10"/>
  <c r="Q160" i="10"/>
  <c r="Q161" i="10" s="1"/>
  <c r="V63" i="11"/>
  <c r="V64" i="11" s="1"/>
  <c r="I21" i="24"/>
  <c r="J21" i="24" s="1"/>
  <c r="K21" i="24" s="1"/>
  <c r="I24" i="24"/>
  <c r="J24" i="24" s="1"/>
  <c r="K24" i="24" s="1"/>
  <c r="U111" i="12"/>
  <c r="V97" i="12"/>
  <c r="V98" i="12" s="1"/>
  <c r="L34" i="12"/>
  <c r="L35" i="12" s="1"/>
  <c r="K48" i="12"/>
  <c r="F48" i="18"/>
  <c r="G34" i="18"/>
  <c r="G35" i="18" s="1"/>
  <c r="F48" i="15"/>
  <c r="G34" i="15"/>
  <c r="G35" i="15" s="1"/>
  <c r="I8" i="24"/>
  <c r="J8" i="24" s="1"/>
  <c r="K8" i="24" s="1"/>
  <c r="L63" i="10"/>
  <c r="L64" i="10" s="1"/>
  <c r="I11" i="24"/>
  <c r="J11" i="24" s="1"/>
  <c r="K11" i="24" s="1"/>
  <c r="K50" i="20"/>
  <c r="K51" i="20" s="1"/>
  <c r="K57" i="20"/>
  <c r="K58" i="20" s="1"/>
  <c r="K59" i="20" s="1"/>
  <c r="K60" i="20" s="1"/>
  <c r="K48" i="13"/>
  <c r="L34" i="13"/>
  <c r="L35" i="13" s="1"/>
  <c r="F52" i="20" l="1"/>
  <c r="G52" i="20" s="1"/>
  <c r="G53" i="20" s="1"/>
  <c r="H20" i="19"/>
  <c r="I20" i="19" s="1"/>
  <c r="J20" i="19" s="1"/>
  <c r="L60" i="20"/>
  <c r="L61" i="20" s="1"/>
  <c r="U119" i="12"/>
  <c r="U120" i="12" s="1"/>
  <c r="U121" i="12" s="1"/>
  <c r="U122" i="12" s="1"/>
  <c r="V122" i="12" s="1"/>
  <c r="V123" i="12" s="1"/>
  <c r="U112" i="12"/>
  <c r="U113" i="12" s="1"/>
  <c r="U114" i="12" s="1"/>
  <c r="V114" i="12" s="1"/>
  <c r="V115" i="12" s="1"/>
  <c r="K49" i="10"/>
  <c r="K50" i="10" s="1"/>
  <c r="K56" i="10"/>
  <c r="P497" i="10"/>
  <c r="P490" i="10"/>
  <c r="P491" i="10" s="1"/>
  <c r="P492" i="10" s="1"/>
  <c r="U49" i="15"/>
  <c r="U50" i="15" s="1"/>
  <c r="U51" i="15" s="1"/>
  <c r="V51" i="15" s="1"/>
  <c r="V52" i="15" s="1"/>
  <c r="U56" i="15"/>
  <c r="U57" i="15" s="1"/>
  <c r="U58" i="15" s="1"/>
  <c r="U59" i="15" s="1"/>
  <c r="K427" i="10"/>
  <c r="K428" i="10" s="1"/>
  <c r="K429" i="10" s="1"/>
  <c r="K434" i="10"/>
  <c r="K435" i="10" s="1"/>
  <c r="K436" i="10" s="1"/>
  <c r="K437" i="10" s="1"/>
  <c r="K238" i="11"/>
  <c r="K239" i="11" s="1"/>
  <c r="K245" i="11"/>
  <c r="K246" i="11" s="1"/>
  <c r="K247" i="11" s="1"/>
  <c r="K248" i="11" s="1"/>
  <c r="F308" i="10"/>
  <c r="F301" i="10"/>
  <c r="F302" i="10" s="1"/>
  <c r="U49" i="11"/>
  <c r="U50" i="11" s="1"/>
  <c r="U56" i="11"/>
  <c r="U57" i="11" s="1"/>
  <c r="U58" i="11" s="1"/>
  <c r="U59" i="11" s="1"/>
  <c r="U51" i="11"/>
  <c r="U175" i="12"/>
  <c r="U176" i="12" s="1"/>
  <c r="U177" i="12" s="1"/>
  <c r="V177" i="12" s="1"/>
  <c r="V178" i="12" s="1"/>
  <c r="U182" i="12"/>
  <c r="U183" i="12" s="1"/>
  <c r="U184" i="12" s="1"/>
  <c r="U185" i="12" s="1"/>
  <c r="V185" i="12" s="1"/>
  <c r="V186" i="12" s="1"/>
  <c r="K182" i="11"/>
  <c r="K175" i="11"/>
  <c r="K176" i="11" s="1"/>
  <c r="K177" i="11" s="1"/>
  <c r="U301" i="11"/>
  <c r="U302" i="11" s="1"/>
  <c r="U303" i="11" s="1"/>
  <c r="U308" i="11"/>
  <c r="U309" i="11" s="1"/>
  <c r="U310" i="11" s="1"/>
  <c r="U311" i="11" s="1"/>
  <c r="P245" i="10"/>
  <c r="P246" i="10" s="1"/>
  <c r="P247" i="10" s="1"/>
  <c r="P248" i="10" s="1"/>
  <c r="P238" i="10"/>
  <c r="P239" i="10" s="1"/>
  <c r="P240" i="10" s="1"/>
  <c r="K301" i="11"/>
  <c r="K302" i="11" s="1"/>
  <c r="K303" i="11" s="1"/>
  <c r="K308" i="11"/>
  <c r="K309" i="11" s="1"/>
  <c r="K310" i="11" s="1"/>
  <c r="K311" i="11" s="1"/>
  <c r="P119" i="11"/>
  <c r="P120" i="11" s="1"/>
  <c r="P121" i="11" s="1"/>
  <c r="P122" i="11" s="1"/>
  <c r="P112" i="11"/>
  <c r="P113" i="11" s="1"/>
  <c r="P114" i="11" s="1"/>
  <c r="F301" i="11"/>
  <c r="F302" i="11" s="1"/>
  <c r="F303" i="11" s="1"/>
  <c r="F308" i="11"/>
  <c r="U497" i="10"/>
  <c r="U490" i="10"/>
  <c r="U491" i="10" s="1"/>
  <c r="U492" i="10" s="1"/>
  <c r="K112" i="10"/>
  <c r="K113" i="10" s="1"/>
  <c r="K114" i="10" s="1"/>
  <c r="K119" i="10"/>
  <c r="K56" i="13"/>
  <c r="K57" i="13" s="1"/>
  <c r="K58" i="13" s="1"/>
  <c r="K59" i="13" s="1"/>
  <c r="L59" i="13" s="1"/>
  <c r="L60" i="13" s="1"/>
  <c r="K49" i="13"/>
  <c r="K50" i="13" s="1"/>
  <c r="K51" i="13" s="1"/>
  <c r="K52" i="20"/>
  <c r="L52" i="20" s="1"/>
  <c r="L53" i="20" s="1"/>
  <c r="U175" i="11"/>
  <c r="U176" i="11" s="1"/>
  <c r="U177" i="11" s="1"/>
  <c r="U182" i="11"/>
  <c r="U183" i="11" s="1"/>
  <c r="U184" i="11" s="1"/>
  <c r="U185" i="11" s="1"/>
  <c r="U112" i="11"/>
  <c r="U113" i="11" s="1"/>
  <c r="U119" i="11"/>
  <c r="F49" i="12"/>
  <c r="F50" i="12" s="1"/>
  <c r="F51" i="12" s="1"/>
  <c r="G51" i="12" s="1"/>
  <c r="G52" i="12" s="1"/>
  <c r="F56" i="12"/>
  <c r="F57" i="12" s="1"/>
  <c r="F58" i="12" s="1"/>
  <c r="F59" i="12" s="1"/>
  <c r="K119" i="11"/>
  <c r="K120" i="11" s="1"/>
  <c r="K121" i="11" s="1"/>
  <c r="K122" i="11" s="1"/>
  <c r="K112" i="11"/>
  <c r="K113" i="11" s="1"/>
  <c r="K114" i="11" s="1"/>
  <c r="F112" i="11"/>
  <c r="F113" i="11" s="1"/>
  <c r="F114" i="11" s="1"/>
  <c r="F119" i="11"/>
  <c r="F120" i="11" s="1"/>
  <c r="F121" i="11" s="1"/>
  <c r="F122" i="11" s="1"/>
  <c r="P371" i="10"/>
  <c r="P372" i="10" s="1"/>
  <c r="P373" i="10" s="1"/>
  <c r="P374" i="10" s="1"/>
  <c r="P364" i="10"/>
  <c r="P365" i="10" s="1"/>
  <c r="P366" i="10" s="1"/>
  <c r="F245" i="11"/>
  <c r="F246" i="11" s="1"/>
  <c r="F247" i="11" s="1"/>
  <c r="F248" i="11" s="1"/>
  <c r="F238" i="11"/>
  <c r="F239" i="11" s="1"/>
  <c r="F240" i="11" s="1"/>
  <c r="P308" i="10"/>
  <c r="P309" i="10" s="1"/>
  <c r="P310" i="10" s="1"/>
  <c r="P311" i="10" s="1"/>
  <c r="P301" i="10"/>
  <c r="P302" i="10" s="1"/>
  <c r="P303" i="10" s="1"/>
  <c r="K56" i="15"/>
  <c r="K57" i="15" s="1"/>
  <c r="K58" i="15" s="1"/>
  <c r="K59" i="15" s="1"/>
  <c r="K49" i="15"/>
  <c r="K50" i="15" s="1"/>
  <c r="K51" i="15" s="1"/>
  <c r="L51" i="15" s="1"/>
  <c r="L52" i="15" s="1"/>
  <c r="F56" i="13"/>
  <c r="F57" i="13" s="1"/>
  <c r="F58" i="13" s="1"/>
  <c r="F59" i="13" s="1"/>
  <c r="G59" i="13" s="1"/>
  <c r="G60" i="13" s="1"/>
  <c r="F49" i="13"/>
  <c r="F50" i="13" s="1"/>
  <c r="F51" i="13" s="1"/>
  <c r="K182" i="10"/>
  <c r="K183" i="10" s="1"/>
  <c r="K184" i="10" s="1"/>
  <c r="K185" i="10" s="1"/>
  <c r="K175" i="10"/>
  <c r="K176" i="10" s="1"/>
  <c r="K177" i="10" s="1"/>
  <c r="P175" i="11"/>
  <c r="P176" i="11" s="1"/>
  <c r="P182" i="11"/>
  <c r="P183" i="11" s="1"/>
  <c r="P184" i="11" s="1"/>
  <c r="P185" i="11" s="1"/>
  <c r="P427" i="10"/>
  <c r="P428" i="10" s="1"/>
  <c r="P434" i="10"/>
  <c r="P435" i="10" s="1"/>
  <c r="P436" i="10" s="1"/>
  <c r="P437" i="10" s="1"/>
  <c r="P301" i="11"/>
  <c r="P302" i="11" s="1"/>
  <c r="P303" i="11" s="1"/>
  <c r="P308" i="11"/>
  <c r="P309" i="11" s="1"/>
  <c r="P310" i="11" s="1"/>
  <c r="P311" i="11" s="1"/>
  <c r="F49" i="18"/>
  <c r="F50" i="18" s="1"/>
  <c r="F51" i="18" s="1"/>
  <c r="G51" i="18" s="1"/>
  <c r="G52" i="18" s="1"/>
  <c r="F56" i="18"/>
  <c r="F57" i="18" s="1"/>
  <c r="F58" i="18" s="1"/>
  <c r="F59" i="18" s="1"/>
  <c r="F245" i="12"/>
  <c r="F246" i="12" s="1"/>
  <c r="F247" i="12" s="1"/>
  <c r="F248" i="12" s="1"/>
  <c r="G248" i="12" s="1"/>
  <c r="G249" i="12" s="1"/>
  <c r="F238" i="12"/>
  <c r="F239" i="12" s="1"/>
  <c r="P56" i="10"/>
  <c r="P57" i="10" s="1"/>
  <c r="P58" i="10" s="1"/>
  <c r="P59" i="10" s="1"/>
  <c r="P49" i="10"/>
  <c r="P50" i="10" s="1"/>
  <c r="P51" i="10" s="1"/>
  <c r="K238" i="12"/>
  <c r="K239" i="12" s="1"/>
  <c r="K240" i="12" s="1"/>
  <c r="L240" i="12" s="1"/>
  <c r="L241" i="12" s="1"/>
  <c r="K245" i="12"/>
  <c r="K246" i="12" s="1"/>
  <c r="K247" i="12" s="1"/>
  <c r="K248" i="12" s="1"/>
  <c r="L248" i="12" s="1"/>
  <c r="L249" i="12" s="1"/>
  <c r="G59" i="16"/>
  <c r="G60" i="16" s="1"/>
  <c r="H15" i="19"/>
  <c r="I15" i="19" s="1"/>
  <c r="J15" i="19" s="1"/>
  <c r="U49" i="12"/>
  <c r="U50" i="12" s="1"/>
  <c r="U56" i="12"/>
  <c r="U57" i="12" s="1"/>
  <c r="U58" i="12" s="1"/>
  <c r="U59" i="12" s="1"/>
  <c r="V59" i="12" s="1"/>
  <c r="V60" i="12" s="1"/>
  <c r="U182" i="10"/>
  <c r="U183" i="10" s="1"/>
  <c r="U184" i="10" s="1"/>
  <c r="U185" i="10" s="1"/>
  <c r="U175" i="10"/>
  <c r="U176" i="10" s="1"/>
  <c r="U177" i="10" s="1"/>
  <c r="F490" i="10"/>
  <c r="F491" i="10" s="1"/>
  <c r="F492" i="10" s="1"/>
  <c r="F497" i="10"/>
  <c r="U238" i="12"/>
  <c r="U239" i="12" s="1"/>
  <c r="U240" i="12" s="1"/>
  <c r="V240" i="12" s="1"/>
  <c r="V241" i="12" s="1"/>
  <c r="U245" i="12"/>
  <c r="U246" i="12" s="1"/>
  <c r="U247" i="12" s="1"/>
  <c r="U248" i="12" s="1"/>
  <c r="V248" i="12" s="1"/>
  <c r="V249" i="12" s="1"/>
  <c r="U56" i="10"/>
  <c r="U57" i="10" s="1"/>
  <c r="U58" i="10" s="1"/>
  <c r="U59" i="10" s="1"/>
  <c r="U49" i="10"/>
  <c r="U50" i="10" s="1"/>
  <c r="U51" i="10" s="1"/>
  <c r="K364" i="10"/>
  <c r="K365" i="10" s="1"/>
  <c r="K366" i="10" s="1"/>
  <c r="K371" i="10"/>
  <c r="K372" i="10" s="1"/>
  <c r="K373" i="10" s="1"/>
  <c r="K374" i="10" s="1"/>
  <c r="K49" i="12"/>
  <c r="K50" i="12" s="1"/>
  <c r="K51" i="12" s="1"/>
  <c r="L51" i="12" s="1"/>
  <c r="L52" i="12" s="1"/>
  <c r="K56" i="12"/>
  <c r="K57" i="12" s="1"/>
  <c r="K58" i="12" s="1"/>
  <c r="K59" i="12" s="1"/>
  <c r="P182" i="10"/>
  <c r="P175" i="10"/>
  <c r="P176" i="10" s="1"/>
  <c r="P177" i="10" s="1"/>
  <c r="K175" i="12"/>
  <c r="K176" i="12" s="1"/>
  <c r="K177" i="12" s="1"/>
  <c r="L177" i="12" s="1"/>
  <c r="L178" i="12" s="1"/>
  <c r="K182" i="12"/>
  <c r="K183" i="12" s="1"/>
  <c r="K184" i="12" s="1"/>
  <c r="K185" i="12" s="1"/>
  <c r="L185" i="12" s="1"/>
  <c r="L186" i="12" s="1"/>
  <c r="U245" i="10"/>
  <c r="U246" i="10" s="1"/>
  <c r="U247" i="10" s="1"/>
  <c r="U248" i="10" s="1"/>
  <c r="U238" i="10"/>
  <c r="U239" i="10" s="1"/>
  <c r="U240" i="10" s="1"/>
  <c r="F56" i="10"/>
  <c r="F57" i="10" s="1"/>
  <c r="F58" i="10" s="1"/>
  <c r="F59" i="10" s="1"/>
  <c r="F49" i="10"/>
  <c r="F50" i="10" s="1"/>
  <c r="F51" i="10" s="1"/>
  <c r="P49" i="11"/>
  <c r="P50" i="11" s="1"/>
  <c r="P51" i="11" s="1"/>
  <c r="P56" i="11"/>
  <c r="P57" i="11" s="1"/>
  <c r="P58" i="11" s="1"/>
  <c r="P59" i="11" s="1"/>
  <c r="U364" i="10"/>
  <c r="U365" i="10" s="1"/>
  <c r="U366" i="10" s="1"/>
  <c r="U371" i="10"/>
  <c r="F175" i="10"/>
  <c r="F176" i="10" s="1"/>
  <c r="F177" i="10" s="1"/>
  <c r="F182" i="10"/>
  <c r="F183" i="10" s="1"/>
  <c r="F184" i="10" s="1"/>
  <c r="F185" i="10" s="1"/>
  <c r="F49" i="15"/>
  <c r="F50" i="15" s="1"/>
  <c r="F51" i="15" s="1"/>
  <c r="G51" i="15" s="1"/>
  <c r="G52" i="15" s="1"/>
  <c r="F56" i="15"/>
  <c r="P56" i="15"/>
  <c r="P57" i="15" s="1"/>
  <c r="P58" i="15" s="1"/>
  <c r="P59" i="15" s="1"/>
  <c r="P49" i="15"/>
  <c r="P50" i="15" s="1"/>
  <c r="P51" i="15" s="1"/>
  <c r="Q51" i="15" s="1"/>
  <c r="Q52" i="15" s="1"/>
  <c r="F245" i="10"/>
  <c r="F246" i="10" s="1"/>
  <c r="F247" i="10" s="1"/>
  <c r="F248" i="10" s="1"/>
  <c r="F238" i="10"/>
  <c r="F239" i="10" s="1"/>
  <c r="K245" i="10"/>
  <c r="K238" i="10"/>
  <c r="K239" i="10" s="1"/>
  <c r="K240" i="10" s="1"/>
  <c r="U245" i="11"/>
  <c r="U238" i="11"/>
  <c r="U239" i="11" s="1"/>
  <c r="F434" i="10"/>
  <c r="F427" i="10"/>
  <c r="F428" i="10" s="1"/>
  <c r="K56" i="14"/>
  <c r="K57" i="14" s="1"/>
  <c r="K58" i="14" s="1"/>
  <c r="K59" i="14" s="1"/>
  <c r="L59" i="14" s="1"/>
  <c r="L60" i="14" s="1"/>
  <c r="K49" i="14"/>
  <c r="K50" i="14" s="1"/>
  <c r="K56" i="11"/>
  <c r="K49" i="11"/>
  <c r="K50" i="11" s="1"/>
  <c r="P245" i="11"/>
  <c r="P246" i="11" s="1"/>
  <c r="P247" i="11" s="1"/>
  <c r="P248" i="11" s="1"/>
  <c r="P238" i="11"/>
  <c r="P239" i="11" s="1"/>
  <c r="P240" i="11" s="1"/>
  <c r="F371" i="10"/>
  <c r="F372" i="10" s="1"/>
  <c r="F373" i="10" s="1"/>
  <c r="F374" i="10" s="1"/>
  <c r="F364" i="10"/>
  <c r="F365" i="10" s="1"/>
  <c r="F366" i="10" s="1"/>
  <c r="K497" i="10"/>
  <c r="K498" i="10" s="1"/>
  <c r="K499" i="10" s="1"/>
  <c r="K500" i="10" s="1"/>
  <c r="K490" i="10"/>
  <c r="K491" i="10" s="1"/>
  <c r="K492" i="10" s="1"/>
  <c r="G60" i="20"/>
  <c r="G61" i="20" s="1"/>
  <c r="H11" i="19"/>
  <c r="I11" i="19" s="1"/>
  <c r="J11" i="19" s="1"/>
  <c r="U308" i="10"/>
  <c r="U309" i="10" s="1"/>
  <c r="U310" i="10" s="1"/>
  <c r="U311" i="10" s="1"/>
  <c r="U301" i="10"/>
  <c r="U302" i="10" s="1"/>
  <c r="U303" i="10" s="1"/>
  <c r="F56" i="11"/>
  <c r="F57" i="11" s="1"/>
  <c r="F58" i="11" s="1"/>
  <c r="F59" i="11" s="1"/>
  <c r="F49" i="11"/>
  <c r="F50" i="11" s="1"/>
  <c r="F175" i="11"/>
  <c r="F176" i="11" s="1"/>
  <c r="F177" i="11" s="1"/>
  <c r="F182" i="11"/>
  <c r="F183" i="11" s="1"/>
  <c r="F184" i="11" s="1"/>
  <c r="F185" i="11" s="1"/>
  <c r="F112" i="10"/>
  <c r="F113" i="10" s="1"/>
  <c r="F119" i="10"/>
  <c r="F120" i="10" s="1"/>
  <c r="F121" i="10" s="1"/>
  <c r="F122" i="10" s="1"/>
  <c r="P112" i="10"/>
  <c r="P113" i="10" s="1"/>
  <c r="P119" i="10"/>
  <c r="P120" i="10" s="1"/>
  <c r="P121" i="10" s="1"/>
  <c r="P122" i="10" s="1"/>
  <c r="F56" i="17"/>
  <c r="F49" i="17"/>
  <c r="F50" i="17" s="1"/>
  <c r="U112" i="10"/>
  <c r="U113" i="10" s="1"/>
  <c r="U114" i="10" s="1"/>
  <c r="U119" i="10"/>
  <c r="K301" i="10"/>
  <c r="K302" i="10" s="1"/>
  <c r="K303" i="10" s="1"/>
  <c r="K308" i="10"/>
  <c r="K309" i="10" s="1"/>
  <c r="K310" i="10" s="1"/>
  <c r="K311" i="10" s="1"/>
  <c r="F119" i="12"/>
  <c r="F120" i="12" s="1"/>
  <c r="F121" i="12" s="1"/>
  <c r="F122" i="12" s="1"/>
  <c r="G122" i="12" s="1"/>
  <c r="G123" i="12" s="1"/>
  <c r="F112" i="12"/>
  <c r="F113" i="12" s="1"/>
  <c r="F49" i="14"/>
  <c r="F50" i="14" s="1"/>
  <c r="F51" i="14" s="1"/>
  <c r="F56" i="14"/>
  <c r="U434" i="10"/>
  <c r="U427" i="10"/>
  <c r="U428" i="10" s="1"/>
  <c r="U429" i="10" s="1"/>
  <c r="F175" i="12"/>
  <c r="F176" i="12" s="1"/>
  <c r="F182" i="12"/>
  <c r="P56" i="14"/>
  <c r="P57" i="14" s="1"/>
  <c r="P58" i="14" s="1"/>
  <c r="P59" i="14" s="1"/>
  <c r="Q59" i="14" s="1"/>
  <c r="Q60" i="14" s="1"/>
  <c r="P49" i="14"/>
  <c r="P50" i="14" s="1"/>
  <c r="P51" i="14" s="1"/>
  <c r="K119" i="12"/>
  <c r="K120" i="12" s="1"/>
  <c r="K121" i="12" s="1"/>
  <c r="K122" i="12" s="1"/>
  <c r="L122" i="12" s="1"/>
  <c r="L123" i="12" s="1"/>
  <c r="K112" i="12"/>
  <c r="K113" i="12" s="1"/>
  <c r="K114" i="12" s="1"/>
  <c r="L114" i="12" s="1"/>
  <c r="L115" i="12" s="1"/>
  <c r="K51" i="10" l="1"/>
  <c r="I7" i="21" s="1"/>
  <c r="U240" i="11"/>
  <c r="V240" i="11" s="1"/>
  <c r="V241" i="11" s="1"/>
  <c r="G185" i="10"/>
  <c r="G186" i="10" s="1"/>
  <c r="E18" i="21"/>
  <c r="F18" i="21" s="1"/>
  <c r="G18" i="21" s="1"/>
  <c r="G240" i="11"/>
  <c r="G241" i="11" s="1"/>
  <c r="E10" i="22"/>
  <c r="F10" i="22" s="1"/>
  <c r="G10" i="22" s="1"/>
  <c r="L51" i="13"/>
  <c r="L52" i="13" s="1"/>
  <c r="H21" i="19"/>
  <c r="I21" i="19" s="1"/>
  <c r="J21" i="19" s="1"/>
  <c r="L177" i="11"/>
  <c r="L178" i="11" s="1"/>
  <c r="I9" i="22"/>
  <c r="J9" i="22" s="1"/>
  <c r="K9" i="22" s="1"/>
  <c r="F183" i="12"/>
  <c r="F184" i="12" s="1"/>
  <c r="F185" i="12"/>
  <c r="G185" i="12" s="1"/>
  <c r="G186" i="12" s="1"/>
  <c r="F57" i="14"/>
  <c r="F58" i="14" s="1"/>
  <c r="F59" i="14"/>
  <c r="G59" i="14" s="1"/>
  <c r="G60" i="14" s="1"/>
  <c r="F114" i="12"/>
  <c r="G114" i="12" s="1"/>
  <c r="G115" i="12" s="1"/>
  <c r="Q9" i="21"/>
  <c r="R9" i="21" s="1"/>
  <c r="S9" i="21" s="1"/>
  <c r="V114" i="10"/>
  <c r="V115" i="10" s="1"/>
  <c r="P114" i="10"/>
  <c r="E17" i="21"/>
  <c r="F17" i="21" s="1"/>
  <c r="G17" i="21" s="1"/>
  <c r="G122" i="10"/>
  <c r="G123" i="10" s="1"/>
  <c r="F51" i="11"/>
  <c r="Q20" i="21"/>
  <c r="R20" i="21" s="1"/>
  <c r="S20" i="21" s="1"/>
  <c r="V311" i="10"/>
  <c r="V312" i="10" s="1"/>
  <c r="L500" i="10"/>
  <c r="L501" i="10" s="1"/>
  <c r="I16" i="21"/>
  <c r="J16" i="21" s="1"/>
  <c r="K16" i="21" s="1"/>
  <c r="Q248" i="11"/>
  <c r="Q249" i="11" s="1"/>
  <c r="M15" i="22"/>
  <c r="N15" i="22" s="1"/>
  <c r="O15" i="22" s="1"/>
  <c r="K51" i="14"/>
  <c r="U246" i="11"/>
  <c r="U247" i="11" s="1"/>
  <c r="U248" i="11"/>
  <c r="F57" i="15"/>
  <c r="F58" i="15" s="1"/>
  <c r="F59" i="15"/>
  <c r="U372" i="10"/>
  <c r="U373" i="10" s="1"/>
  <c r="U374" i="10"/>
  <c r="H7" i="19"/>
  <c r="I7" i="19" s="1"/>
  <c r="J7" i="19" s="1"/>
  <c r="G51" i="10"/>
  <c r="G52" i="10" s="1"/>
  <c r="E7" i="21"/>
  <c r="H19" i="19"/>
  <c r="I19" i="19" s="1"/>
  <c r="J19" i="19" s="1"/>
  <c r="L59" i="12"/>
  <c r="L60" i="12" s="1"/>
  <c r="V51" i="10"/>
  <c r="V52" i="10" s="1"/>
  <c r="Q7" i="21"/>
  <c r="H31" i="19"/>
  <c r="I31" i="19" s="1"/>
  <c r="J31" i="19" s="1"/>
  <c r="F498" i="10"/>
  <c r="F499" i="10" s="1"/>
  <c r="F500" i="10"/>
  <c r="U51" i="12"/>
  <c r="M15" i="21"/>
  <c r="N15" i="21" s="1"/>
  <c r="O15" i="21" s="1"/>
  <c r="Q59" i="10"/>
  <c r="Q60" i="10" s="1"/>
  <c r="G59" i="18"/>
  <c r="G60" i="18" s="1"/>
  <c r="H10" i="19"/>
  <c r="I10" i="19" s="1"/>
  <c r="J10" i="19" s="1"/>
  <c r="P429" i="10"/>
  <c r="M14" i="22"/>
  <c r="N14" i="22" s="1"/>
  <c r="O14" i="22" s="1"/>
  <c r="Q185" i="11"/>
  <c r="Q186" i="11" s="1"/>
  <c r="H12" i="19"/>
  <c r="I12" i="19" s="1"/>
  <c r="J12" i="19" s="1"/>
  <c r="G51" i="13"/>
  <c r="G52" i="13" s="1"/>
  <c r="M12" i="21"/>
  <c r="N12" i="21" s="1"/>
  <c r="O12" i="21" s="1"/>
  <c r="Q303" i="10"/>
  <c r="Q304" i="10" s="1"/>
  <c r="Q366" i="10"/>
  <c r="Q367" i="10" s="1"/>
  <c r="M13" i="21"/>
  <c r="N13" i="21" s="1"/>
  <c r="O13" i="21" s="1"/>
  <c r="I8" i="22"/>
  <c r="J8" i="22" s="1"/>
  <c r="K8" i="22" s="1"/>
  <c r="L114" i="11"/>
  <c r="L115" i="11" s="1"/>
  <c r="U114" i="11"/>
  <c r="Q9" i="22"/>
  <c r="R9" i="22" s="1"/>
  <c r="S9" i="22" s="1"/>
  <c r="V177" i="11"/>
  <c r="V178" i="11" s="1"/>
  <c r="K120" i="10"/>
  <c r="K121" i="10" s="1"/>
  <c r="F309" i="11"/>
  <c r="F310" i="11" s="1"/>
  <c r="L311" i="11"/>
  <c r="L312" i="11" s="1"/>
  <c r="I16" i="22"/>
  <c r="J16" i="22" s="1"/>
  <c r="K16" i="22" s="1"/>
  <c r="V311" i="11"/>
  <c r="V312" i="11" s="1"/>
  <c r="Q16" i="22"/>
  <c r="R16" i="22" s="1"/>
  <c r="S16" i="22" s="1"/>
  <c r="K240" i="11"/>
  <c r="I14" i="21"/>
  <c r="J14" i="21" s="1"/>
  <c r="K14" i="21" s="1"/>
  <c r="L429" i="10"/>
  <c r="L430" i="10" s="1"/>
  <c r="P498" i="10"/>
  <c r="P499" i="10" s="1"/>
  <c r="P500" i="10"/>
  <c r="L303" i="10"/>
  <c r="L304" i="10" s="1"/>
  <c r="I12" i="21"/>
  <c r="J12" i="21" s="1"/>
  <c r="K12" i="21" s="1"/>
  <c r="E12" i="22"/>
  <c r="F12" i="22" s="1"/>
  <c r="G12" i="22" s="1"/>
  <c r="G59" i="11"/>
  <c r="G60" i="11" s="1"/>
  <c r="V240" i="10"/>
  <c r="V241" i="10" s="1"/>
  <c r="Q11" i="21"/>
  <c r="R11" i="21" s="1"/>
  <c r="S11" i="21" s="1"/>
  <c r="I21" i="21"/>
  <c r="J21" i="21" s="1"/>
  <c r="K21" i="21" s="1"/>
  <c r="L374" i="10"/>
  <c r="L375" i="10" s="1"/>
  <c r="L177" i="10"/>
  <c r="L178" i="10" s="1"/>
  <c r="I10" i="21"/>
  <c r="J10" i="21" s="1"/>
  <c r="K10" i="21" s="1"/>
  <c r="H9" i="19"/>
  <c r="I9" i="19" s="1"/>
  <c r="J9" i="19" s="1"/>
  <c r="G59" i="12"/>
  <c r="G60" i="12" s="1"/>
  <c r="M8" i="22"/>
  <c r="N8" i="22" s="1"/>
  <c r="O8" i="22" s="1"/>
  <c r="Q114" i="11"/>
  <c r="Q115" i="11" s="1"/>
  <c r="H28" i="19"/>
  <c r="I28" i="19" s="1"/>
  <c r="J28" i="19" s="1"/>
  <c r="Q51" i="14"/>
  <c r="Q52" i="14" s="1"/>
  <c r="G51" i="14"/>
  <c r="G52" i="14" s="1"/>
  <c r="H13" i="19"/>
  <c r="I13" i="19" s="1"/>
  <c r="J13" i="19" s="1"/>
  <c r="I20" i="21"/>
  <c r="J20" i="21" s="1"/>
  <c r="K20" i="21" s="1"/>
  <c r="L311" i="10"/>
  <c r="L312" i="10" s="1"/>
  <c r="F51" i="17"/>
  <c r="Q122" i="10"/>
  <c r="Q123" i="10" s="1"/>
  <c r="M17" i="21"/>
  <c r="N17" i="21" s="1"/>
  <c r="O17" i="21" s="1"/>
  <c r="G366" i="10"/>
  <c r="G367" i="10" s="1"/>
  <c r="E13" i="21"/>
  <c r="F13" i="21" s="1"/>
  <c r="G13" i="21" s="1"/>
  <c r="K51" i="11"/>
  <c r="F435" i="10"/>
  <c r="F436" i="10" s="1"/>
  <c r="F437" i="10"/>
  <c r="I11" i="21"/>
  <c r="J11" i="21" s="1"/>
  <c r="K11" i="21" s="1"/>
  <c r="L240" i="10"/>
  <c r="L241" i="10" s="1"/>
  <c r="G248" i="10"/>
  <c r="G249" i="10" s="1"/>
  <c r="E19" i="21"/>
  <c r="F19" i="21" s="1"/>
  <c r="G19" i="21" s="1"/>
  <c r="Q13" i="21"/>
  <c r="R13" i="21" s="1"/>
  <c r="S13" i="21" s="1"/>
  <c r="V366" i="10"/>
  <c r="V367" i="10" s="1"/>
  <c r="E15" i="21"/>
  <c r="F15" i="21" s="1"/>
  <c r="G15" i="21" s="1"/>
  <c r="G59" i="10"/>
  <c r="G60" i="10" s="1"/>
  <c r="V59" i="10"/>
  <c r="V60" i="10" s="1"/>
  <c r="Q15" i="21"/>
  <c r="R15" i="21" s="1"/>
  <c r="S15" i="21" s="1"/>
  <c r="E8" i="21"/>
  <c r="F8" i="21" s="1"/>
  <c r="G8" i="21" s="1"/>
  <c r="G492" i="10"/>
  <c r="G493" i="10" s="1"/>
  <c r="F240" i="12"/>
  <c r="G240" i="12" s="1"/>
  <c r="G241" i="12" s="1"/>
  <c r="M22" i="21"/>
  <c r="N22" i="21" s="1"/>
  <c r="O22" i="21" s="1"/>
  <c r="Q437" i="10"/>
  <c r="Q438" i="10" s="1"/>
  <c r="M20" i="21"/>
  <c r="N20" i="21" s="1"/>
  <c r="O20" i="21" s="1"/>
  <c r="Q311" i="10"/>
  <c r="Q312" i="10" s="1"/>
  <c r="M21" i="21"/>
  <c r="N21" i="21" s="1"/>
  <c r="O21" i="21" s="1"/>
  <c r="Q374" i="10"/>
  <c r="Q375" i="10" s="1"/>
  <c r="L122" i="11"/>
  <c r="L123" i="11" s="1"/>
  <c r="I13" i="22"/>
  <c r="J13" i="22" s="1"/>
  <c r="K13" i="22" s="1"/>
  <c r="U120" i="11"/>
  <c r="U121" i="11" s="1"/>
  <c r="L114" i="10"/>
  <c r="L115" i="10" s="1"/>
  <c r="I9" i="21"/>
  <c r="J9" i="21" s="1"/>
  <c r="K9" i="21" s="1"/>
  <c r="E11" i="22"/>
  <c r="F11" i="22" s="1"/>
  <c r="G11" i="22" s="1"/>
  <c r="G303" i="11"/>
  <c r="G304" i="11" s="1"/>
  <c r="L303" i="11"/>
  <c r="L304" i="11" s="1"/>
  <c r="I11" i="22"/>
  <c r="J11" i="22" s="1"/>
  <c r="K11" i="22" s="1"/>
  <c r="Q11" i="22"/>
  <c r="R11" i="22" s="1"/>
  <c r="S11" i="22" s="1"/>
  <c r="V303" i="11"/>
  <c r="V304" i="11" s="1"/>
  <c r="F303" i="10"/>
  <c r="I15" i="22"/>
  <c r="J15" i="22" s="1"/>
  <c r="K15" i="22" s="1"/>
  <c r="L248" i="11"/>
  <c r="L249" i="11" s="1"/>
  <c r="V59" i="15"/>
  <c r="V60" i="15" s="1"/>
  <c r="H34" i="19"/>
  <c r="I34" i="19" s="1"/>
  <c r="J34" i="19" s="1"/>
  <c r="L51" i="10"/>
  <c r="L52" i="10" s="1"/>
  <c r="Q14" i="21"/>
  <c r="R14" i="21" s="1"/>
  <c r="S14" i="21" s="1"/>
  <c r="V429" i="10"/>
  <c r="V430" i="10" s="1"/>
  <c r="E14" i="22"/>
  <c r="F14" i="22" s="1"/>
  <c r="G14" i="22" s="1"/>
  <c r="G185" i="11"/>
  <c r="G186" i="11" s="1"/>
  <c r="G374" i="10"/>
  <c r="G375" i="10" s="1"/>
  <c r="E21" i="21"/>
  <c r="F21" i="21" s="1"/>
  <c r="G21" i="21" s="1"/>
  <c r="K246" i="10"/>
  <c r="K247" i="10" s="1"/>
  <c r="M12" i="22"/>
  <c r="N12" i="22" s="1"/>
  <c r="O12" i="22" s="1"/>
  <c r="Q59" i="11"/>
  <c r="Q60" i="11" s="1"/>
  <c r="Q177" i="10"/>
  <c r="Q178" i="10" s="1"/>
  <c r="M10" i="21"/>
  <c r="N10" i="21" s="1"/>
  <c r="O10" i="21" s="1"/>
  <c r="V177" i="10"/>
  <c r="V178" i="10" s="1"/>
  <c r="Q10" i="21"/>
  <c r="R10" i="21" s="1"/>
  <c r="S10" i="21" s="1"/>
  <c r="Q311" i="11"/>
  <c r="Q312" i="11" s="1"/>
  <c r="M16" i="22"/>
  <c r="N16" i="22" s="1"/>
  <c r="O16" i="22" s="1"/>
  <c r="E13" i="22"/>
  <c r="F13" i="22" s="1"/>
  <c r="G13" i="22" s="1"/>
  <c r="G122" i="11"/>
  <c r="G123" i="11" s="1"/>
  <c r="Q8" i="21"/>
  <c r="R8" i="21" s="1"/>
  <c r="S8" i="21" s="1"/>
  <c r="V492" i="10"/>
  <c r="V493" i="10" s="1"/>
  <c r="M11" i="21"/>
  <c r="N11" i="21" s="1"/>
  <c r="O11" i="21" s="1"/>
  <c r="Q240" i="10"/>
  <c r="Q241" i="10" s="1"/>
  <c r="Q7" i="22"/>
  <c r="H32" i="19"/>
  <c r="I32" i="19" s="1"/>
  <c r="J32" i="19" s="1"/>
  <c r="V51" i="11"/>
  <c r="V52" i="11" s="1"/>
  <c r="K57" i="10"/>
  <c r="K58" i="10" s="1"/>
  <c r="K59" i="10"/>
  <c r="F177" i="12"/>
  <c r="G177" i="12" s="1"/>
  <c r="G178" i="12" s="1"/>
  <c r="U435" i="10"/>
  <c r="U436" i="10" s="1"/>
  <c r="U120" i="10"/>
  <c r="U121" i="10" s="1"/>
  <c r="F57" i="17"/>
  <c r="F58" i="17" s="1"/>
  <c r="F114" i="10"/>
  <c r="G177" i="11"/>
  <c r="G178" i="11" s="1"/>
  <c r="E9" i="22"/>
  <c r="F9" i="22" s="1"/>
  <c r="G9" i="22" s="1"/>
  <c r="V303" i="10"/>
  <c r="V304" i="10" s="1"/>
  <c r="Q12" i="21"/>
  <c r="R12" i="21" s="1"/>
  <c r="S12" i="21" s="1"/>
  <c r="I8" i="21"/>
  <c r="J8" i="21" s="1"/>
  <c r="K8" i="21" s="1"/>
  <c r="L492" i="10"/>
  <c r="L493" i="10" s="1"/>
  <c r="M10" i="22"/>
  <c r="N10" i="22" s="1"/>
  <c r="O10" i="22" s="1"/>
  <c r="Q240" i="11"/>
  <c r="Q241" i="11" s="1"/>
  <c r="K57" i="11"/>
  <c r="K58" i="11" s="1"/>
  <c r="F429" i="10"/>
  <c r="F240" i="10"/>
  <c r="Q59" i="15"/>
  <c r="Q60" i="15" s="1"/>
  <c r="H29" i="19"/>
  <c r="I29" i="19" s="1"/>
  <c r="J29" i="19" s="1"/>
  <c r="E10" i="21"/>
  <c r="F10" i="21" s="1"/>
  <c r="G10" i="21" s="1"/>
  <c r="G177" i="10"/>
  <c r="G178" i="10" s="1"/>
  <c r="M7" i="22"/>
  <c r="H26" i="19"/>
  <c r="I26" i="19" s="1"/>
  <c r="J26" i="19" s="1"/>
  <c r="Q51" i="11"/>
  <c r="Q52" i="11" s="1"/>
  <c r="Q19" i="21"/>
  <c r="R19" i="21" s="1"/>
  <c r="S19" i="21" s="1"/>
  <c r="V248" i="10"/>
  <c r="V249" i="10" s="1"/>
  <c r="P183" i="10"/>
  <c r="P184" i="10" s="1"/>
  <c r="L366" i="10"/>
  <c r="L367" i="10" s="1"/>
  <c r="I13" i="21"/>
  <c r="J13" i="21" s="1"/>
  <c r="K13" i="21" s="1"/>
  <c r="Q18" i="21"/>
  <c r="R18" i="21" s="1"/>
  <c r="S18" i="21" s="1"/>
  <c r="V185" i="10"/>
  <c r="V186" i="10" s="1"/>
  <c r="H25" i="19"/>
  <c r="I25" i="19" s="1"/>
  <c r="J25" i="19" s="1"/>
  <c r="M7" i="21"/>
  <c r="Q51" i="10"/>
  <c r="Q52" i="10" s="1"/>
  <c r="M11" i="22"/>
  <c r="N11" i="22" s="1"/>
  <c r="O11" i="22" s="1"/>
  <c r="Q303" i="11"/>
  <c r="Q304" i="11" s="1"/>
  <c r="P177" i="11"/>
  <c r="L185" i="10"/>
  <c r="L186" i="10" s="1"/>
  <c r="I18" i="21"/>
  <c r="J18" i="21" s="1"/>
  <c r="K18" i="21" s="1"/>
  <c r="H23" i="19"/>
  <c r="I23" i="19" s="1"/>
  <c r="J23" i="19" s="1"/>
  <c r="L59" i="15"/>
  <c r="L60" i="15" s="1"/>
  <c r="E15" i="22"/>
  <c r="F15" i="22" s="1"/>
  <c r="G15" i="22" s="1"/>
  <c r="G248" i="11"/>
  <c r="G249" i="11" s="1"/>
  <c r="G114" i="11"/>
  <c r="G115" i="11" s="1"/>
  <c r="E8" i="22"/>
  <c r="F8" i="22" s="1"/>
  <c r="G8" i="22" s="1"/>
  <c r="Q14" i="22"/>
  <c r="R14" i="22" s="1"/>
  <c r="S14" i="22" s="1"/>
  <c r="V185" i="11"/>
  <c r="V186" i="11" s="1"/>
  <c r="U498" i="10"/>
  <c r="U499" i="10" s="1"/>
  <c r="M13" i="22"/>
  <c r="N13" i="22" s="1"/>
  <c r="O13" i="22" s="1"/>
  <c r="Q122" i="11"/>
  <c r="Q123" i="11" s="1"/>
  <c r="Q248" i="10"/>
  <c r="Q249" i="10" s="1"/>
  <c r="M19" i="21"/>
  <c r="N19" i="21" s="1"/>
  <c r="O19" i="21" s="1"/>
  <c r="K183" i="11"/>
  <c r="K184" i="11" s="1"/>
  <c r="K185" i="11"/>
  <c r="V59" i="11"/>
  <c r="V60" i="11" s="1"/>
  <c r="Q12" i="22"/>
  <c r="R12" i="22" s="1"/>
  <c r="S12" i="22" s="1"/>
  <c r="F309" i="10"/>
  <c r="F310" i="10" s="1"/>
  <c r="F311" i="10"/>
  <c r="I22" i="21"/>
  <c r="J22" i="21" s="1"/>
  <c r="K22" i="21" s="1"/>
  <c r="L437" i="10"/>
  <c r="L438" i="10" s="1"/>
  <c r="M8" i="21"/>
  <c r="N8" i="21" s="1"/>
  <c r="O8" i="21" s="1"/>
  <c r="Q492" i="10"/>
  <c r="Q493" i="10" s="1"/>
  <c r="H17" i="19" l="1"/>
  <c r="I17" i="19" s="1"/>
  <c r="J17" i="19" s="1"/>
  <c r="Q10" i="22"/>
  <c r="R10" i="22" s="1"/>
  <c r="S10" i="22" s="1"/>
  <c r="K59" i="11"/>
  <c r="I12" i="22" s="1"/>
  <c r="J12" i="22" s="1"/>
  <c r="K12" i="22" s="1"/>
  <c r="E11" i="21"/>
  <c r="F11" i="21" s="1"/>
  <c r="G11" i="21" s="1"/>
  <c r="G240" i="10"/>
  <c r="G241" i="10" s="1"/>
  <c r="I27" i="24"/>
  <c r="R7" i="22"/>
  <c r="L51" i="11"/>
  <c r="L52" i="11" s="1"/>
  <c r="H18" i="19"/>
  <c r="I18" i="19" s="1"/>
  <c r="J18" i="19" s="1"/>
  <c r="I7" i="22"/>
  <c r="M16" i="21"/>
  <c r="N16" i="21" s="1"/>
  <c r="O16" i="21" s="1"/>
  <c r="Q500" i="10"/>
  <c r="Q501" i="10" s="1"/>
  <c r="G500" i="10"/>
  <c r="G501" i="10" s="1"/>
  <c r="E16" i="21"/>
  <c r="F16" i="21" s="1"/>
  <c r="G16" i="21" s="1"/>
  <c r="H22" i="19"/>
  <c r="I22" i="19" s="1"/>
  <c r="J22" i="19" s="1"/>
  <c r="L51" i="14"/>
  <c r="L52" i="14" s="1"/>
  <c r="G303" i="10"/>
  <c r="G304" i="10" s="1"/>
  <c r="E12" i="21"/>
  <c r="F12" i="21" s="1"/>
  <c r="G12" i="21" s="1"/>
  <c r="E22" i="21"/>
  <c r="F22" i="21" s="1"/>
  <c r="G22" i="21" s="1"/>
  <c r="G437" i="10"/>
  <c r="G438" i="10" s="1"/>
  <c r="M14" i="21"/>
  <c r="N14" i="21" s="1"/>
  <c r="O14" i="21" s="1"/>
  <c r="Q429" i="10"/>
  <c r="Q430" i="10" s="1"/>
  <c r="V374" i="10"/>
  <c r="V375" i="10" s="1"/>
  <c r="Q21" i="21"/>
  <c r="R21" i="21" s="1"/>
  <c r="S21" i="21" s="1"/>
  <c r="Q15" i="22"/>
  <c r="R15" i="22" s="1"/>
  <c r="S15" i="22" s="1"/>
  <c r="V248" i="11"/>
  <c r="V249" i="11" s="1"/>
  <c r="Q114" i="10"/>
  <c r="Q115" i="10" s="1"/>
  <c r="M9" i="21"/>
  <c r="N9" i="21" s="1"/>
  <c r="O9" i="21" s="1"/>
  <c r="G114" i="10"/>
  <c r="G115" i="10" s="1"/>
  <c r="E9" i="21"/>
  <c r="F9" i="21" s="1"/>
  <c r="G9" i="21" s="1"/>
  <c r="I10" i="22"/>
  <c r="J10" i="22" s="1"/>
  <c r="K10" i="22" s="1"/>
  <c r="L240" i="11"/>
  <c r="L241" i="11" s="1"/>
  <c r="E20" i="21"/>
  <c r="F20" i="21" s="1"/>
  <c r="G20" i="21" s="1"/>
  <c r="G311" i="10"/>
  <c r="G312" i="10" s="1"/>
  <c r="U500" i="10"/>
  <c r="Q177" i="11"/>
  <c r="Q178" i="11" s="1"/>
  <c r="M9" i="22"/>
  <c r="N9" i="22" s="1"/>
  <c r="O9" i="22" s="1"/>
  <c r="N7" i="21"/>
  <c r="E26" i="24"/>
  <c r="N7" i="22"/>
  <c r="E27" i="24"/>
  <c r="U122" i="10"/>
  <c r="K248" i="10"/>
  <c r="U122" i="11"/>
  <c r="K122" i="10"/>
  <c r="V114" i="11"/>
  <c r="V115" i="11" s="1"/>
  <c r="Q8" i="22"/>
  <c r="R8" i="22" s="1"/>
  <c r="S8" i="22" s="1"/>
  <c r="H33" i="19"/>
  <c r="I33" i="19" s="1"/>
  <c r="J33" i="19" s="1"/>
  <c r="V51" i="12"/>
  <c r="V52" i="12" s="1"/>
  <c r="I26" i="24"/>
  <c r="R7" i="21"/>
  <c r="E14" i="24"/>
  <c r="F7" i="21"/>
  <c r="E7" i="22"/>
  <c r="H8" i="19"/>
  <c r="I8" i="19" s="1"/>
  <c r="J8" i="19" s="1"/>
  <c r="G51" i="11"/>
  <c r="G52" i="11" s="1"/>
  <c r="I15" i="21"/>
  <c r="J15" i="21" s="1"/>
  <c r="K15" i="21" s="1"/>
  <c r="L59" i="10"/>
  <c r="L60" i="10" s="1"/>
  <c r="G59" i="15"/>
  <c r="G60" i="15" s="1"/>
  <c r="H14" i="19"/>
  <c r="I14" i="19" s="1"/>
  <c r="J14" i="19" s="1"/>
  <c r="L185" i="11"/>
  <c r="L186" i="11" s="1"/>
  <c r="I14" i="22"/>
  <c r="J14" i="22" s="1"/>
  <c r="K14" i="22" s="1"/>
  <c r="P185" i="10"/>
  <c r="G429" i="10"/>
  <c r="G430" i="10" s="1"/>
  <c r="E14" i="21"/>
  <c r="F14" i="21" s="1"/>
  <c r="G14" i="21" s="1"/>
  <c r="F59" i="17"/>
  <c r="G59" i="17" s="1"/>
  <c r="G60" i="17" s="1"/>
  <c r="U437" i="10"/>
  <c r="J7" i="21"/>
  <c r="I14" i="24"/>
  <c r="G51" i="17"/>
  <c r="G52" i="17" s="1"/>
  <c r="H27" i="19"/>
  <c r="I27" i="19" s="1"/>
  <c r="J27" i="19" s="1"/>
  <c r="F311" i="11"/>
  <c r="L59" i="11" l="1"/>
  <c r="L60" i="11" s="1"/>
  <c r="S7" i="21"/>
  <c r="K26" i="24" s="1"/>
  <c r="J26" i="24"/>
  <c r="V500" i="10"/>
  <c r="V501" i="10" s="1"/>
  <c r="Q16" i="21"/>
  <c r="R16" i="21" s="1"/>
  <c r="S16" i="21" s="1"/>
  <c r="G7" i="21"/>
  <c r="G14" i="24" s="1"/>
  <c r="F14" i="24"/>
  <c r="L122" i="10"/>
  <c r="L123" i="10" s="1"/>
  <c r="I17" i="21"/>
  <c r="J17" i="21" s="1"/>
  <c r="K17" i="21" s="1"/>
  <c r="J27" i="24"/>
  <c r="S7" i="22"/>
  <c r="K27" i="24" s="1"/>
  <c r="Q22" i="21"/>
  <c r="R22" i="21" s="1"/>
  <c r="S22" i="21" s="1"/>
  <c r="V437" i="10"/>
  <c r="V438" i="10" s="1"/>
  <c r="L248" i="10"/>
  <c r="L249" i="10" s="1"/>
  <c r="I19" i="21"/>
  <c r="J19" i="21" s="1"/>
  <c r="K19" i="21" s="1"/>
  <c r="E16" i="22"/>
  <c r="F16" i="22" s="1"/>
  <c r="G16" i="22" s="1"/>
  <c r="G311" i="11"/>
  <c r="G312" i="11" s="1"/>
  <c r="J14" i="24"/>
  <c r="K7" i="21"/>
  <c r="K14" i="24" s="1"/>
  <c r="V122" i="11"/>
  <c r="V123" i="11" s="1"/>
  <c r="Q13" i="22"/>
  <c r="R13" i="22" s="1"/>
  <c r="S13" i="22" s="1"/>
  <c r="F27" i="24"/>
  <c r="O7" i="22"/>
  <c r="G27" i="24" s="1"/>
  <c r="J7" i="22"/>
  <c r="I15" i="24"/>
  <c r="M18" i="21"/>
  <c r="N18" i="21" s="1"/>
  <c r="O18" i="21" s="1"/>
  <c r="Q185" i="10"/>
  <c r="Q186" i="10" s="1"/>
  <c r="E15" i="24"/>
  <c r="F7" i="22"/>
  <c r="V122" i="10"/>
  <c r="V123" i="10" s="1"/>
  <c r="Q17" i="21"/>
  <c r="R17" i="21" s="1"/>
  <c r="S17" i="21" s="1"/>
  <c r="F26" i="24"/>
  <c r="O7" i="21"/>
  <c r="G26" i="24" s="1"/>
  <c r="F15" i="24" l="1"/>
  <c r="G7" i="22"/>
  <c r="G15" i="24" s="1"/>
  <c r="K7" i="22"/>
  <c r="K15" i="24" s="1"/>
  <c r="J15" i="24"/>
</calcChain>
</file>

<file path=xl/comments1.xml><?xml version="1.0" encoding="utf-8"?>
<comments xmlns="http://schemas.openxmlformats.org/spreadsheetml/2006/main">
  <authors>
    <author>andrya.eagen</author>
  </authors>
  <commentList>
    <comment ref="D448" authorId="0" shapeId="0">
      <text>
        <r>
          <rPr>
            <b/>
            <sz val="9"/>
            <color indexed="81"/>
            <rFont val="Tahoma"/>
            <family val="2"/>
          </rPr>
          <t>andrya.eagen:</t>
        </r>
        <r>
          <rPr>
            <sz val="9"/>
            <color indexed="81"/>
            <rFont val="Tahoma"/>
            <family val="2"/>
          </rPr>
          <t xml:space="preserve">
EPI's 10th Percentile
</t>
        </r>
      </text>
    </comment>
  </commentList>
</comments>
</file>

<file path=xl/sharedStrings.xml><?xml version="1.0" encoding="utf-8"?>
<sst xmlns="http://schemas.openxmlformats.org/spreadsheetml/2006/main" count="2862" uniqueCount="186">
  <si>
    <t>Description</t>
  </si>
  <si>
    <t>CK</t>
  </si>
  <si>
    <t>Rate</t>
  </si>
  <si>
    <t>Total</t>
  </si>
  <si>
    <t>Distribution Losses</t>
  </si>
  <si>
    <t>Service Charge</t>
  </si>
  <si>
    <t>SMIRR</t>
  </si>
  <si>
    <t>Distribution Volumeric Charge</t>
  </si>
  <si>
    <t>Low Voltage Rate</t>
  </si>
  <si>
    <t>LRAMVA Recovery</t>
  </si>
  <si>
    <t>Rate Rider for Tax Change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</si>
  <si>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</si>
  <si>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</si>
  <si>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</si>
  <si>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</si>
  <si>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</si>
  <si>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</si>
  <si>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</si>
  <si>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OCEB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</si>
  <si>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</si>
  <si>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</si>
  <si>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</si>
  <si>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</si>
  <si>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</si>
  <si>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</si>
  <si>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</si>
  <si>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</si>
  <si>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</si>
  <si>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</si>
  <si>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</si>
  <si>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</si>
  <si>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</si>
  <si>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2016 PROPOSED RATES</t>
  </si>
  <si>
    <t>Fixed Monthly Charges</t>
  </si>
  <si>
    <t>Disposition of Residual Historic SM</t>
  </si>
  <si>
    <t>Total Fixed Monthly Charges</t>
  </si>
  <si>
    <t>Variable Charges</t>
  </si>
  <si>
    <t>SUBTOTAL</t>
  </si>
  <si>
    <t>RTSR - Network</t>
  </si>
  <si>
    <t>RTSR - Connection</t>
  </si>
  <si>
    <t>RTSR - Network - Interval</t>
  </si>
  <si>
    <t>RTSR - Connection interval</t>
  </si>
  <si>
    <t>TOTAL Rate Riders/Adders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</si>
  <si>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</si>
  <si>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</si>
  <si>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</si>
  <si>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</si>
  <si>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</si>
  <si>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</si>
  <si>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</si>
  <si>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</si>
  <si>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</si>
  <si>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</si>
  <si>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</si>
  <si>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</si>
  <si>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</si>
  <si>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</si>
  <si>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</si>
  <si>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</si>
  <si>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</si>
  <si>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</si>
  <si>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</si>
  <si>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</si>
  <si>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</si>
  <si>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</si>
  <si>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</si>
  <si>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</si>
  <si>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</si>
  <si>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</si>
  <si>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</si>
  <si>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</si>
  <si>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</si>
  <si>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GS&gt;50 
Non-MUSH</t>
  </si>
  <si>
    <t>GS&gt;50 
MUSH</t>
  </si>
  <si>
    <t>Intermediate
Non-MUSH</t>
  </si>
  <si>
    <t>Intermediate
MUSH</t>
  </si>
  <si>
    <t>Intermediate w/Self Gen</t>
  </si>
  <si>
    <t>Unmetered Scattered</t>
  </si>
  <si>
    <t>Standby</t>
  </si>
  <si>
    <t xml:space="preserve">Sentinel </t>
  </si>
  <si>
    <t>Street</t>
  </si>
  <si>
    <t>CK Rate Zone</t>
  </si>
  <si>
    <t>LRAMVA</t>
  </si>
  <si>
    <t>GS&gt;50 to 4,999</t>
  </si>
  <si>
    <t>Large Use</t>
  </si>
  <si>
    <t>USL</t>
  </si>
  <si>
    <t>Historical Smart Meter</t>
  </si>
  <si>
    <t>LRAM</t>
  </si>
  <si>
    <t>Sentinel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</si>
  <si>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</si>
  <si>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</si>
  <si>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</si>
  <si>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</si>
  <si>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</si>
  <si>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</si>
  <si>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</si>
  <si>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Historic SM</t>
  </si>
  <si>
    <t>GS&gt;50</t>
  </si>
  <si>
    <t>Embedded</t>
  </si>
  <si>
    <t>SME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</si>
  <si>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</si>
  <si>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</si>
  <si>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</si>
  <si>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</si>
  <si>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</si>
  <si>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</si>
  <si>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</si>
  <si>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Group One (2013)</t>
  </si>
  <si>
    <t>Group One (2016)</t>
  </si>
  <si>
    <t>Group Two Disp</t>
  </si>
  <si>
    <t>Tax Sharing</t>
  </si>
  <si>
    <t>Line No.</t>
  </si>
  <si>
    <t>Group One Deferral Disp (2015)</t>
  </si>
  <si>
    <t>Group One Disp (2015)</t>
  </si>
  <si>
    <t>Group One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</si>
  <si>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</si>
  <si>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</si>
  <si>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</si>
  <si>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</si>
  <si>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</si>
  <si>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</si>
  <si>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</si>
  <si>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</si>
  <si>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</si>
  <si>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</si>
  <si>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</si>
  <si>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</si>
  <si>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</si>
  <si>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GS Disp (2016)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</si>
  <si>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</si>
  <si>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</si>
  <si>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</si>
  <si>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</si>
  <si>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</si>
  <si>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</si>
  <si>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</si>
  <si>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</si>
  <si>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</si>
  <si>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</si>
  <si>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</si>
  <si>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</si>
  <si>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</si>
  <si>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</si>
  <si>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</si>
  <si>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</si>
  <si>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</si>
  <si>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2016 Cost of Service Application, EB-2015-0061</t>
  </si>
  <si>
    <t>Bill Impact Summary</t>
  </si>
  <si>
    <t>General Service &gt; 50 - 4,999 kW</t>
  </si>
  <si>
    <t xml:space="preserve">General Service &gt; 50 - 4,999 kW 
(From Intermediate) </t>
  </si>
  <si>
    <t>Large Use
(From Intermediate w/Self Gen)</t>
  </si>
  <si>
    <t>General Service &gt; 50 - 4,999 kW
(From General Service &lt; 50 kW)</t>
  </si>
  <si>
    <t>Embedded Distribution
(From General Service &gt; 50 kW)</t>
  </si>
  <si>
    <t>% Increase (Decrease)</t>
  </si>
  <si>
    <t>Bill Impact Analysis - Residential</t>
  </si>
  <si>
    <t>800 kWh (Typical)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</si>
  <si>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</si>
  <si>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</si>
  <si>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</si>
  <si>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</si>
  <si>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</si>
  <si>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</si>
  <si>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</si>
  <si>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</si>
  <si>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</si>
  <si>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</si>
  <si>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</si>
  <si>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</si>
  <si>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</si>
  <si>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</si>
  <si>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</si>
  <si>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</si>
  <si>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</si>
  <si>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</si>
  <si>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</si>
  <si>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</si>
  <si>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</si>
  <si>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Bill Impact Analysis - Dutton GS &lt; 50 kW to GS &gt; 50 kW</t>
  </si>
  <si>
    <t>Bill Impact Analysis - CK Intermediate to GS &gt; 50 kW</t>
  </si>
  <si>
    <t>Chatham-Kent</t>
  </si>
  <si>
    <t xml:space="preserve">Strathroy, Parkhill &amp; Mt. Brydges </t>
  </si>
  <si>
    <t>Residential (@ 800 kWh)</t>
  </si>
  <si>
    <t>GS &lt; 50  (@ 2,000 kWh)</t>
  </si>
  <si>
    <t>Alternative A:  Sub-total A of Appendix 2-W Basis</t>
  </si>
  <si>
    <t>Alternative B:  'A' Above with Line Loss Impact Included</t>
  </si>
  <si>
    <t>Alternative C:  Overall Basis (consistent with Table 1-19)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</si>
</sst>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3" fillId="5" borderId="8" xfId="0" applyFont="1" applyFill="1" applyBorder="1" applyAlignment="1"/>
    <xf numFmtId="0" fontId="2" fillId="3" borderId="9" xfId="0" applyFont="1" applyFill="1" applyBorder="1"/>
    <xf numFmtId="0" fontId="0" fillId="3" borderId="3" xfId="0" applyFill="1" applyBorder="1"/>
    <xf numFmtId="0" fontId="0" fillId="0" borderId="11" xfId="0" applyBorder="1"/>
    <xf numFmtId="164" fontId="0" fillId="0" borderId="1" xfId="0" applyNumberFormat="1" applyBorder="1"/>
    <xf numFmtId="0" fontId="0" fillId="2" borderId="7" xfId="0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11" xfId="0" applyFill="1" applyBorder="1"/>
    <xf numFmtId="0" fontId="0" fillId="0" borderId="14" xfId="0" applyFill="1" applyBorder="1"/>
    <xf numFmtId="165" fontId="0" fillId="2" borderId="5" xfId="0" applyNumberForma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6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8" xfId="0" applyBorder="1"/>
    <xf numFmtId="0" fontId="0" fillId="4" borderId="19" xfId="0" applyFill="1" applyBorder="1"/>
    <xf numFmtId="0" fontId="0" fillId="0" borderId="14" xfId="0" applyBorder="1"/>
    <xf numFmtId="0" fontId="0" fillId="4" borderId="20" xfId="0" applyFill="1" applyBorder="1"/>
    <xf numFmtId="0" fontId="0" fillId="0" borderId="21" xfId="0" applyBorder="1"/>
    <xf numFmtId="0" fontId="0" fillId="4" borderId="22" xfId="0" applyFill="1" applyBorder="1"/>
    <xf numFmtId="0" fontId="2" fillId="2" borderId="7" xfId="0" applyFont="1" applyFill="1" applyBorder="1"/>
    <xf numFmtId="0" fontId="0" fillId="2" borderId="23" xfId="0" applyFill="1" applyBorder="1"/>
    <xf numFmtId="10" fontId="0" fillId="4" borderId="20" xfId="1" applyNumberFormat="1" applyFont="1" applyFill="1" applyBorder="1"/>
    <xf numFmtId="0" fontId="0" fillId="0" borderId="7" xfId="0" applyBorder="1"/>
    <xf numFmtId="10" fontId="0" fillId="0" borderId="23" xfId="1" applyNumberFormat="1" applyFont="1" applyBorder="1"/>
    <xf numFmtId="0" fontId="2" fillId="2" borderId="23" xfId="0" applyFont="1" applyFill="1" applyBorder="1"/>
    <xf numFmtId="168" fontId="0" fillId="4" borderId="20" xfId="1" applyNumberFormat="1" applyFont="1" applyFill="1" applyBorder="1"/>
    <xf numFmtId="164" fontId="0" fillId="0" borderId="0" xfId="0" applyNumberFormat="1"/>
    <xf numFmtId="9" fontId="0" fillId="0" borderId="23" xfId="1" applyFont="1" applyBorder="1"/>
    <xf numFmtId="0" fontId="0" fillId="7" borderId="0" xfId="0" applyFill="1"/>
    <xf numFmtId="0" fontId="0" fillId="8" borderId="0" xfId="0" applyFill="1"/>
    <xf numFmtId="164" fontId="2" fillId="3" borderId="1" xfId="0" applyNumberFormat="1" applyFont="1" applyFill="1" applyBorder="1"/>
    <xf numFmtId="0" fontId="0" fillId="0" borderId="25" xfId="0" applyBorder="1"/>
    <xf numFmtId="0" fontId="2" fillId="3" borderId="25" xfId="0" applyFont="1" applyFill="1" applyBorder="1"/>
    <xf numFmtId="164" fontId="0" fillId="0" borderId="25" xfId="0" applyNumberFormat="1" applyBorder="1"/>
    <xf numFmtId="164" fontId="0" fillId="0" borderId="27" xfId="0" applyNumberFormat="1" applyBorder="1"/>
    <xf numFmtId="0" fontId="2" fillId="2" borderId="7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5" fontId="0" fillId="0" borderId="17" xfId="0" applyNumberForma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/>
    <xf numFmtId="0" fontId="3" fillId="5" borderId="33" xfId="0" applyFont="1" applyFill="1" applyBorder="1" applyAlignment="1"/>
    <xf numFmtId="0" fontId="0" fillId="3" borderId="34" xfId="0" applyFill="1" applyBorder="1"/>
    <xf numFmtId="0" fontId="0" fillId="3" borderId="35" xfId="0" applyFill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165" fontId="0" fillId="0" borderId="36" xfId="0" applyNumberFormat="1" applyBorder="1"/>
    <xf numFmtId="165" fontId="0" fillId="0" borderId="37" xfId="0" applyNumberFormat="1" applyBorder="1"/>
    <xf numFmtId="165" fontId="0" fillId="2" borderId="38" xfId="0" applyNumberFormat="1" applyFill="1" applyBorder="1"/>
    <xf numFmtId="165" fontId="0" fillId="2" borderId="39" xfId="0" applyNumberFormat="1" applyFill="1" applyBorder="1"/>
    <xf numFmtId="165" fontId="0" fillId="0" borderId="40" xfId="0" applyNumberFormat="1" applyBorder="1"/>
    <xf numFmtId="165" fontId="0" fillId="0" borderId="41" xfId="0" applyNumberFormat="1" applyBorder="1"/>
    <xf numFmtId="165" fontId="0" fillId="0" borderId="42" xfId="0" applyNumberFormat="1" applyBorder="1"/>
    <xf numFmtId="165" fontId="0" fillId="0" borderId="43" xfId="0" applyNumberFormat="1" applyBorder="1"/>
    <xf numFmtId="165" fontId="0" fillId="0" borderId="44" xfId="0" applyNumberFormat="1" applyBorder="1"/>
    <xf numFmtId="0" fontId="0" fillId="0" borderId="2" xfId="0" applyBorder="1"/>
    <xf numFmtId="164" fontId="0" fillId="0" borderId="26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5" xfId="2" applyNumberFormat="1" applyFont="1" applyBorder="1"/>
    <xf numFmtId="0" fontId="0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165" fontId="0" fillId="2" borderId="1" xfId="0" applyNumberFormat="1" applyFill="1" applyBorder="1"/>
    <xf numFmtId="170" fontId="0" fillId="0" borderId="25" xfId="2" applyNumberFormat="1" applyFont="1" applyBorder="1"/>
    <xf numFmtId="170" fontId="0" fillId="0" borderId="1" xfId="2" applyNumberFormat="1" applyFont="1" applyBorder="1"/>
    <xf numFmtId="0" fontId="2" fillId="3" borderId="36" xfId="0" applyFont="1" applyFill="1" applyBorder="1"/>
    <xf numFmtId="0" fontId="2" fillId="3" borderId="37" xfId="0" applyFont="1" applyFill="1" applyBorder="1"/>
    <xf numFmtId="167" fontId="0" fillId="0" borderId="36" xfId="0" applyNumberFormat="1" applyBorder="1"/>
    <xf numFmtId="0" fontId="0" fillId="0" borderId="37" xfId="0" applyBorder="1"/>
    <xf numFmtId="0" fontId="0" fillId="0" borderId="36" xfId="0" applyBorder="1"/>
    <xf numFmtId="0" fontId="0" fillId="0" borderId="34" xfId="0" applyBorder="1"/>
    <xf numFmtId="0" fontId="0" fillId="0" borderId="52" xfId="0" applyBorder="1"/>
    <xf numFmtId="165" fontId="0" fillId="0" borderId="56" xfId="0" applyNumberFormat="1" applyBorder="1"/>
    <xf numFmtId="165" fontId="0" fillId="0" borderId="15" xfId="0" applyNumberFormat="1" applyBorder="1"/>
    <xf numFmtId="165" fontId="0" fillId="0" borderId="57" xfId="0" applyNumberFormat="1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11" borderId="45" xfId="0" applyNumberFormat="1" applyFont="1" applyFill="1" applyBorder="1"/>
    <xf numFmtId="164" fontId="2" fillId="11" borderId="46" xfId="0" applyNumberFormat="1" applyFont="1" applyFill="1" applyBorder="1"/>
    <xf numFmtId="164" fontId="2" fillId="11" borderId="17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2" borderId="5" xfId="0" applyNumberFormat="1" applyFont="1" applyFill="1" applyBorder="1"/>
    <xf numFmtId="164" fontId="2" fillId="13" borderId="45" xfId="0" applyNumberFormat="1" applyFont="1" applyFill="1" applyBorder="1"/>
    <xf numFmtId="164" fontId="2" fillId="13" borderId="46" xfId="0" applyNumberFormat="1" applyFont="1" applyFill="1" applyBorder="1"/>
    <xf numFmtId="164" fontId="2" fillId="13" borderId="17" xfId="0" applyNumberFormat="1" applyFont="1" applyFill="1" applyBorder="1"/>
    <xf numFmtId="0" fontId="0" fillId="0" borderId="55" xfId="0" applyBorder="1"/>
    <xf numFmtId="0" fontId="2" fillId="3" borderId="55" xfId="0" applyFont="1" applyFill="1" applyBorder="1"/>
    <xf numFmtId="167" fontId="0" fillId="0" borderId="55" xfId="0" applyNumberFormat="1" applyBorder="1"/>
    <xf numFmtId="167" fontId="0" fillId="0" borderId="59" xfId="0" applyNumberFormat="1" applyBorder="1"/>
    <xf numFmtId="167" fontId="2" fillId="11" borderId="58" xfId="0" applyNumberFormat="1" applyFont="1" applyFill="1" applyBorder="1"/>
    <xf numFmtId="167" fontId="2" fillId="11" borderId="60" xfId="0" applyNumberFormat="1" applyFont="1" applyFill="1" applyBorder="1"/>
    <xf numFmtId="0" fontId="2" fillId="3" borderId="61" xfId="0" applyFont="1" applyFill="1" applyBorder="1"/>
    <xf numFmtId="164" fontId="0" fillId="0" borderId="55" xfId="0" applyNumberFormat="1" applyBorder="1"/>
    <xf numFmtId="165" fontId="0" fillId="0" borderId="55" xfId="0" applyNumberFormat="1" applyBorder="1"/>
    <xf numFmtId="0" fontId="2" fillId="12" borderId="24" xfId="0" applyFont="1" applyFill="1" applyBorder="1"/>
    <xf numFmtId="0" fontId="0" fillId="0" borderId="61" xfId="0" applyBorder="1"/>
    <xf numFmtId="0" fontId="0" fillId="0" borderId="59" xfId="0" applyBorder="1"/>
    <xf numFmtId="0" fontId="2" fillId="13" borderId="58" xfId="0" applyFont="1" applyFill="1" applyBorder="1"/>
    <xf numFmtId="0" fontId="2" fillId="13" borderId="60" xfId="0" applyFont="1" applyFill="1" applyBorder="1"/>
    <xf numFmtId="164" fontId="2" fillId="11" borderId="28" xfId="0" applyNumberFormat="1" applyFont="1" applyFill="1" applyBorder="1"/>
    <xf numFmtId="164" fontId="2" fillId="3" borderId="27" xfId="0" applyNumberFormat="1" applyFont="1" applyFill="1" applyBorder="1"/>
    <xf numFmtId="164" fontId="2" fillId="12" borderId="6" xfId="0" applyNumberFormat="1" applyFont="1" applyFill="1" applyBorder="1"/>
    <xf numFmtId="164" fontId="2" fillId="13" borderId="28" xfId="0" applyNumberFormat="1" applyFont="1" applyFill="1" applyBorder="1"/>
    <xf numFmtId="167" fontId="0" fillId="0" borderId="52" xfId="0" applyNumberFormat="1" applyBorder="1"/>
    <xf numFmtId="0" fontId="0" fillId="0" borderId="62" xfId="0" applyBorder="1"/>
    <xf numFmtId="167" fontId="2" fillId="11" borderId="53" xfId="0" applyNumberFormat="1" applyFont="1" applyFill="1" applyBorder="1"/>
    <xf numFmtId="164" fontId="2" fillId="11" borderId="54" xfId="0" applyNumberFormat="1" applyFont="1" applyFill="1" applyBorder="1"/>
    <xf numFmtId="167" fontId="2" fillId="11" borderId="40" xfId="0" applyNumberFormat="1" applyFont="1" applyFill="1" applyBorder="1"/>
    <xf numFmtId="168" fontId="2" fillId="11" borderId="41" xfId="1" applyNumberFormat="1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12" borderId="38" xfId="0" applyFont="1" applyFill="1" applyBorder="1"/>
    <xf numFmtId="0" fontId="2" fillId="12" borderId="39" xfId="0" applyFont="1" applyFill="1" applyBorder="1"/>
    <xf numFmtId="0" fontId="0" fillId="0" borderId="35" xfId="0" applyBorder="1"/>
    <xf numFmtId="0" fontId="2" fillId="13" borderId="53" xfId="0" applyFont="1" applyFill="1" applyBorder="1"/>
    <xf numFmtId="164" fontId="2" fillId="13" borderId="54" xfId="0" applyNumberFormat="1" applyFont="1" applyFill="1" applyBorder="1"/>
    <xf numFmtId="0" fontId="2" fillId="13" borderId="40" xfId="0" applyFont="1" applyFill="1" applyBorder="1"/>
    <xf numFmtId="168" fontId="2" fillId="13" borderId="41" xfId="1" applyNumberFormat="1" applyFont="1" applyFill="1" applyBorder="1"/>
    <xf numFmtId="0" fontId="0" fillId="0" borderId="36" xfId="0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54" xfId="0" applyFont="1" applyFill="1" applyBorder="1"/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/>
    <xf numFmtId="0" fontId="2" fillId="3" borderId="34" xfId="0" applyFont="1" applyFill="1" applyBorder="1" applyAlignment="1">
      <alignment horizontal="center"/>
    </xf>
    <xf numFmtId="0" fontId="2" fillId="12" borderId="38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4" xfId="0" applyFont="1" applyFill="1" applyBorder="1" applyAlignment="1">
      <alignment vertical="center"/>
    </xf>
    <xf numFmtId="0" fontId="2" fillId="13" borderId="40" xfId="0" applyFont="1" applyFill="1" applyBorder="1" applyAlignment="1">
      <alignment horizontal="center"/>
    </xf>
    <xf numFmtId="0" fontId="2" fillId="13" borderId="41" xfId="0" applyFont="1" applyFill="1" applyBorder="1" applyAlignment="1">
      <alignment vertical="center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/>
    <xf numFmtId="0" fontId="2" fillId="0" borderId="0" xfId="0" applyFont="1" applyBorder="1"/>
    <xf numFmtId="0" fontId="2" fillId="0" borderId="47" xfId="0" applyFont="1" applyBorder="1"/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6" xfId="0" applyFont="1" applyFill="1" applyBorder="1"/>
    <xf numFmtId="164" fontId="2" fillId="2" borderId="25" xfId="0" applyNumberFormat="1" applyFont="1" applyFill="1" applyBorder="1"/>
    <xf numFmtId="0" fontId="2" fillId="2" borderId="55" xfId="0" applyFont="1" applyFill="1" applyBorder="1"/>
    <xf numFmtId="168" fontId="2" fillId="2" borderId="37" xfId="1" applyNumberFormat="1" applyFont="1" applyFill="1" applyBorder="1"/>
    <xf numFmtId="0" fontId="2" fillId="2" borderId="63" xfId="0" applyFont="1" applyFill="1" applyBorder="1" applyAlignment="1">
      <alignment horizontal="center"/>
    </xf>
    <xf numFmtId="0" fontId="2" fillId="2" borderId="67" xfId="0" applyFont="1" applyFill="1" applyBorder="1"/>
    <xf numFmtId="0" fontId="2" fillId="2" borderId="63" xfId="0" applyFont="1" applyFill="1" applyBorder="1"/>
    <xf numFmtId="164" fontId="2" fillId="2" borderId="64" xfId="0" applyNumberFormat="1" applyFont="1" applyFill="1" applyBorder="1"/>
    <xf numFmtId="0" fontId="2" fillId="2" borderId="65" xfId="0" applyFont="1" applyFill="1" applyBorder="1"/>
    <xf numFmtId="164" fontId="2" fillId="2" borderId="66" xfId="0" applyNumberFormat="1" applyFont="1" applyFill="1" applyBorder="1"/>
    <xf numFmtId="168" fontId="2" fillId="2" borderId="67" xfId="1" applyNumberFormat="1" applyFont="1" applyFill="1" applyBorder="1"/>
    <xf numFmtId="0" fontId="2" fillId="12" borderId="53" xfId="0" applyFont="1" applyFill="1" applyBorder="1" applyAlignment="1">
      <alignment horizontal="center"/>
    </xf>
    <xf numFmtId="0" fontId="2" fillId="12" borderId="54" xfId="0" applyFont="1" applyFill="1" applyBorder="1" applyAlignment="1">
      <alignment vertical="center"/>
    </xf>
    <xf numFmtId="0" fontId="2" fillId="12" borderId="53" xfId="0" applyFont="1" applyFill="1" applyBorder="1"/>
    <xf numFmtId="164" fontId="2" fillId="12" borderId="46" xfId="0" applyNumberFormat="1" applyFont="1" applyFill="1" applyBorder="1"/>
    <xf numFmtId="0" fontId="2" fillId="12" borderId="58" xfId="0" applyFont="1" applyFill="1" applyBorder="1"/>
    <xf numFmtId="164" fontId="2" fillId="12" borderId="45" xfId="0" applyNumberFormat="1" applyFont="1" applyFill="1" applyBorder="1"/>
    <xf numFmtId="164" fontId="2" fillId="12" borderId="54" xfId="0" applyNumberFormat="1" applyFont="1" applyFill="1" applyBorder="1"/>
    <xf numFmtId="0" fontId="2" fillId="12" borderId="63" xfId="0" applyFont="1" applyFill="1" applyBorder="1" applyAlignment="1">
      <alignment horizontal="center"/>
    </xf>
    <xf numFmtId="0" fontId="2" fillId="12" borderId="67" xfId="0" applyFont="1" applyFill="1" applyBorder="1" applyAlignment="1">
      <alignment vertical="center"/>
    </xf>
    <xf numFmtId="0" fontId="2" fillId="12" borderId="63" xfId="0" applyFont="1" applyFill="1" applyBorder="1"/>
    <xf numFmtId="164" fontId="2" fillId="12" borderId="64" xfId="0" applyNumberFormat="1" applyFont="1" applyFill="1" applyBorder="1"/>
    <xf numFmtId="0" fontId="2" fillId="12" borderId="65" xfId="0" applyFont="1" applyFill="1" applyBorder="1"/>
    <xf numFmtId="164" fontId="2" fillId="12" borderId="66" xfId="0" applyNumberFormat="1" applyFont="1" applyFill="1" applyBorder="1"/>
    <xf numFmtId="168" fontId="2" fillId="12" borderId="67" xfId="1" applyNumberFormat="1" applyFont="1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70" xfId="0" applyNumberFormat="1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164" fontId="2" fillId="3" borderId="72" xfId="0" applyNumberFormat="1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165" fontId="0" fillId="0" borderId="34" xfId="0" applyNumberFormat="1" applyBorder="1"/>
    <xf numFmtId="165" fontId="0" fillId="0" borderId="61" xfId="0" applyNumberFormat="1" applyBorder="1"/>
    <xf numFmtId="170" fontId="0" fillId="10" borderId="25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47" xfId="0" applyFont="1" applyBorder="1"/>
    <xf numFmtId="0" fontId="0" fillId="0" borderId="47" xfId="0" applyBorder="1"/>
    <xf numFmtId="164" fontId="0" fillId="0" borderId="47" xfId="0" applyNumberFormat="1" applyBorder="1"/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7" xfId="0" applyBorder="1"/>
    <xf numFmtId="170" fontId="0" fillId="0" borderId="17" xfId="2" applyNumberFormat="1" applyFont="1" applyBorder="1"/>
    <xf numFmtId="164" fontId="0" fillId="0" borderId="17" xfId="0" applyNumberFormat="1" applyBorder="1"/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vertical="center"/>
    </xf>
    <xf numFmtId="0" fontId="2" fillId="13" borderId="34" xfId="0" applyFont="1" applyFill="1" applyBorder="1" applyAlignment="1">
      <alignment vertical="center"/>
    </xf>
    <xf numFmtId="164" fontId="2" fillId="13" borderId="27" xfId="0" applyNumberFormat="1" applyFont="1" applyFill="1" applyBorder="1" applyAlignment="1">
      <alignment vertical="center"/>
    </xf>
    <xf numFmtId="0" fontId="2" fillId="13" borderId="61" xfId="0" applyFont="1" applyFill="1" applyBorder="1" applyAlignment="1">
      <alignment vertical="center"/>
    </xf>
    <xf numFmtId="164" fontId="2" fillId="13" borderId="3" xfId="0" applyNumberFormat="1" applyFont="1" applyFill="1" applyBorder="1" applyAlignment="1">
      <alignment vertical="center"/>
    </xf>
    <xf numFmtId="164" fontId="2" fillId="11" borderId="73" xfId="0" applyNumberFormat="1" applyFont="1" applyFill="1" applyBorder="1" applyAlignment="1">
      <alignment horizontal="center" vertical="center" wrapText="1"/>
    </xf>
    <xf numFmtId="164" fontId="2" fillId="3" borderId="73" xfId="0" applyNumberFormat="1" applyFont="1" applyFill="1" applyBorder="1"/>
    <xf numFmtId="164" fontId="0" fillId="0" borderId="74" xfId="0" applyNumberFormat="1" applyBorder="1"/>
    <xf numFmtId="164" fontId="0" fillId="0" borderId="75" xfId="0" applyNumberFormat="1" applyBorder="1"/>
    <xf numFmtId="10" fontId="0" fillId="0" borderId="27" xfId="1" applyNumberFormat="1" applyFont="1" applyBorder="1"/>
    <xf numFmtId="10" fontId="0" fillId="0" borderId="28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74" xfId="0" applyNumberFormat="1" applyBorder="1" applyAlignment="1">
      <alignment vertical="center"/>
    </xf>
    <xf numFmtId="10" fontId="0" fillId="0" borderId="27" xfId="1" applyNumberFormat="1" applyFont="1" applyBorder="1" applyAlignment="1">
      <alignment vertical="center"/>
    </xf>
    <xf numFmtId="170" fontId="0" fillId="0" borderId="3" xfId="2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0" fontId="0" fillId="14" borderId="25" xfId="0" applyFill="1" applyBorder="1"/>
    <xf numFmtId="10" fontId="0" fillId="0" borderId="25" xfId="1" applyNumberFormat="1" applyFont="1" applyBorder="1"/>
    <xf numFmtId="0" fontId="2" fillId="11" borderId="73" xfId="0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5" xfId="0" applyBorder="1"/>
    <xf numFmtId="164" fontId="2" fillId="11" borderId="24" xfId="0" applyNumberFormat="1" applyFont="1" applyFill="1" applyBorder="1" applyAlignment="1">
      <alignment horizontal="center" vertical="center" wrapText="1"/>
    </xf>
    <xf numFmtId="164" fontId="0" fillId="0" borderId="60" xfId="0" applyNumberFormat="1" applyBorder="1"/>
    <xf numFmtId="164" fontId="2" fillId="11" borderId="4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0" fontId="0" fillId="13" borderId="12" xfId="0" applyFill="1" applyBorder="1" applyAlignment="1">
      <alignment horizontal="center"/>
    </xf>
    <xf numFmtId="0" fontId="0" fillId="13" borderId="1" xfId="0" applyFill="1" applyBorder="1"/>
    <xf numFmtId="0" fontId="0" fillId="13" borderId="76" xfId="0" applyFill="1" applyBorder="1"/>
    <xf numFmtId="164" fontId="0" fillId="13" borderId="12" xfId="0" applyNumberFormat="1" applyFill="1" applyBorder="1"/>
    <xf numFmtId="164" fontId="0" fillId="13" borderId="1" xfId="0" applyNumberFormat="1" applyFill="1" applyBorder="1"/>
    <xf numFmtId="10" fontId="0" fillId="13" borderId="25" xfId="1" applyNumberFormat="1" applyFont="1" applyFill="1" applyBorder="1"/>
    <xf numFmtId="164" fontId="0" fillId="13" borderId="55" xfId="0" applyNumberFormat="1" applyFill="1" applyBorder="1"/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74" xfId="0" applyFont="1" applyFill="1" applyBorder="1"/>
    <xf numFmtId="164" fontId="8" fillId="11" borderId="4" xfId="0" applyNumberFormat="1" applyFont="1" applyFill="1" applyBorder="1" applyAlignment="1">
      <alignment horizontal="center" vertical="center" wrapText="1"/>
    </xf>
    <xf numFmtId="164" fontId="8" fillId="11" borderId="5" xfId="0" applyNumberFormat="1" applyFont="1" applyFill="1" applyBorder="1" applyAlignment="1">
      <alignment horizontal="center" vertical="center" wrapText="1"/>
    </xf>
    <xf numFmtId="164" fontId="8" fillId="11" borderId="6" xfId="0" applyNumberFormat="1" applyFont="1" applyFill="1" applyBorder="1" applyAlignment="1">
      <alignment horizontal="center" vertical="center" wrapText="1"/>
    </xf>
    <xf numFmtId="164" fontId="8" fillId="11" borderId="2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2" fillId="2" borderId="27" xfId="0" applyFont="1" applyFill="1" applyBorder="1"/>
    <xf numFmtId="0" fontId="0" fillId="13" borderId="25" xfId="0" applyFill="1" applyBorder="1"/>
    <xf numFmtId="0" fontId="0" fillId="0" borderId="28" xfId="0" applyBorder="1"/>
    <xf numFmtId="164" fontId="0" fillId="0" borderId="12" xfId="0" applyNumberFormat="1" applyFill="1" applyBorder="1"/>
    <xf numFmtId="164" fontId="0" fillId="0" borderId="1" xfId="0" applyNumberFormat="1" applyFill="1" applyBorder="1"/>
    <xf numFmtId="10" fontId="0" fillId="0" borderId="25" xfId="1" applyNumberFormat="1" applyFont="1" applyFill="1" applyBorder="1"/>
    <xf numFmtId="0" fontId="0" fillId="0" borderId="17" xfId="0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0" fontId="0" fillId="0" borderId="28" xfId="1" applyNumberFormat="1" applyFont="1" applyFill="1" applyBorder="1"/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/>
    </xf>
    <xf numFmtId="0" fontId="2" fillId="3" borderId="45" xfId="0" applyFont="1" applyFill="1" applyBorder="1"/>
    <xf numFmtId="164" fontId="2" fillId="3" borderId="45" xfId="0" applyNumberFormat="1" applyFont="1" applyFill="1" applyBorder="1"/>
    <xf numFmtId="10" fontId="2" fillId="3" borderId="46" xfId="1" applyNumberFormat="1" applyFont="1" applyFill="1" applyBorder="1"/>
    <xf numFmtId="0" fontId="2" fillId="3" borderId="78" xfId="0" applyFont="1" applyFill="1" applyBorder="1"/>
    <xf numFmtId="164" fontId="8" fillId="2" borderId="16" xfId="0" applyNumberFormat="1" applyFont="1" applyFill="1" applyBorder="1" applyAlignment="1">
      <alignment horizontal="center" vertical="center" wrapText="1"/>
    </xf>
    <xf numFmtId="164" fontId="2" fillId="3" borderId="77" xfId="0" applyNumberFormat="1" applyFont="1" applyFill="1" applyBorder="1"/>
    <xf numFmtId="10" fontId="0" fillId="15" borderId="28" xfId="1" applyNumberFormat="1" applyFont="1" applyFill="1" applyBorder="1"/>
    <xf numFmtId="0" fontId="0" fillId="0" borderId="76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2" fillId="3" borderId="78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vertical="center"/>
    </xf>
    <xf numFmtId="0" fontId="2" fillId="16" borderId="34" xfId="0" applyFont="1" applyFill="1" applyBorder="1" applyAlignment="1">
      <alignment vertical="center"/>
    </xf>
    <xf numFmtId="164" fontId="2" fillId="16" borderId="27" xfId="0" applyNumberFormat="1" applyFont="1" applyFill="1" applyBorder="1" applyAlignment="1">
      <alignment vertical="center"/>
    </xf>
    <xf numFmtId="0" fontId="2" fillId="16" borderId="61" xfId="0" applyFont="1" applyFill="1" applyBorder="1" applyAlignment="1">
      <alignment vertical="center"/>
    </xf>
    <xf numFmtId="164" fontId="2" fillId="16" borderId="3" xfId="0" applyNumberFormat="1" applyFont="1" applyFill="1" applyBorder="1" applyAlignment="1">
      <alignment vertical="center"/>
    </xf>
    <xf numFmtId="0" fontId="2" fillId="2" borderId="77" xfId="0" quotePrefix="1" applyFont="1" applyFill="1" applyBorder="1" applyAlignment="1">
      <alignment horizontal="center"/>
    </xf>
    <xf numFmtId="0" fontId="2" fillId="2" borderId="45" xfId="0" quotePrefix="1" applyFont="1" applyFill="1" applyBorder="1" applyAlignment="1">
      <alignment horizontal="center"/>
    </xf>
    <xf numFmtId="0" fontId="2" fillId="2" borderId="46" xfId="0" quotePrefix="1" applyFont="1" applyFill="1" applyBorder="1" applyAlignment="1">
      <alignment horizontal="center"/>
    </xf>
    <xf numFmtId="164" fontId="2" fillId="2" borderId="77" xfId="0" quotePrefix="1" applyNumberFormat="1" applyFont="1" applyFill="1" applyBorder="1" applyAlignment="1">
      <alignment horizontal="center"/>
    </xf>
    <xf numFmtId="164" fontId="2" fillId="2" borderId="45" xfId="0" quotePrefix="1" applyNumberFormat="1" applyFont="1" applyFill="1" applyBorder="1" applyAlignment="1">
      <alignment horizontal="center"/>
    </xf>
    <xf numFmtId="164" fontId="2" fillId="2" borderId="46" xfId="0" quotePrefix="1" applyNumberFormat="1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"/>
  <sheetViews>
    <sheetView workbookViewId="0">
      <selection activeCell="E16" sqref="E16"/>
    </sheetView>
  </sheetViews>
  <sheetFormatPr defaultRowHeight="15" x14ac:dyDescent="0.25"/>
  <cols>
    <col min="1" max="1" width="56.42578125" customWidth="1"/>
    <col min="2" max="2" width="11.28515625" customWidth="1"/>
  </cols>
  <sheetData>
    <row r="1" spans="1:10" ht="21" x14ac:dyDescent="0.35">
      <c r="A1" s="14" t="s">
        <v>43</v>
      </c>
      <c r="B1" s="14"/>
    </row>
    <row r="2" spans="1:10" ht="21" x14ac:dyDescent="0.35">
      <c r="A2" s="14" t="s">
        <v>44</v>
      </c>
      <c r="B2" s="14"/>
    </row>
    <row r="5" spans="1:10" x14ac:dyDescent="0.25">
      <c r="B5" t="s">
        <v>45</v>
      </c>
      <c r="C5" s="15" t="s">
        <v>46</v>
      </c>
      <c r="D5" s="15" t="s">
        <v>19</v>
      </c>
      <c r="E5" s="15" t="s">
        <v>21</v>
      </c>
      <c r="F5" s="15" t="s">
        <v>20</v>
      </c>
    </row>
    <row r="6" spans="1:10" x14ac:dyDescent="0.25">
      <c r="A6" t="s">
        <v>47</v>
      </c>
      <c r="B6" s="16">
        <v>1.0430999999999999</v>
      </c>
      <c r="C6">
        <v>1.0427999999999999</v>
      </c>
      <c r="D6">
        <v>1.0608</v>
      </c>
      <c r="E6" s="17">
        <v>1.0580000000000001</v>
      </c>
      <c r="F6">
        <v>1.0662</v>
      </c>
    </row>
    <row r="7" spans="1:10" x14ac:dyDescent="0.25">
      <c r="A7" t="s">
        <v>48</v>
      </c>
      <c r="C7" s="17">
        <v>1.0429999999999999</v>
      </c>
      <c r="D7">
        <v>1.0044999999999999</v>
      </c>
    </row>
    <row r="10" spans="1:10" x14ac:dyDescent="0.25">
      <c r="A10" t="s">
        <v>49</v>
      </c>
      <c r="B10" s="18">
        <v>42125</v>
      </c>
      <c r="C10" s="18">
        <v>42491</v>
      </c>
    </row>
    <row r="11" spans="1:10" x14ac:dyDescent="0.25">
      <c r="A11" t="s">
        <v>50</v>
      </c>
      <c r="B11" s="19">
        <v>0.08</v>
      </c>
      <c r="C11" s="19">
        <v>0.08</v>
      </c>
      <c r="J11" s="20"/>
    </row>
    <row r="12" spans="1:10" x14ac:dyDescent="0.25">
      <c r="A12" t="s">
        <v>51</v>
      </c>
      <c r="B12" s="19">
        <v>0.122</v>
      </c>
      <c r="C12" s="19">
        <v>0.122</v>
      </c>
      <c r="J12" s="21"/>
    </row>
    <row r="13" spans="1:10" x14ac:dyDescent="0.25">
      <c r="A13" t="s">
        <v>52</v>
      </c>
      <c r="B13" s="19">
        <v>0.161</v>
      </c>
      <c r="C13" s="19">
        <v>0.161</v>
      </c>
    </row>
    <row r="15" spans="1:10" x14ac:dyDescent="0.25">
      <c r="A15" s="22" t="s">
        <v>53</v>
      </c>
      <c r="B15" s="23">
        <v>4.4000000000000003E-3</v>
      </c>
    </row>
    <row r="16" spans="1:10" x14ac:dyDescent="0.25">
      <c r="A16" s="24" t="s">
        <v>54</v>
      </c>
      <c r="B16" s="25">
        <v>1.2999999999999999E-3</v>
      </c>
    </row>
    <row r="17" spans="1:4" x14ac:dyDescent="0.25">
      <c r="A17" s="26" t="s">
        <v>55</v>
      </c>
      <c r="B17" s="27">
        <v>0.25</v>
      </c>
    </row>
    <row r="20" spans="1:4" x14ac:dyDescent="0.25">
      <c r="A20" s="28" t="s">
        <v>56</v>
      </c>
      <c r="B20" s="29"/>
    </row>
    <row r="21" spans="1:4" x14ac:dyDescent="0.25">
      <c r="A21" s="24" t="s">
        <v>57</v>
      </c>
      <c r="B21" s="30">
        <v>1.6E-2</v>
      </c>
    </row>
    <row r="22" spans="1:4" x14ac:dyDescent="0.25">
      <c r="A22" s="24" t="s">
        <v>58</v>
      </c>
      <c r="B22" s="30">
        <v>0</v>
      </c>
    </row>
    <row r="23" spans="1:4" x14ac:dyDescent="0.25">
      <c r="A23" s="24" t="s">
        <v>59</v>
      </c>
      <c r="B23" s="30">
        <v>1.5E-3</v>
      </c>
    </row>
    <row r="24" spans="1:4" x14ac:dyDescent="0.25">
      <c r="A24" s="31" t="s">
        <v>60</v>
      </c>
      <c r="B24" s="32">
        <f>B21-B22-B23</f>
        <v>1.4500000000000001E-2</v>
      </c>
    </row>
    <row r="26" spans="1:4" x14ac:dyDescent="0.25">
      <c r="A26" s="28" t="s">
        <v>61</v>
      </c>
      <c r="B26" s="33"/>
      <c r="C26" t="s">
        <v>49</v>
      </c>
      <c r="D26" t="s">
        <v>62</v>
      </c>
    </row>
    <row r="27" spans="1:4" x14ac:dyDescent="0.25">
      <c r="A27" s="24" t="s">
        <v>63</v>
      </c>
      <c r="B27" s="34">
        <f>512/800</f>
        <v>0.64</v>
      </c>
      <c r="C27" s="19">
        <v>0.08</v>
      </c>
      <c r="D27" s="35">
        <f>TOU_OFF*C11</f>
        <v>5.1200000000000002E-2</v>
      </c>
    </row>
    <row r="28" spans="1:4" x14ac:dyDescent="0.25">
      <c r="A28" s="24" t="s">
        <v>51</v>
      </c>
      <c r="B28" s="34">
        <f>144/800</f>
        <v>0.18</v>
      </c>
      <c r="C28" s="19">
        <v>0.122</v>
      </c>
      <c r="D28" s="35">
        <f>TOU_MID*C12</f>
        <v>2.196E-2</v>
      </c>
    </row>
    <row r="29" spans="1:4" x14ac:dyDescent="0.25">
      <c r="A29" s="24" t="s">
        <v>52</v>
      </c>
      <c r="B29" s="34">
        <f>144/800</f>
        <v>0.18</v>
      </c>
      <c r="C29" s="19">
        <v>0.161</v>
      </c>
      <c r="D29" s="35">
        <f>TOU_ON*C13</f>
        <v>2.8979999999999999E-2</v>
      </c>
    </row>
    <row r="30" spans="1:4" x14ac:dyDescent="0.25">
      <c r="A30" s="31"/>
      <c r="B30" s="36">
        <f>SUM(B27:B29)</f>
        <v>1</v>
      </c>
      <c r="D30" s="35">
        <f>SUM(D27:D29)</f>
        <v>0.10214000000000001</v>
      </c>
    </row>
    <row r="33" spans="1:1" x14ac:dyDescent="0.25">
      <c r="A33" s="37" t="s">
        <v>64</v>
      </c>
    </row>
    <row r="34" spans="1:1" x14ac:dyDescent="0.25">
      <c r="A34" s="38" t="s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5"/>
  <sheetViews>
    <sheetView zoomScaleNormal="10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04">
        <v>162500</v>
      </c>
      <c r="E7" s="106"/>
      <c r="F7" s="81">
        <f>D7</f>
        <v>162500</v>
      </c>
      <c r="G7" s="85"/>
      <c r="H7" s="86"/>
      <c r="I7" s="204">
        <v>162500</v>
      </c>
      <c r="J7" s="106"/>
      <c r="K7" s="81">
        <f>I7</f>
        <v>162500</v>
      </c>
      <c r="L7" s="85"/>
      <c r="M7" s="86"/>
      <c r="N7" s="204"/>
      <c r="O7" s="106"/>
      <c r="P7" s="81">
        <f>N7</f>
        <v>0</v>
      </c>
      <c r="Q7" s="85"/>
      <c r="R7" s="86"/>
      <c r="S7" s="204">
        <v>162500</v>
      </c>
      <c r="T7" s="106"/>
      <c r="U7" s="81">
        <f>S7</f>
        <v>162500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204">
        <v>500</v>
      </c>
      <c r="E8" s="106"/>
      <c r="F8" s="81">
        <f>D8</f>
        <v>500</v>
      </c>
      <c r="G8" s="85"/>
      <c r="H8" s="86"/>
      <c r="I8" s="204">
        <v>500</v>
      </c>
      <c r="J8" s="106"/>
      <c r="K8" s="81">
        <f>I8</f>
        <v>500</v>
      </c>
      <c r="L8" s="85"/>
      <c r="M8" s="86"/>
      <c r="N8" s="204"/>
      <c r="O8" s="106"/>
      <c r="P8" s="81">
        <f>N8</f>
        <v>0</v>
      </c>
      <c r="Q8" s="85"/>
      <c r="R8" s="86"/>
      <c r="S8" s="204">
        <v>500</v>
      </c>
      <c r="T8" s="106"/>
      <c r="U8" s="81">
        <f>S8</f>
        <v>500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80">
        <f>D7*D9</f>
        <v>169455</v>
      </c>
      <c r="E10" s="106"/>
      <c r="F10" s="81">
        <f>F7*F9</f>
        <v>169503.75</v>
      </c>
      <c r="G10" s="85"/>
      <c r="H10" s="86"/>
      <c r="I10" s="80">
        <f>I7*I9</f>
        <v>172380</v>
      </c>
      <c r="J10" s="106"/>
      <c r="K10" s="81">
        <f>K7*K9</f>
        <v>169503.75</v>
      </c>
      <c r="L10" s="85"/>
      <c r="M10" s="86"/>
      <c r="N10" s="80">
        <f>N7*N9</f>
        <v>0</v>
      </c>
      <c r="O10" s="106"/>
      <c r="P10" s="81">
        <f>P7*P9</f>
        <v>0</v>
      </c>
      <c r="Q10" s="85"/>
      <c r="R10" s="86"/>
      <c r="S10" s="80">
        <f>S7*S9</f>
        <v>171925</v>
      </c>
      <c r="T10" s="106"/>
      <c r="U10" s="81">
        <f>U7*U9</f>
        <v>169503.75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8320</v>
      </c>
      <c r="E12" s="108">
        <f>'General Input'!$B$11</f>
        <v>0.08</v>
      </c>
      <c r="F12" s="7">
        <f>F$7*E12*TOU_OFF</f>
        <v>8320</v>
      </c>
      <c r="G12" s="85"/>
      <c r="H12" s="84">
        <f>'General Input'!$B$11</f>
        <v>0.08</v>
      </c>
      <c r="I12" s="42">
        <f>I$7*H12*TOU_OFF</f>
        <v>8320</v>
      </c>
      <c r="J12" s="108">
        <f>'General Input'!$B$11</f>
        <v>0.08</v>
      </c>
      <c r="K12" s="7">
        <f>K$7*J12*TOU_OFF</f>
        <v>8320</v>
      </c>
      <c r="L12" s="85"/>
      <c r="M12" s="84"/>
      <c r="N12" s="42"/>
      <c r="O12" s="108"/>
      <c r="P12" s="7"/>
      <c r="Q12" s="85"/>
      <c r="R12" s="84">
        <f>'General Input'!$B$11</f>
        <v>0.08</v>
      </c>
      <c r="S12" s="42">
        <f>S$7*R12*TOU_OFF</f>
        <v>8320</v>
      </c>
      <c r="T12" s="108">
        <f>'General Input'!$B$11</f>
        <v>0.08</v>
      </c>
      <c r="U12" s="7">
        <f>U$7*T12*TOU_OFF</f>
        <v>8320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3568.5</v>
      </c>
      <c r="E13" s="108">
        <f>'General Input'!$B$12</f>
        <v>0.122</v>
      </c>
      <c r="F13" s="7">
        <f>F$7*E13*TOU_MID</f>
        <v>3568.5</v>
      </c>
      <c r="G13" s="85"/>
      <c r="H13" s="84">
        <f>'General Input'!$B$12</f>
        <v>0.122</v>
      </c>
      <c r="I13" s="42">
        <f>I$7*H13*TOU_MID</f>
        <v>3568.5</v>
      </c>
      <c r="J13" s="108">
        <f>'General Input'!$B$12</f>
        <v>0.122</v>
      </c>
      <c r="K13" s="7">
        <f>K$7*J13*TOU_MID</f>
        <v>3568.5</v>
      </c>
      <c r="L13" s="85"/>
      <c r="M13" s="84"/>
      <c r="N13" s="42"/>
      <c r="O13" s="108"/>
      <c r="P13" s="7"/>
      <c r="Q13" s="85"/>
      <c r="R13" s="84">
        <f>'General Input'!$B$12</f>
        <v>0.122</v>
      </c>
      <c r="S13" s="42">
        <f>S$7*R13*TOU_MID</f>
        <v>3568.5</v>
      </c>
      <c r="T13" s="108">
        <f>'General Input'!$B$12</f>
        <v>0.122</v>
      </c>
      <c r="U13" s="7">
        <f>U$7*T13*TOU_MID</f>
        <v>3568.5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4709.25</v>
      </c>
      <c r="E14" s="109">
        <f>'General Input'!$B$13</f>
        <v>0.161</v>
      </c>
      <c r="F14" s="70">
        <f>F$7*E14*TOU_ON</f>
        <v>4709.25</v>
      </c>
      <c r="G14" s="125"/>
      <c r="H14" s="124">
        <f>'General Input'!$B$13</f>
        <v>0.161</v>
      </c>
      <c r="I14" s="69">
        <f>I$7*H14*TOU_ON</f>
        <v>4709.25</v>
      </c>
      <c r="J14" s="109">
        <f>'General Input'!$B$13</f>
        <v>0.161</v>
      </c>
      <c r="K14" s="70">
        <f>K$7*J14*TOU_ON</f>
        <v>4709.25</v>
      </c>
      <c r="L14" s="125"/>
      <c r="M14" s="124"/>
      <c r="N14" s="69"/>
      <c r="O14" s="109"/>
      <c r="P14" s="70"/>
      <c r="Q14" s="125"/>
      <c r="R14" s="124">
        <f>'General Input'!$B$13</f>
        <v>0.161</v>
      </c>
      <c r="S14" s="69">
        <f>S$7*R14*TOU_ON</f>
        <v>4709.25</v>
      </c>
      <c r="T14" s="109">
        <f>'General Input'!$B$13</f>
        <v>0.161</v>
      </c>
      <c r="U14" s="70">
        <f>U$7*T14*TOU_ON</f>
        <v>4709.25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16597.75</v>
      </c>
      <c r="E15" s="110"/>
      <c r="F15" s="95">
        <f>SUM(F12:F14)</f>
        <v>16597.75</v>
      </c>
      <c r="G15" s="127">
        <f>D15-F15</f>
        <v>0</v>
      </c>
      <c r="H15" s="126"/>
      <c r="I15" s="96">
        <f>SUM(I12:I14)</f>
        <v>16597.75</v>
      </c>
      <c r="J15" s="110"/>
      <c r="K15" s="95">
        <f>SUM(K12:K14)</f>
        <v>16597.75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16597.75</v>
      </c>
      <c r="T15" s="110"/>
      <c r="U15" s="95">
        <f>SUM(U12:U14)</f>
        <v>16597.75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Proposed'!$D$3</f>
        <v>98.89</v>
      </c>
      <c r="F18" s="7">
        <f>E18</f>
        <v>98.89</v>
      </c>
      <c r="G18" s="85"/>
      <c r="H18" s="55">
        <f>'2015 Approved'!$O$4</f>
        <v>45.55</v>
      </c>
      <c r="I18" s="42">
        <f>H18</f>
        <v>45.55</v>
      </c>
      <c r="J18" s="113">
        <f>'2016 Proposed'!$D$3</f>
        <v>98.89</v>
      </c>
      <c r="K18" s="7">
        <f>J18</f>
        <v>98.89</v>
      </c>
      <c r="L18" s="85"/>
      <c r="M18" s="55"/>
      <c r="N18" s="42"/>
      <c r="O18" s="113"/>
      <c r="P18" s="7"/>
      <c r="Q18" s="85"/>
      <c r="R18" s="55">
        <f>'2015 Approved'!$Z$4</f>
        <v>279.02</v>
      </c>
      <c r="S18" s="42">
        <f>R18</f>
        <v>279.02</v>
      </c>
      <c r="T18" s="113">
        <f>'2016 Proposed'!$D$3</f>
        <v>98.89</v>
      </c>
      <c r="U18" s="7">
        <f>T18</f>
        <v>98.89</v>
      </c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Approved'!$D$5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Proposed'!$D$5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>
        <f>'2015 Approved'!$Z$5</f>
        <v>0</v>
      </c>
      <c r="S19" s="42">
        <f t="shared" ref="S19:S22" si="5">R19</f>
        <v>0</v>
      </c>
      <c r="T19" s="113">
        <f>'2016 Proposed'!$D$5</f>
        <v>0</v>
      </c>
      <c r="U19" s="7">
        <f t="shared" ref="U19:U22" si="6">T19</f>
        <v>0</v>
      </c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Approved'!$D$6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Proposed'!$D$6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>
        <f>'2015 Approved'!$Z$6</f>
        <v>0</v>
      </c>
      <c r="S20" s="42">
        <f t="shared" si="5"/>
        <v>0</v>
      </c>
      <c r="T20" s="113">
        <f>'2016 Proposed'!$D$6</f>
        <v>0</v>
      </c>
      <c r="U20" s="7">
        <f t="shared" si="6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Approved'!$D$7</f>
        <v>11.31</v>
      </c>
      <c r="D21" s="42">
        <f t="shared" si="1"/>
        <v>11.31</v>
      </c>
      <c r="E21" s="113">
        <f>'2016 Proposed'!$D$7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Proposed'!$D$8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>
        <f>'2015 Approved'!$Z$7</f>
        <v>6.66</v>
      </c>
      <c r="S21" s="42">
        <f t="shared" si="5"/>
        <v>6.66</v>
      </c>
      <c r="T21" s="113">
        <f>'2016 Proposed'!$D$7</f>
        <v>0</v>
      </c>
      <c r="U21" s="7">
        <f t="shared" si="6"/>
        <v>0</v>
      </c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Approved'!$D$8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Proposed'!$D$8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>
        <f>'2015 Approved'!$Z$8</f>
        <v>0</v>
      </c>
      <c r="S22" s="42">
        <f t="shared" si="5"/>
        <v>0</v>
      </c>
      <c r="T22" s="113">
        <f>'2016 Proposed'!$D$8</f>
        <v>0</v>
      </c>
      <c r="U22" s="7">
        <f t="shared" si="6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710.38369999999998</v>
      </c>
      <c r="E23" s="114">
        <f>F15/$F$7</f>
        <v>0.10213999999999999</v>
      </c>
      <c r="F23" s="7">
        <f>(F10-F7)*E23</f>
        <v>715.36302499999999</v>
      </c>
      <c r="G23" s="85"/>
      <c r="H23" s="59">
        <f>I15/I7</f>
        <v>0.10213999999999999</v>
      </c>
      <c r="I23" s="42">
        <f>(I10-I7)*H23</f>
        <v>1009.1432</v>
      </c>
      <c r="J23" s="114">
        <f>K15/$F$7</f>
        <v>0.10213999999999999</v>
      </c>
      <c r="K23" s="7">
        <f>(K10-K7)*J23</f>
        <v>715.36302499999999</v>
      </c>
      <c r="L23" s="85"/>
      <c r="M23" s="59"/>
      <c r="N23" s="42"/>
      <c r="O23" s="114"/>
      <c r="P23" s="7"/>
      <c r="Q23" s="85"/>
      <c r="R23" s="59">
        <f>S15/S7</f>
        <v>0.10213999999999999</v>
      </c>
      <c r="S23" s="42">
        <f>(S10-S7)*R23</f>
        <v>962.66949999999997</v>
      </c>
      <c r="T23" s="114">
        <f>U15/$F$7</f>
        <v>0.10213999999999999</v>
      </c>
      <c r="U23" s="7">
        <f>(U10-U7)*T23</f>
        <v>715.36302499999999</v>
      </c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Approved'!$D$11</f>
        <v>3.4826999999999999</v>
      </c>
      <c r="D24" s="42">
        <f>C24*D$8</f>
        <v>1741.35</v>
      </c>
      <c r="E24" s="114">
        <f>'2016 Proposed'!$D$11</f>
        <v>3.2711999999999999</v>
      </c>
      <c r="F24" s="7">
        <f>E24*F$8</f>
        <v>1635.6</v>
      </c>
      <c r="G24" s="85"/>
      <c r="H24" s="59">
        <f>'2015 Approved'!$O$11</f>
        <v>1.5094000000000001</v>
      </c>
      <c r="I24" s="42">
        <f t="shared" ref="I24:I33" si="7">H24*I$8</f>
        <v>754.7</v>
      </c>
      <c r="J24" s="114">
        <f>'2016 Proposed'!$D$11</f>
        <v>3.2711999999999999</v>
      </c>
      <c r="K24" s="7">
        <f t="shared" ref="K24:K33" si="8">J24*K$8</f>
        <v>1635.6</v>
      </c>
      <c r="L24" s="85"/>
      <c r="M24" s="59"/>
      <c r="N24" s="42"/>
      <c r="O24" s="114"/>
      <c r="P24" s="7"/>
      <c r="Q24" s="85"/>
      <c r="R24" s="59">
        <f>'2015 Approved'!$Z$11</f>
        <v>1.4026000000000001</v>
      </c>
      <c r="S24" s="42">
        <f t="shared" ref="S24:S33" si="9">R24*S$8</f>
        <v>701.30000000000007</v>
      </c>
      <c r="T24" s="114">
        <f>'2016 Proposed'!$D$11</f>
        <v>3.2711999999999999</v>
      </c>
      <c r="U24" s="7">
        <f t="shared" ref="U24:U33" si="10">T24*U$8</f>
        <v>1635.6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Approved'!$D$12</f>
        <v>0.1295</v>
      </c>
      <c r="D25" s="42">
        <f t="shared" ref="D25:D33" si="11">C25*D$8</f>
        <v>64.75</v>
      </c>
      <c r="E25" s="114">
        <f>'2016 Proposed'!$D$13</f>
        <v>0.6512</v>
      </c>
      <c r="F25" s="7">
        <f t="shared" ref="F25:F33" si="12">E25*F$8</f>
        <v>325.60000000000002</v>
      </c>
      <c r="G25" s="85"/>
      <c r="H25" s="59">
        <f>'2015 Approved'!$O$12</f>
        <v>0.10100000000000001</v>
      </c>
      <c r="I25" s="42">
        <f t="shared" si="7"/>
        <v>50.5</v>
      </c>
      <c r="J25" s="114">
        <f>'2016 Proposed'!$D$13</f>
        <v>0.6512</v>
      </c>
      <c r="K25" s="7">
        <f t="shared" si="8"/>
        <v>325.60000000000002</v>
      </c>
      <c r="L25" s="85"/>
      <c r="M25" s="59"/>
      <c r="N25" s="42"/>
      <c r="O25" s="114"/>
      <c r="P25" s="7"/>
      <c r="Q25" s="85"/>
      <c r="R25" s="59">
        <f>'2015 Approved'!$Z$12</f>
        <v>1.7261</v>
      </c>
      <c r="S25" s="42">
        <f t="shared" si="9"/>
        <v>863.05</v>
      </c>
      <c r="T25" s="114">
        <f>'2016 Proposed'!$D$13</f>
        <v>0.6512</v>
      </c>
      <c r="U25" s="7">
        <f t="shared" si="10"/>
        <v>325.60000000000002</v>
      </c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Approved'!$D$13</f>
        <v>0</v>
      </c>
      <c r="D26" s="42">
        <f t="shared" si="11"/>
        <v>0</v>
      </c>
      <c r="E26" s="114">
        <f>'2016 Proposed'!$D$14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1.2</v>
      </c>
      <c r="J26" s="114">
        <f>'2016 Proposed'!$D$14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>
        <f>'2015 Approved'!$Z$13</f>
        <v>0</v>
      </c>
      <c r="S26" s="42">
        <f t="shared" si="9"/>
        <v>0</v>
      </c>
      <c r="T26" s="114">
        <f>'2016 Proposed'!$D$14</f>
        <v>0</v>
      </c>
      <c r="U26" s="7">
        <f t="shared" si="10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Approved'!$D$14</f>
        <v>3.4000000000000002E-2</v>
      </c>
      <c r="D27" s="42">
        <f t="shared" si="11"/>
        <v>17</v>
      </c>
      <c r="E27" s="114">
        <f>'2016 Proposed'!$D$15</f>
        <v>6.3500000000000001E-2</v>
      </c>
      <c r="F27" s="7">
        <f t="shared" si="12"/>
        <v>31.75</v>
      </c>
      <c r="G27" s="85"/>
      <c r="H27" s="59">
        <f>'2015 Approved'!$O$14</f>
        <v>1.5900000000000001E-2</v>
      </c>
      <c r="I27" s="42">
        <f t="shared" si="7"/>
        <v>7.95</v>
      </c>
      <c r="J27" s="114">
        <f>'2016 Proposed'!$D$15</f>
        <v>6.3500000000000001E-2</v>
      </c>
      <c r="K27" s="7">
        <f t="shared" si="8"/>
        <v>31.75</v>
      </c>
      <c r="L27" s="85"/>
      <c r="M27" s="59"/>
      <c r="N27" s="42"/>
      <c r="O27" s="114"/>
      <c r="P27" s="7"/>
      <c r="Q27" s="85"/>
      <c r="R27" s="59">
        <f>'2015 Approved'!$Z$14</f>
        <v>0</v>
      </c>
      <c r="S27" s="42">
        <f t="shared" si="9"/>
        <v>0</v>
      </c>
      <c r="T27" s="114">
        <f>'2016 Proposed'!$D$15</f>
        <v>6.3500000000000001E-2</v>
      </c>
      <c r="U27" s="7">
        <f t="shared" si="10"/>
        <v>31.75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Approved'!$D$15</f>
        <v>-2.3599999999999999E-2</v>
      </c>
      <c r="D28" s="42">
        <f t="shared" si="11"/>
        <v>-11.799999999999999</v>
      </c>
      <c r="E28" s="114">
        <f>'2016 Proposed'!$D$16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-4.7</v>
      </c>
      <c r="J28" s="114">
        <f>'2016 Proposed'!$D$16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>
        <f>'2015 Approved'!$Z$15</f>
        <v>0</v>
      </c>
      <c r="S28" s="42">
        <f t="shared" si="9"/>
        <v>0</v>
      </c>
      <c r="T28" s="114">
        <f>'2016 Proposed'!$D$16</f>
        <v>0</v>
      </c>
      <c r="U28" s="7">
        <f t="shared" si="10"/>
        <v>0</v>
      </c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Approved'!$D$16</f>
        <v>0</v>
      </c>
      <c r="D29" s="42">
        <f t="shared" si="11"/>
        <v>0</v>
      </c>
      <c r="E29" s="114">
        <f>'2016 Proposed'!$D$17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Proposed'!$D$17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>
        <f>'2015 Approved'!$Z$16</f>
        <v>0.87029999999999996</v>
      </c>
      <c r="S29" s="42">
        <f t="shared" si="9"/>
        <v>435.15</v>
      </c>
      <c r="T29" s="114">
        <f>R29</f>
        <v>0.87029999999999996</v>
      </c>
      <c r="U29" s="7">
        <f t="shared" si="10"/>
        <v>435.15</v>
      </c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Approved'!$D$17</f>
        <v>0.78900000000000003</v>
      </c>
      <c r="D30" s="42">
        <f t="shared" si="11"/>
        <v>394.5</v>
      </c>
      <c r="E30" s="114">
        <f>'2016 Proposed'!$D$18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249.4</v>
      </c>
      <c r="J30" s="114">
        <f>'2016 Proposed'!$D$18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>
        <f>'2015 Approved'!$Z$17</f>
        <v>1.679</v>
      </c>
      <c r="S30" s="42">
        <f t="shared" si="9"/>
        <v>839.5</v>
      </c>
      <c r="T30" s="114">
        <f>'2016 Proposed'!$D$18</f>
        <v>0</v>
      </c>
      <c r="U30" s="7">
        <f t="shared" si="10"/>
        <v>0</v>
      </c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Approved'!$D$18</f>
        <v>0</v>
      </c>
      <c r="D31" s="42">
        <f t="shared" si="11"/>
        <v>0</v>
      </c>
      <c r="E31" s="114">
        <f>'2016 Proposed'!$D$19</f>
        <v>0.58379999999999999</v>
      </c>
      <c r="F31" s="7">
        <f t="shared" si="12"/>
        <v>291.89999999999998</v>
      </c>
      <c r="G31" s="85"/>
      <c r="H31" s="59">
        <f>'2015 Approved'!$O$18</f>
        <v>0</v>
      </c>
      <c r="I31" s="42">
        <f t="shared" si="7"/>
        <v>0</v>
      </c>
      <c r="J31" s="114">
        <f>'2016 Proposed'!$D$19</f>
        <v>0.58379999999999999</v>
      </c>
      <c r="K31" s="7">
        <f t="shared" si="8"/>
        <v>291.89999999999998</v>
      </c>
      <c r="L31" s="85"/>
      <c r="M31" s="59"/>
      <c r="N31" s="42"/>
      <c r="O31" s="114"/>
      <c r="P31" s="7"/>
      <c r="Q31" s="85"/>
      <c r="R31" s="59">
        <f>'2015 Approved'!$Z$18</f>
        <v>0</v>
      </c>
      <c r="S31" s="42">
        <f t="shared" si="9"/>
        <v>0</v>
      </c>
      <c r="T31" s="114">
        <f>'2016 Proposed'!$D$19</f>
        <v>0.58379999999999999</v>
      </c>
      <c r="U31" s="7">
        <f t="shared" si="10"/>
        <v>291.89999999999998</v>
      </c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Approved'!$D$19</f>
        <v>0</v>
      </c>
      <c r="D32" s="42">
        <f t="shared" si="11"/>
        <v>0</v>
      </c>
      <c r="E32" s="114">
        <f>'2016 Proposed'!$D$20</f>
        <v>0.2777</v>
      </c>
      <c r="F32" s="7">
        <f t="shared" si="12"/>
        <v>138.85</v>
      </c>
      <c r="G32" s="85"/>
      <c r="H32" s="59">
        <f>'2015 Approved'!$O$19</f>
        <v>0</v>
      </c>
      <c r="I32" s="42">
        <f t="shared" si="7"/>
        <v>0</v>
      </c>
      <c r="J32" s="114">
        <f>'2016 Proposed'!$D$20</f>
        <v>0.2777</v>
      </c>
      <c r="K32" s="7">
        <f t="shared" si="8"/>
        <v>138.85</v>
      </c>
      <c r="L32" s="85"/>
      <c r="M32" s="59"/>
      <c r="N32" s="42"/>
      <c r="O32" s="114"/>
      <c r="P32" s="7"/>
      <c r="Q32" s="85"/>
      <c r="R32" s="59">
        <f>'2015 Approved'!$Z$19</f>
        <v>0</v>
      </c>
      <c r="S32" s="42">
        <f t="shared" si="9"/>
        <v>0</v>
      </c>
      <c r="T32" s="114">
        <f>'2016 Proposed'!$D$20</f>
        <v>0.2777</v>
      </c>
      <c r="U32" s="7">
        <f t="shared" si="10"/>
        <v>138.85</v>
      </c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Approved'!$D$20</f>
        <v>0</v>
      </c>
      <c r="D33" s="42">
        <f t="shared" si="11"/>
        <v>0</v>
      </c>
      <c r="E33" s="114">
        <f>'2016 Proposed'!$D$21</f>
        <v>-0.82540000000000002</v>
      </c>
      <c r="F33" s="7">
        <f t="shared" si="12"/>
        <v>-412.7</v>
      </c>
      <c r="G33" s="85"/>
      <c r="H33" s="59">
        <f>'2015 Approved'!$O$20</f>
        <v>0</v>
      </c>
      <c r="I33" s="42">
        <f t="shared" si="7"/>
        <v>0</v>
      </c>
      <c r="J33" s="114">
        <f>'2016 Proposed'!$D$21</f>
        <v>-0.82540000000000002</v>
      </c>
      <c r="K33" s="7">
        <f t="shared" si="8"/>
        <v>-412.7</v>
      </c>
      <c r="L33" s="85"/>
      <c r="M33" s="59"/>
      <c r="N33" s="42"/>
      <c r="O33" s="114"/>
      <c r="P33" s="7"/>
      <c r="Q33" s="85"/>
      <c r="R33" s="59">
        <f>'2015 Approved'!$Z$20</f>
        <v>0</v>
      </c>
      <c r="S33" s="42">
        <f t="shared" si="9"/>
        <v>0</v>
      </c>
      <c r="T33" s="114">
        <f>'2016 Proposed'!$D$21</f>
        <v>-0.82540000000000002</v>
      </c>
      <c r="U33" s="7">
        <f t="shared" si="10"/>
        <v>-412.7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3050.3536999999997</v>
      </c>
      <c r="E34" s="110"/>
      <c r="F34" s="95">
        <f>SUM(F18:F33)</f>
        <v>2825.253025</v>
      </c>
      <c r="G34" s="127">
        <f>F34-D34</f>
        <v>-225.10067499999968</v>
      </c>
      <c r="H34" s="126"/>
      <c r="I34" s="96">
        <f>SUM(I18:I33)</f>
        <v>2128.3332</v>
      </c>
      <c r="J34" s="110"/>
      <c r="K34" s="95">
        <f>SUM(K18:K33)</f>
        <v>2825.253025</v>
      </c>
      <c r="L34" s="127">
        <f>K34-I34</f>
        <v>696.91982499999995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4087.3494999999998</v>
      </c>
      <c r="T34" s="110"/>
      <c r="U34" s="95">
        <f>SUM(U18:U33)</f>
        <v>3260.4030250000001</v>
      </c>
      <c r="V34" s="127">
        <f>U34-S34</f>
        <v>-826.94647499999974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-7.3794942206210287E-2</v>
      </c>
      <c r="H35" s="128"/>
      <c r="I35" s="120"/>
      <c r="J35" s="111"/>
      <c r="K35" s="97"/>
      <c r="L35" s="129">
        <f>L34/I34</f>
        <v>0.32744864619881886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>
        <f>V34/S34</f>
        <v>-0.20231851350123101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Approved'!$D$26</f>
        <v>2.7467999999999999</v>
      </c>
      <c r="D37" s="42">
        <f>C37*D$8</f>
        <v>1373.3999999999999</v>
      </c>
      <c r="E37" s="114">
        <f>'2016 Proposed'!$D$28</f>
        <v>2.7772999999999999</v>
      </c>
      <c r="F37" s="7">
        <f>E37*F$8</f>
        <v>1388.6499999999999</v>
      </c>
      <c r="G37" s="85"/>
      <c r="H37" s="59">
        <f>'2015 Approved'!$O$26</f>
        <v>2.6280000000000001</v>
      </c>
      <c r="I37" s="42">
        <f>H37*I$8</f>
        <v>1314</v>
      </c>
      <c r="J37" s="114">
        <f>'2016 Proposed'!$D$28</f>
        <v>2.7772999999999999</v>
      </c>
      <c r="K37" s="7">
        <f>J37*K$8</f>
        <v>1388.6499999999999</v>
      </c>
      <c r="L37" s="85"/>
      <c r="M37" s="59"/>
      <c r="N37" s="42"/>
      <c r="O37" s="114"/>
      <c r="P37" s="7"/>
      <c r="Q37" s="85"/>
      <c r="R37" s="59">
        <f>'2015 Approved'!$Z$26</f>
        <v>2.7835355586422796</v>
      </c>
      <c r="S37" s="42">
        <f>R37*S$8</f>
        <v>1391.7677793211399</v>
      </c>
      <c r="T37" s="114">
        <f>'2016 Proposed'!$D$28</f>
        <v>2.7772999999999999</v>
      </c>
      <c r="U37" s="7">
        <f>T37*U$8</f>
        <v>1388.6499999999999</v>
      </c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Approved'!$D$27</f>
        <v>1.8887</v>
      </c>
      <c r="D38" s="42">
        <f>C38*D$8</f>
        <v>944.35</v>
      </c>
      <c r="E38" s="114">
        <f>'2016 Proposed'!$D$29</f>
        <v>2.0087000000000002</v>
      </c>
      <c r="F38" s="7">
        <f>E38*F$8</f>
        <v>1004.35</v>
      </c>
      <c r="G38" s="85"/>
      <c r="H38" s="59">
        <f>'2015 Approved'!$O$27</f>
        <v>1.829</v>
      </c>
      <c r="I38" s="42">
        <f>H38*I$8</f>
        <v>914.5</v>
      </c>
      <c r="J38" s="114">
        <f>'2016 Proposed'!$D$29</f>
        <v>2.0087000000000002</v>
      </c>
      <c r="K38" s="7">
        <f>J38*K$8</f>
        <v>1004.35</v>
      </c>
      <c r="L38" s="85"/>
      <c r="M38" s="59"/>
      <c r="N38" s="42"/>
      <c r="O38" s="114"/>
      <c r="P38" s="7"/>
      <c r="Q38" s="85"/>
      <c r="R38" s="59">
        <f>'2015 Approved'!$Z$27</f>
        <v>1.2831158880371321</v>
      </c>
      <c r="S38" s="42">
        <f>R38*S$8</f>
        <v>641.55794401856599</v>
      </c>
      <c r="T38" s="114">
        <f>'2016 Proposed'!$D$29</f>
        <v>2.0087000000000002</v>
      </c>
      <c r="U38" s="7">
        <f>T38*U$8</f>
        <v>1004.35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2317.75</v>
      </c>
      <c r="E39" s="110"/>
      <c r="F39" s="95">
        <f>SUM(F37:F38)</f>
        <v>2393</v>
      </c>
      <c r="G39" s="127">
        <f>F39-D39</f>
        <v>75.25</v>
      </c>
      <c r="H39" s="126"/>
      <c r="I39" s="96">
        <f>SUM(I37:I38)</f>
        <v>2228.5</v>
      </c>
      <c r="J39" s="110"/>
      <c r="K39" s="95">
        <f>SUM(K37:K38)</f>
        <v>2393</v>
      </c>
      <c r="L39" s="127">
        <f>K39-I39</f>
        <v>164.5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2033.3257233397057</v>
      </c>
      <c r="T39" s="110"/>
      <c r="U39" s="95">
        <f>SUM(U37:U38)</f>
        <v>2393</v>
      </c>
      <c r="V39" s="127">
        <f>U39-S39</f>
        <v>359.67427666029425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3.2466832056951785E-2</v>
      </c>
      <c r="H40" s="128"/>
      <c r="I40" s="120"/>
      <c r="J40" s="111"/>
      <c r="K40" s="97"/>
      <c r="L40" s="129">
        <f>L39/I39</f>
        <v>7.3816468476553737E-2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>
        <f>V39/S39</f>
        <v>0.17688965055216774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965.89350000000002</v>
      </c>
      <c r="E42" s="114">
        <f>WMSR+RRRP</f>
        <v>5.7000000000000002E-3</v>
      </c>
      <c r="F42" s="7">
        <f>E42*F10</f>
        <v>966.17137500000001</v>
      </c>
      <c r="G42" s="85"/>
      <c r="H42" s="59">
        <f>WMSR+RRRP</f>
        <v>5.7000000000000002E-3</v>
      </c>
      <c r="I42" s="42">
        <f>H42*I10</f>
        <v>982.56600000000003</v>
      </c>
      <c r="J42" s="114">
        <f>WMSR+RRRP</f>
        <v>5.7000000000000002E-3</v>
      </c>
      <c r="K42" s="7">
        <f>J42*K10</f>
        <v>966.17137500000001</v>
      </c>
      <c r="L42" s="85"/>
      <c r="M42" s="59"/>
      <c r="N42" s="42"/>
      <c r="O42" s="114"/>
      <c r="P42" s="7"/>
      <c r="Q42" s="85"/>
      <c r="R42" s="59">
        <f>WMSR+RRRP</f>
        <v>5.7000000000000002E-3</v>
      </c>
      <c r="S42" s="42">
        <f>R42*S10</f>
        <v>979.97250000000008</v>
      </c>
      <c r="T42" s="114">
        <f>WMSR+RRRP</f>
        <v>5.7000000000000002E-3</v>
      </c>
      <c r="U42" s="7">
        <f>T42*U10</f>
        <v>966.17137500000001</v>
      </c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1137.5</v>
      </c>
      <c r="E44" s="114">
        <v>7.0000000000000001E-3</v>
      </c>
      <c r="F44" s="7">
        <f>E44*F7</f>
        <v>1137.5</v>
      </c>
      <c r="G44" s="85"/>
      <c r="H44" s="59">
        <v>7.0000000000000001E-3</v>
      </c>
      <c r="I44" s="42">
        <f>H44*I7</f>
        <v>1137.5</v>
      </c>
      <c r="J44" s="114">
        <v>7.0000000000000001E-3</v>
      </c>
      <c r="K44" s="7">
        <f>J44*K7</f>
        <v>1137.5</v>
      </c>
      <c r="L44" s="85"/>
      <c r="M44" s="59"/>
      <c r="N44" s="42"/>
      <c r="O44" s="114"/>
      <c r="P44" s="7"/>
      <c r="Q44" s="85"/>
      <c r="R44" s="59">
        <v>7.0000000000000001E-3</v>
      </c>
      <c r="S44" s="42">
        <f>R44*S7</f>
        <v>1137.5</v>
      </c>
      <c r="T44" s="114">
        <v>7.0000000000000001E-3</v>
      </c>
      <c r="U44" s="7">
        <f>T44*U7</f>
        <v>1137.5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2103.6435000000001</v>
      </c>
      <c r="E46" s="110"/>
      <c r="F46" s="95">
        <f>SUM(F42:F45)</f>
        <v>2103.9213749999999</v>
      </c>
      <c r="G46" s="127">
        <f>F46-D46</f>
        <v>0.27787499999976717</v>
      </c>
      <c r="H46" s="126"/>
      <c r="I46" s="96">
        <f>SUM(I42:I45)</f>
        <v>2120.3159999999998</v>
      </c>
      <c r="J46" s="110"/>
      <c r="K46" s="95">
        <f>SUM(K42:K45)</f>
        <v>2103.9213749999999</v>
      </c>
      <c r="L46" s="127">
        <f>K46-I46</f>
        <v>-16.394624999999905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2117.7224999999999</v>
      </c>
      <c r="T46" s="110"/>
      <c r="U46" s="95">
        <f>SUM(U42:U45)</f>
        <v>2103.9213749999999</v>
      </c>
      <c r="V46" s="127">
        <f>U46-S46</f>
        <v>-13.801124999999956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1.3209224852013527E-4</v>
      </c>
      <c r="H47" s="128"/>
      <c r="I47" s="120"/>
      <c r="J47" s="111"/>
      <c r="K47" s="97"/>
      <c r="L47" s="129">
        <f>L46/I46</f>
        <v>-7.732161149564455E-3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>
        <f>V46/S46</f>
        <v>-6.5169657497618112E-3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24069.497199999998</v>
      </c>
      <c r="E48" s="115"/>
      <c r="F48" s="102">
        <f>F15+F34+F39+F46</f>
        <v>23919.924399999996</v>
      </c>
      <c r="G48" s="133"/>
      <c r="H48" s="132"/>
      <c r="I48" s="122">
        <f>I15+I34+I39+I46</f>
        <v>23074.8992</v>
      </c>
      <c r="J48" s="115"/>
      <c r="K48" s="102">
        <f>K15+K34+K39+K46</f>
        <v>23919.924399999996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24836.147723339705</v>
      </c>
      <c r="T48" s="115"/>
      <c r="U48" s="102">
        <f>U15+U34+U39+U46</f>
        <v>24355.074399999998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3129.0346359999999</v>
      </c>
      <c r="E49" s="116"/>
      <c r="F49" s="99">
        <f>F48*0.13</f>
        <v>3109.5901719999997</v>
      </c>
      <c r="G49" s="134"/>
      <c r="H49" s="87"/>
      <c r="I49" s="43">
        <f>I48*0.13</f>
        <v>2999.7368959999999</v>
      </c>
      <c r="J49" s="116"/>
      <c r="K49" s="99">
        <f>K48*0.13</f>
        <v>3109.5901719999997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3228.699204034162</v>
      </c>
      <c r="T49" s="116"/>
      <c r="U49" s="99">
        <f>U48*0.13</f>
        <v>3166.1596719999998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-2719.8531836000002</v>
      </c>
      <c r="E50" s="117"/>
      <c r="F50" s="70">
        <f>SUM(F48:F49)*-0.1</f>
        <v>-2702.9514571999998</v>
      </c>
      <c r="G50" s="125"/>
      <c r="H50" s="88"/>
      <c r="I50" s="69">
        <f>SUM(I48:I49)*-0.1</f>
        <v>-2607.4636095999999</v>
      </c>
      <c r="J50" s="117"/>
      <c r="K50" s="70">
        <f>SUM(K48:K49)*-0.1</f>
        <v>-2702.9514571999998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-2806.4846927373869</v>
      </c>
      <c r="T50" s="117"/>
      <c r="U50" s="70">
        <f>SUM(U48:U49)*-0.1</f>
        <v>-2752.1234072000002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24478.678652399998</v>
      </c>
      <c r="E51" s="118"/>
      <c r="F51" s="103">
        <f>SUM(F48:F50)</f>
        <v>24326.563114799996</v>
      </c>
      <c r="G51" s="136">
        <f>F51-D51</f>
        <v>-152.11553760000243</v>
      </c>
      <c r="H51" s="135"/>
      <c r="I51" s="104">
        <f>SUM(I48:I50)</f>
        <v>23467.172486399999</v>
      </c>
      <c r="J51" s="118"/>
      <c r="K51" s="103">
        <f>SUM(K48:K50)</f>
        <v>24326.563114799996</v>
      </c>
      <c r="L51" s="136">
        <f>K51-I51</f>
        <v>859.39062839999679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25258.362234636479</v>
      </c>
      <c r="T51" s="118"/>
      <c r="U51" s="103">
        <f>SUM(U48:U50)</f>
        <v>24769.110664799999</v>
      </c>
      <c r="V51" s="136">
        <f>U51-S51</f>
        <v>-489.25156983648048</v>
      </c>
    </row>
    <row r="52" spans="1:22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-6.2142054217901319E-3</v>
      </c>
      <c r="H52" s="137"/>
      <c r="I52" s="123"/>
      <c r="J52" s="119"/>
      <c r="K52" s="105"/>
      <c r="L52" s="138">
        <f>L51/I51</f>
        <v>3.6620970374596343E-2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>
        <f>V51/S51</f>
        <v>-1.9369884923321586E-2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127</v>
      </c>
      <c r="C54" s="202">
        <f>'2015 Approved'!$D$23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/>
      <c r="N54" s="43"/>
      <c r="O54" s="203"/>
      <c r="P54" s="7"/>
      <c r="Q54" s="134"/>
      <c r="R54" s="59">
        <f>'2015 Approved'!$Z$23</f>
        <v>1.1795</v>
      </c>
      <c r="S54" s="43">
        <f>R54*S8</f>
        <v>589.75</v>
      </c>
      <c r="T54" s="203">
        <f>R54</f>
        <v>1.1795</v>
      </c>
      <c r="U54" s="7">
        <f>T54*U8</f>
        <v>589.75</v>
      </c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Approved'!$D$24</f>
        <v>-0.99730000000000008</v>
      </c>
      <c r="D55" s="42">
        <f>C55*D8</f>
        <v>-498.65000000000003</v>
      </c>
      <c r="E55" s="203">
        <f>'2016 Proposed'!$D$26</f>
        <v>1.3655999999999999</v>
      </c>
      <c r="F55" s="7">
        <f>E55*F8</f>
        <v>682.8</v>
      </c>
      <c r="G55" s="85"/>
      <c r="H55" s="59">
        <f>'2015 Approved'!$O$24</f>
        <v>-0.28370000000000001</v>
      </c>
      <c r="I55" s="43">
        <f>H55*I$8</f>
        <v>-141.85</v>
      </c>
      <c r="J55" s="114">
        <f>'2016 Proposed'!$D$26</f>
        <v>1.3655999999999999</v>
      </c>
      <c r="K55" s="7">
        <f>J55*K$8</f>
        <v>682.8</v>
      </c>
      <c r="L55" s="85"/>
      <c r="M55" s="59"/>
      <c r="N55" s="42"/>
      <c r="O55" s="114"/>
      <c r="P55" s="7"/>
      <c r="Q55" s="85"/>
      <c r="R55" s="59">
        <f>'2015 Approved'!$Z$24</f>
        <v>-0.1012</v>
      </c>
      <c r="S55" s="42">
        <f>R55*S8</f>
        <v>-50.6</v>
      </c>
      <c r="T55" s="114">
        <f>'2016 Proposed'!$D$26</f>
        <v>1.3655999999999999</v>
      </c>
      <c r="U55" s="7">
        <f>T55*U8</f>
        <v>682.8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23570.847199999997</v>
      </c>
      <c r="E56" s="106"/>
      <c r="F56" s="7">
        <f>F48+SUM(F54:F55)</f>
        <v>24602.724399999996</v>
      </c>
      <c r="G56" s="85"/>
      <c r="H56" s="86"/>
      <c r="I56" s="42">
        <f>I48+I55+I54</f>
        <v>22933.049200000001</v>
      </c>
      <c r="J56" s="106"/>
      <c r="K56" s="7">
        <f>K48+K55+K54</f>
        <v>24602.724399999996</v>
      </c>
      <c r="L56" s="85"/>
      <c r="M56" s="86"/>
      <c r="N56" s="42"/>
      <c r="O56" s="106"/>
      <c r="P56" s="7"/>
      <c r="Q56" s="85"/>
      <c r="R56" s="86"/>
      <c r="S56" s="42">
        <f>S48+S55+S54</f>
        <v>25375.297723339707</v>
      </c>
      <c r="T56" s="106"/>
      <c r="U56" s="7">
        <f>U48+U55+U54</f>
        <v>25627.624399999997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3064.2101359999997</v>
      </c>
      <c r="E57" s="106"/>
      <c r="F57" s="7">
        <f>F56*0.13</f>
        <v>3198.3541719999994</v>
      </c>
      <c r="G57" s="85"/>
      <c r="H57" s="86"/>
      <c r="I57" s="42">
        <f>I56*0.13</f>
        <v>2981.2963960000002</v>
      </c>
      <c r="J57" s="106"/>
      <c r="K57" s="7">
        <f>K56*0.13</f>
        <v>3198.3541719999994</v>
      </c>
      <c r="L57" s="85"/>
      <c r="M57" s="86"/>
      <c r="N57" s="42"/>
      <c r="O57" s="106"/>
      <c r="P57" s="7"/>
      <c r="Q57" s="85"/>
      <c r="R57" s="86"/>
      <c r="S57" s="42">
        <f>S56*0.13</f>
        <v>3298.788704034162</v>
      </c>
      <c r="T57" s="106"/>
      <c r="U57" s="7">
        <f>U56*0.13</f>
        <v>3331.5911719999999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-2663.5057336</v>
      </c>
      <c r="E58" s="106"/>
      <c r="F58" s="7">
        <f>SUM(F56:F57)*-0.1</f>
        <v>-2780.1078571999997</v>
      </c>
      <c r="G58" s="85"/>
      <c r="H58" s="86"/>
      <c r="I58" s="42">
        <f>SUM(I56:I57)*-0.1</f>
        <v>-2591.4345596000003</v>
      </c>
      <c r="J58" s="106"/>
      <c r="K58" s="7">
        <f>SUM(K56:K57)*-0.1</f>
        <v>-2780.1078571999997</v>
      </c>
      <c r="L58" s="85"/>
      <c r="M58" s="86"/>
      <c r="N58" s="42"/>
      <c r="O58" s="106"/>
      <c r="P58" s="7"/>
      <c r="Q58" s="85"/>
      <c r="R58" s="86"/>
      <c r="S58" s="42">
        <f>SUM(S56:S57)*-0.1</f>
        <v>-2867.4086427373873</v>
      </c>
      <c r="T58" s="106"/>
      <c r="U58" s="7">
        <f>SUM(U56:U57)*-0.1</f>
        <v>-2895.9215571999998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23971.551602399999</v>
      </c>
      <c r="E59" s="181"/>
      <c r="F59" s="182">
        <f>SUM(F56:F58)</f>
        <v>25020.970714799994</v>
      </c>
      <c r="G59" s="183">
        <f>F59-D59</f>
        <v>1049.4191123999954</v>
      </c>
      <c r="H59" s="179"/>
      <c r="I59" s="180">
        <f>SUM(I56:I58)</f>
        <v>23322.911036400001</v>
      </c>
      <c r="J59" s="181"/>
      <c r="K59" s="182">
        <f>SUM(K56:K58)</f>
        <v>25020.970714799994</v>
      </c>
      <c r="L59" s="183">
        <f>K59-I59</f>
        <v>1698.0596783999936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25806.677784636482</v>
      </c>
      <c r="T59" s="181"/>
      <c r="U59" s="182">
        <f>SUM(U56:U58)</f>
        <v>26063.294014799998</v>
      </c>
      <c r="V59" s="183">
        <f>U59-S59</f>
        <v>256.61623016351587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4.3777688228363532E-2</v>
      </c>
      <c r="H60" s="186"/>
      <c r="I60" s="187"/>
      <c r="J60" s="188"/>
      <c r="K60" s="189"/>
      <c r="L60" s="190">
        <f>L59/I59</f>
        <v>7.2806506689916908E-2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>
        <f>V59/S59</f>
        <v>9.9437917699072252E-3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SUM(D18:D21)+D23+D24+D33</f>
        <v>2585.9036999999998</v>
      </c>
      <c r="E63" s="106"/>
      <c r="F63" s="7">
        <f>SUM(F18:F21)+F23+F24+F33</f>
        <v>2037.1530249999998</v>
      </c>
      <c r="G63" s="56">
        <f>F63-D63</f>
        <v>-548.750675</v>
      </c>
      <c r="H63" s="86"/>
      <c r="I63" s="42">
        <f>SUM(I18:I21)+I23+I24+I33</f>
        <v>1823.9832000000001</v>
      </c>
      <c r="J63" s="106"/>
      <c r="K63" s="7">
        <f>SUM(K18:K21)+K23+K24+K33</f>
        <v>2037.1530249999998</v>
      </c>
      <c r="L63" s="56">
        <f>K63-I63</f>
        <v>213.16982499999972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1949.6495</v>
      </c>
      <c r="T63" s="106"/>
      <c r="U63" s="7">
        <f>SUM(U18:U21)+U23+U24+U33</f>
        <v>2037.1530249999998</v>
      </c>
      <c r="V63" s="56">
        <f>U63-S63</f>
        <v>87.503524999999854</v>
      </c>
    </row>
    <row r="64" spans="1:22" x14ac:dyDescent="0.25">
      <c r="A64" s="164">
        <f t="shared" ref="A64:A66" si="13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-0.17989739189917553</v>
      </c>
      <c r="H64" s="166"/>
      <c r="I64" s="167"/>
      <c r="J64" s="168"/>
      <c r="K64" s="93"/>
      <c r="L64" s="169">
        <f>L63/SUM(I63:I66)</f>
        <v>0.10015810729259859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>
        <f>V63/SUM(S63:S66)</f>
        <v>2.1408378461396524E-2</v>
      </c>
    </row>
    <row r="65" spans="1:22" x14ac:dyDescent="0.25">
      <c r="A65" s="139">
        <f t="shared" si="13"/>
        <v>58</v>
      </c>
      <c r="B65" s="85" t="s">
        <v>121</v>
      </c>
      <c r="C65" s="86"/>
      <c r="D65" s="42">
        <f>D22+SUM(D25:D32)</f>
        <v>464.45</v>
      </c>
      <c r="E65" s="106"/>
      <c r="F65" s="7">
        <f>F22+SUM(F25:F32)</f>
        <v>788.1</v>
      </c>
      <c r="G65" s="56">
        <f>F65-D65</f>
        <v>323.65000000000003</v>
      </c>
      <c r="H65" s="86"/>
      <c r="I65" s="42">
        <f>I22+SUM(I25:I32)</f>
        <v>304.35000000000002</v>
      </c>
      <c r="J65" s="106"/>
      <c r="K65" s="7">
        <f>K22+SUM(K25:K32)</f>
        <v>788.1</v>
      </c>
      <c r="L65" s="56">
        <f>K65-I65</f>
        <v>483.75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2137.6999999999998</v>
      </c>
      <c r="T65" s="106"/>
      <c r="U65" s="7">
        <f>U22+SUM(U25:U32)</f>
        <v>1223.25</v>
      </c>
      <c r="V65" s="56">
        <f>U65-S65</f>
        <v>-914.44999999999982</v>
      </c>
    </row>
    <row r="66" spans="1:22" ht="15.75" thickBot="1" x14ac:dyDescent="0.3">
      <c r="A66" s="170">
        <f t="shared" si="13"/>
        <v>59</v>
      </c>
      <c r="B66" s="171" t="s">
        <v>118</v>
      </c>
      <c r="C66" s="172"/>
      <c r="D66" s="173"/>
      <c r="E66" s="174"/>
      <c r="F66" s="175"/>
      <c r="G66" s="176">
        <f>G65/SUM(D63:D66)</f>
        <v>0.10610244969296513</v>
      </c>
      <c r="H66" s="172"/>
      <c r="I66" s="173"/>
      <c r="J66" s="174"/>
      <c r="K66" s="175"/>
      <c r="L66" s="176">
        <f>L65/SUM(I63:I66)</f>
        <v>0.22729053890622014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>
        <f>V65/SUM(S63:S66)</f>
        <v>-0.22372689196262757</v>
      </c>
    </row>
    <row r="67" spans="1:22" ht="15.75" thickBot="1" x14ac:dyDescent="0.3"/>
    <row r="68" spans="1:22" x14ac:dyDescent="0.25">
      <c r="A68" s="331" t="s">
        <v>111</v>
      </c>
      <c r="B68" s="333" t="s">
        <v>0</v>
      </c>
      <c r="C68" s="329" t="s">
        <v>115</v>
      </c>
      <c r="D68" s="330"/>
      <c r="E68" s="327" t="s">
        <v>116</v>
      </c>
      <c r="F68" s="327"/>
      <c r="G68" s="328"/>
      <c r="H68" s="329" t="s">
        <v>117</v>
      </c>
      <c r="I68" s="330"/>
      <c r="J68" s="327" t="s">
        <v>116</v>
      </c>
      <c r="K68" s="327"/>
      <c r="L68" s="328"/>
      <c r="M68" s="329" t="s">
        <v>124</v>
      </c>
      <c r="N68" s="330"/>
      <c r="O68" s="327" t="s">
        <v>116</v>
      </c>
      <c r="P68" s="327"/>
      <c r="Q68" s="328"/>
      <c r="R68" s="329" t="s">
        <v>123</v>
      </c>
      <c r="S68" s="330"/>
      <c r="T68" s="327" t="s">
        <v>116</v>
      </c>
      <c r="U68" s="327"/>
      <c r="V68" s="328"/>
    </row>
    <row r="69" spans="1:22" x14ac:dyDescent="0.25">
      <c r="A69" s="332"/>
      <c r="B69" s="334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103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103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103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103</v>
      </c>
    </row>
    <row r="70" spans="1:22" x14ac:dyDescent="0.25">
      <c r="A70" s="139">
        <v>1</v>
      </c>
      <c r="B70" s="85" t="s">
        <v>91</v>
      </c>
      <c r="C70" s="86"/>
      <c r="D70" s="204">
        <v>19500</v>
      </c>
      <c r="E70" s="106"/>
      <c r="F70" s="81">
        <f>D70</f>
        <v>19500</v>
      </c>
      <c r="G70" s="85"/>
      <c r="H70" s="86"/>
      <c r="I70" s="204">
        <v>19500</v>
      </c>
      <c r="J70" s="106"/>
      <c r="K70" s="81">
        <f>I70</f>
        <v>19500</v>
      </c>
      <c r="L70" s="85"/>
      <c r="M70" s="86"/>
      <c r="N70" s="204"/>
      <c r="O70" s="106"/>
      <c r="P70" s="81">
        <f>N70</f>
        <v>0</v>
      </c>
      <c r="Q70" s="85"/>
      <c r="R70" s="86"/>
      <c r="S70" s="204">
        <v>19500</v>
      </c>
      <c r="T70" s="106"/>
      <c r="U70" s="81">
        <f>S70</f>
        <v>19500</v>
      </c>
      <c r="V70" s="85"/>
    </row>
    <row r="71" spans="1:22" x14ac:dyDescent="0.25">
      <c r="A71" s="139">
        <f>A70+1</f>
        <v>2</v>
      </c>
      <c r="B71" s="85" t="s">
        <v>92</v>
      </c>
      <c r="C71" s="86"/>
      <c r="D71" s="204">
        <v>60</v>
      </c>
      <c r="E71" s="106"/>
      <c r="F71" s="81">
        <f>D71</f>
        <v>60</v>
      </c>
      <c r="G71" s="85"/>
      <c r="H71" s="86"/>
      <c r="I71" s="204">
        <v>60</v>
      </c>
      <c r="J71" s="106"/>
      <c r="K71" s="81">
        <f>I71</f>
        <v>60</v>
      </c>
      <c r="L71" s="85"/>
      <c r="M71" s="86"/>
      <c r="N71" s="204"/>
      <c r="O71" s="106"/>
      <c r="P71" s="81">
        <f>N71</f>
        <v>0</v>
      </c>
      <c r="Q71" s="85"/>
      <c r="R71" s="86"/>
      <c r="S71" s="204">
        <v>60</v>
      </c>
      <c r="T71" s="106"/>
      <c r="U71" s="81">
        <f>S71</f>
        <v>60</v>
      </c>
      <c r="V71" s="85"/>
    </row>
    <row r="72" spans="1:22" x14ac:dyDescent="0.25">
      <c r="A72" s="139">
        <f t="shared" ref="A72:A122" si="14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40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4"/>
        <v>4</v>
      </c>
      <c r="B73" s="85" t="s">
        <v>93</v>
      </c>
      <c r="C73" s="86"/>
      <c r="D73" s="80">
        <f>D70*D72</f>
        <v>20334.599999999999</v>
      </c>
      <c r="E73" s="106"/>
      <c r="F73" s="81">
        <f>F70*F72</f>
        <v>20340.449999999997</v>
      </c>
      <c r="G73" s="85"/>
      <c r="H73" s="86"/>
      <c r="I73" s="80">
        <f>I70*I72</f>
        <v>20685.599999999999</v>
      </c>
      <c r="J73" s="106"/>
      <c r="K73" s="81">
        <f>K70*K72</f>
        <v>20340.449999999997</v>
      </c>
      <c r="L73" s="85"/>
      <c r="M73" s="86"/>
      <c r="N73" s="80">
        <f>N70*N72</f>
        <v>0</v>
      </c>
      <c r="O73" s="106"/>
      <c r="P73" s="81">
        <f>P70*P72</f>
        <v>0</v>
      </c>
      <c r="Q73" s="85"/>
      <c r="R73" s="86"/>
      <c r="S73" s="80">
        <f>S70*S72</f>
        <v>20631</v>
      </c>
      <c r="T73" s="106"/>
      <c r="U73" s="81">
        <f>U70*U72</f>
        <v>20340.449999999997</v>
      </c>
      <c r="V73" s="85"/>
    </row>
    <row r="74" spans="1:22" x14ac:dyDescent="0.25">
      <c r="A74" s="140">
        <f t="shared" si="14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4"/>
        <v>6</v>
      </c>
      <c r="B75" s="85" t="s">
        <v>23</v>
      </c>
      <c r="C75" s="84">
        <f>'General Input'!$B$11</f>
        <v>0.08</v>
      </c>
      <c r="D75" s="42">
        <f>D$70*C75*TOU_OFF</f>
        <v>998.4</v>
      </c>
      <c r="E75" s="108">
        <f>'General Input'!$B$11</f>
        <v>0.08</v>
      </c>
      <c r="F75" s="7">
        <f>F$70*E75*TOU_OFF</f>
        <v>998.4</v>
      </c>
      <c r="G75" s="85"/>
      <c r="H75" s="84">
        <f>'General Input'!$B$11</f>
        <v>0.08</v>
      </c>
      <c r="I75" s="42">
        <f>I$70*H75*TOU_OFF</f>
        <v>998.4</v>
      </c>
      <c r="J75" s="108">
        <f>'General Input'!$B$11</f>
        <v>0.08</v>
      </c>
      <c r="K75" s="7">
        <f>K$70*J75*TOU_OFF</f>
        <v>998.4</v>
      </c>
      <c r="L75" s="85"/>
      <c r="M75" s="84"/>
      <c r="N75" s="42"/>
      <c r="O75" s="108"/>
      <c r="P75" s="7"/>
      <c r="Q75" s="85"/>
      <c r="R75" s="84">
        <f>'General Input'!$B$11</f>
        <v>0.08</v>
      </c>
      <c r="S75" s="42">
        <f>S$70*R75*TOU_OFF</f>
        <v>998.4</v>
      </c>
      <c r="T75" s="108">
        <f>'General Input'!$B$11</f>
        <v>0.08</v>
      </c>
      <c r="U75" s="7">
        <f>U$70*T75*TOU_OFF</f>
        <v>998.4</v>
      </c>
      <c r="V75" s="85"/>
    </row>
    <row r="76" spans="1:22" x14ac:dyDescent="0.25">
      <c r="A76" s="139">
        <f t="shared" si="14"/>
        <v>7</v>
      </c>
      <c r="B76" s="85" t="s">
        <v>24</v>
      </c>
      <c r="C76" s="84">
        <f>'General Input'!$B$12</f>
        <v>0.122</v>
      </c>
      <c r="D76" s="42">
        <f>D$70*C76*TOU_MID</f>
        <v>428.21999999999997</v>
      </c>
      <c r="E76" s="108">
        <f>'General Input'!$B$12</f>
        <v>0.122</v>
      </c>
      <c r="F76" s="7">
        <f>F$70*E76*TOU_MID</f>
        <v>428.21999999999997</v>
      </c>
      <c r="G76" s="85"/>
      <c r="H76" s="84">
        <f>'General Input'!$B$12</f>
        <v>0.122</v>
      </c>
      <c r="I76" s="42">
        <f>I$70*H76*TOU_MID</f>
        <v>428.21999999999997</v>
      </c>
      <c r="J76" s="108">
        <f>'General Input'!$B$12</f>
        <v>0.122</v>
      </c>
      <c r="K76" s="7">
        <f>K$70*J76*TOU_MID</f>
        <v>428.21999999999997</v>
      </c>
      <c r="L76" s="85"/>
      <c r="M76" s="84"/>
      <c r="N76" s="42"/>
      <c r="O76" s="108"/>
      <c r="P76" s="7"/>
      <c r="Q76" s="85"/>
      <c r="R76" s="84">
        <f>'General Input'!$B$12</f>
        <v>0.122</v>
      </c>
      <c r="S76" s="42">
        <f>S$70*R76*TOU_MID</f>
        <v>428.21999999999997</v>
      </c>
      <c r="T76" s="108">
        <f>'General Input'!$B$12</f>
        <v>0.122</v>
      </c>
      <c r="U76" s="7">
        <f>U$70*T76*TOU_MID</f>
        <v>428.21999999999997</v>
      </c>
      <c r="V76" s="85"/>
    </row>
    <row r="77" spans="1:22" x14ac:dyDescent="0.25">
      <c r="A77" s="141">
        <f t="shared" si="14"/>
        <v>8</v>
      </c>
      <c r="B77" s="125" t="s">
        <v>25</v>
      </c>
      <c r="C77" s="124">
        <f>'General Input'!$B$13</f>
        <v>0.161</v>
      </c>
      <c r="D77" s="69">
        <f>D$70*C77*TOU_ON</f>
        <v>565.11</v>
      </c>
      <c r="E77" s="109">
        <f>'General Input'!$B$13</f>
        <v>0.161</v>
      </c>
      <c r="F77" s="70">
        <f>F$70*E77*TOU_ON</f>
        <v>565.11</v>
      </c>
      <c r="G77" s="125"/>
      <c r="H77" s="124">
        <f>'General Input'!$B$13</f>
        <v>0.161</v>
      </c>
      <c r="I77" s="69">
        <f>I$70*H77*TOU_ON</f>
        <v>565.11</v>
      </c>
      <c r="J77" s="109">
        <f>'General Input'!$B$13</f>
        <v>0.161</v>
      </c>
      <c r="K77" s="70">
        <f>K$70*J77*TOU_ON</f>
        <v>565.11</v>
      </c>
      <c r="L77" s="125"/>
      <c r="M77" s="124"/>
      <c r="N77" s="69"/>
      <c r="O77" s="109"/>
      <c r="P77" s="70"/>
      <c r="Q77" s="125"/>
      <c r="R77" s="124">
        <f>'General Input'!$B$13</f>
        <v>0.161</v>
      </c>
      <c r="S77" s="69">
        <f>S$70*R77*TOU_ON</f>
        <v>565.11</v>
      </c>
      <c r="T77" s="109">
        <f>'General Input'!$B$13</f>
        <v>0.161</v>
      </c>
      <c r="U77" s="70">
        <f>U$70*T77*TOU_ON</f>
        <v>565.11</v>
      </c>
      <c r="V77" s="125"/>
    </row>
    <row r="78" spans="1:22" x14ac:dyDescent="0.25">
      <c r="A78" s="142">
        <f t="shared" si="14"/>
        <v>9</v>
      </c>
      <c r="B78" s="143" t="s">
        <v>26</v>
      </c>
      <c r="C78" s="126"/>
      <c r="D78" s="96">
        <f>SUM(D75:D77)</f>
        <v>1991.73</v>
      </c>
      <c r="E78" s="110"/>
      <c r="F78" s="95">
        <f>SUM(F75:F77)</f>
        <v>1991.73</v>
      </c>
      <c r="G78" s="127">
        <f>D78-F78</f>
        <v>0</v>
      </c>
      <c r="H78" s="126"/>
      <c r="I78" s="96">
        <f>SUM(I75:I77)</f>
        <v>1991.73</v>
      </c>
      <c r="J78" s="110"/>
      <c r="K78" s="95">
        <f>SUM(K75:K77)</f>
        <v>1991.73</v>
      </c>
      <c r="L78" s="127">
        <f>I78-K78</f>
        <v>0</v>
      </c>
      <c r="M78" s="126"/>
      <c r="N78" s="96">
        <f>SUM(N75:N77)</f>
        <v>0</v>
      </c>
      <c r="O78" s="110"/>
      <c r="P78" s="95">
        <f>SUM(P75:P77)</f>
        <v>0</v>
      </c>
      <c r="Q78" s="127">
        <f>N78-P78</f>
        <v>0</v>
      </c>
      <c r="R78" s="126"/>
      <c r="S78" s="96">
        <f>SUM(S75:S77)</f>
        <v>1991.73</v>
      </c>
      <c r="T78" s="110"/>
      <c r="U78" s="95">
        <f>SUM(U75:U77)</f>
        <v>1991.73</v>
      </c>
      <c r="V78" s="127">
        <f>S78-U78</f>
        <v>0</v>
      </c>
    </row>
    <row r="79" spans="1:22" x14ac:dyDescent="0.25">
      <c r="A79" s="144">
        <f t="shared" si="14"/>
        <v>10</v>
      </c>
      <c r="B79" s="145" t="s">
        <v>118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 t="e">
        <f>Q78/N78</f>
        <v>#DIV/0!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4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4"/>
        <v>12</v>
      </c>
      <c r="B81" s="85" t="s">
        <v>5</v>
      </c>
      <c r="C81" s="55">
        <f>'2015 Approved'!$D$4</f>
        <v>122.86</v>
      </c>
      <c r="D81" s="42">
        <f>C81</f>
        <v>122.86</v>
      </c>
      <c r="E81" s="113">
        <f>'2016 Proposed'!$D$3</f>
        <v>98.89</v>
      </c>
      <c r="F81" s="7">
        <f>E81</f>
        <v>98.89</v>
      </c>
      <c r="G81" s="85"/>
      <c r="H81" s="55">
        <f>'2015 Approved'!$O$4</f>
        <v>45.55</v>
      </c>
      <c r="I81" s="42">
        <f>H81</f>
        <v>45.55</v>
      </c>
      <c r="J81" s="113">
        <f>'2016 Proposed'!$D$3</f>
        <v>98.89</v>
      </c>
      <c r="K81" s="7">
        <f>J81</f>
        <v>98.89</v>
      </c>
      <c r="L81" s="85"/>
      <c r="M81" s="55"/>
      <c r="N81" s="42"/>
      <c r="O81" s="113"/>
      <c r="P81" s="7"/>
      <c r="Q81" s="85"/>
      <c r="R81" s="55">
        <f>'2015 Approved'!$Z$4</f>
        <v>279.02</v>
      </c>
      <c r="S81" s="42">
        <f>R81</f>
        <v>279.02</v>
      </c>
      <c r="T81" s="113">
        <f>'2016 Proposed'!$D$3</f>
        <v>98.89</v>
      </c>
      <c r="U81" s="7">
        <f>T81</f>
        <v>98.89</v>
      </c>
      <c r="V81" s="85"/>
    </row>
    <row r="82" spans="1:22" x14ac:dyDescent="0.25">
      <c r="A82" s="139">
        <f t="shared" si="14"/>
        <v>13</v>
      </c>
      <c r="B82" s="85" t="s">
        <v>86</v>
      </c>
      <c r="C82" s="55">
        <f>'2015 Approved'!$D$5</f>
        <v>0</v>
      </c>
      <c r="D82" s="42">
        <f t="shared" ref="D82:D85" si="15">C82</f>
        <v>0</v>
      </c>
      <c r="E82" s="113">
        <f>'2016 Proposed'!$D$5</f>
        <v>0</v>
      </c>
      <c r="F82" s="7">
        <f t="shared" ref="F82:F85" si="16">E82</f>
        <v>0</v>
      </c>
      <c r="G82" s="85"/>
      <c r="H82" s="55">
        <f>'2015 Approved'!$O$5</f>
        <v>1.23</v>
      </c>
      <c r="I82" s="42">
        <f t="shared" ref="I82:I85" si="17">H82</f>
        <v>1.23</v>
      </c>
      <c r="J82" s="113">
        <f>'2016 Proposed'!$D$5</f>
        <v>0</v>
      </c>
      <c r="K82" s="7">
        <f t="shared" ref="K82:K85" si="18">J82</f>
        <v>0</v>
      </c>
      <c r="L82" s="85"/>
      <c r="M82" s="55"/>
      <c r="N82" s="42"/>
      <c r="O82" s="113"/>
      <c r="P82" s="7"/>
      <c r="Q82" s="85"/>
      <c r="R82" s="55">
        <f>'2015 Approved'!$Z$5</f>
        <v>0</v>
      </c>
      <c r="S82" s="42">
        <f t="shared" ref="S82:S85" si="19">R82</f>
        <v>0</v>
      </c>
      <c r="T82" s="113">
        <f>'2016 Proposed'!$D$5</f>
        <v>0</v>
      </c>
      <c r="U82" s="7">
        <f t="shared" ref="U82:U85" si="20">T82</f>
        <v>0</v>
      </c>
      <c r="V82" s="85"/>
    </row>
    <row r="83" spans="1:22" x14ac:dyDescent="0.25">
      <c r="A83" s="139">
        <f t="shared" si="14"/>
        <v>14</v>
      </c>
      <c r="B83" s="85" t="s">
        <v>86</v>
      </c>
      <c r="C83" s="55">
        <f>'2015 Approved'!$D$6</f>
        <v>0</v>
      </c>
      <c r="D83" s="42">
        <f t="shared" si="15"/>
        <v>0</v>
      </c>
      <c r="E83" s="113">
        <f>'2016 Proposed'!$D$6</f>
        <v>0</v>
      </c>
      <c r="F83" s="7">
        <f t="shared" si="16"/>
        <v>0</v>
      </c>
      <c r="G83" s="85"/>
      <c r="H83" s="55">
        <f>'2015 Approved'!$O$6</f>
        <v>0.77</v>
      </c>
      <c r="I83" s="42">
        <f t="shared" si="17"/>
        <v>0.77</v>
      </c>
      <c r="J83" s="113">
        <f>'2016 Proposed'!$D$6</f>
        <v>0</v>
      </c>
      <c r="K83" s="7">
        <f t="shared" si="18"/>
        <v>0</v>
      </c>
      <c r="L83" s="85"/>
      <c r="M83" s="55"/>
      <c r="N83" s="42"/>
      <c r="O83" s="113"/>
      <c r="P83" s="7"/>
      <c r="Q83" s="85"/>
      <c r="R83" s="55">
        <f>'2015 Approved'!$Z$6</f>
        <v>0</v>
      </c>
      <c r="S83" s="42">
        <f t="shared" si="19"/>
        <v>0</v>
      </c>
      <c r="T83" s="113">
        <f>'2016 Proposed'!$D$6</f>
        <v>0</v>
      </c>
      <c r="U83" s="7">
        <f t="shared" si="20"/>
        <v>0</v>
      </c>
      <c r="V83" s="85"/>
    </row>
    <row r="84" spans="1:22" x14ac:dyDescent="0.25">
      <c r="A84" s="139">
        <f t="shared" si="14"/>
        <v>15</v>
      </c>
      <c r="B84" s="85" t="s">
        <v>6</v>
      </c>
      <c r="C84" s="55">
        <f>'2015 Approved'!$D$70</f>
        <v>0</v>
      </c>
      <c r="D84" s="42">
        <f t="shared" si="15"/>
        <v>0</v>
      </c>
      <c r="E84" s="113">
        <f>'2016 Proposed'!$D$70</f>
        <v>0</v>
      </c>
      <c r="F84" s="7">
        <f t="shared" si="16"/>
        <v>0</v>
      </c>
      <c r="G84" s="85"/>
      <c r="H84" s="55">
        <f>'2015 Approved'!$O$70</f>
        <v>0</v>
      </c>
      <c r="I84" s="42">
        <f t="shared" si="17"/>
        <v>0</v>
      </c>
      <c r="J84" s="113">
        <f>'2016 Proposed'!$D$71</f>
        <v>0</v>
      </c>
      <c r="K84" s="7">
        <f t="shared" si="18"/>
        <v>0</v>
      </c>
      <c r="L84" s="85"/>
      <c r="M84" s="55"/>
      <c r="N84" s="42"/>
      <c r="O84" s="113"/>
      <c r="P84" s="7"/>
      <c r="Q84" s="85"/>
      <c r="R84" s="55">
        <f>'2015 Approved'!$Z$70</f>
        <v>0</v>
      </c>
      <c r="S84" s="42">
        <f t="shared" si="19"/>
        <v>0</v>
      </c>
      <c r="T84" s="113">
        <f>'2016 Proposed'!$D$70</f>
        <v>0</v>
      </c>
      <c r="U84" s="7">
        <f t="shared" si="20"/>
        <v>0</v>
      </c>
      <c r="V84" s="85"/>
    </row>
    <row r="85" spans="1:22" x14ac:dyDescent="0.25">
      <c r="A85" s="139">
        <f t="shared" si="14"/>
        <v>16</v>
      </c>
      <c r="B85" s="85" t="s">
        <v>95</v>
      </c>
      <c r="C85" s="55">
        <f>'2015 Approved'!$D$71</f>
        <v>0</v>
      </c>
      <c r="D85" s="42">
        <f t="shared" si="15"/>
        <v>0</v>
      </c>
      <c r="E85" s="113">
        <f>'2016 Proposed'!$D$71</f>
        <v>0</v>
      </c>
      <c r="F85" s="7">
        <f t="shared" si="16"/>
        <v>0</v>
      </c>
      <c r="G85" s="85"/>
      <c r="H85" s="55">
        <f>'2015 Approved'!$O$71</f>
        <v>0</v>
      </c>
      <c r="I85" s="42">
        <f t="shared" si="17"/>
        <v>0</v>
      </c>
      <c r="J85" s="113">
        <f>'2016 Proposed'!$D$71</f>
        <v>0</v>
      </c>
      <c r="K85" s="7">
        <f t="shared" si="18"/>
        <v>0</v>
      </c>
      <c r="L85" s="85"/>
      <c r="M85" s="55"/>
      <c r="N85" s="42"/>
      <c r="O85" s="113"/>
      <c r="P85" s="7"/>
      <c r="Q85" s="85"/>
      <c r="R85" s="55">
        <f>'2015 Approved'!$Z$71</f>
        <v>0</v>
      </c>
      <c r="S85" s="42">
        <f t="shared" si="19"/>
        <v>0</v>
      </c>
      <c r="T85" s="113">
        <f>'2016 Proposed'!$D$71</f>
        <v>0</v>
      </c>
      <c r="U85" s="7">
        <f t="shared" si="20"/>
        <v>0</v>
      </c>
      <c r="V85" s="85"/>
    </row>
    <row r="86" spans="1:22" x14ac:dyDescent="0.25">
      <c r="A86" s="139">
        <f t="shared" si="14"/>
        <v>17</v>
      </c>
      <c r="B86" s="85" t="s">
        <v>4</v>
      </c>
      <c r="C86" s="59">
        <f>D78/D70</f>
        <v>0.10213999999999999</v>
      </c>
      <c r="D86" s="42">
        <f>(D73-D70)*C86</f>
        <v>85.246043999999841</v>
      </c>
      <c r="E86" s="114">
        <f>F78/$F$70</f>
        <v>0.10213999999999999</v>
      </c>
      <c r="F86" s="7">
        <f>(F73-F70)*E86</f>
        <v>85.843562999999705</v>
      </c>
      <c r="G86" s="85"/>
      <c r="H86" s="59">
        <f>I78/I70</f>
        <v>0.10213999999999999</v>
      </c>
      <c r="I86" s="42">
        <f>(I73-I70)*H86</f>
        <v>121.09718399999984</v>
      </c>
      <c r="J86" s="114">
        <f>K78/$F$70</f>
        <v>0.10213999999999999</v>
      </c>
      <c r="K86" s="7">
        <f>(K73-K70)*J86</f>
        <v>85.843562999999705</v>
      </c>
      <c r="L86" s="85"/>
      <c r="M86" s="59"/>
      <c r="N86" s="42"/>
      <c r="O86" s="114"/>
      <c r="P86" s="7"/>
      <c r="Q86" s="85"/>
      <c r="R86" s="59">
        <f>S78/S70</f>
        <v>0.10213999999999999</v>
      </c>
      <c r="S86" s="42">
        <f>(S73-S70)*R86</f>
        <v>115.52033999999999</v>
      </c>
      <c r="T86" s="114">
        <f>U78/$F$70</f>
        <v>0.10213999999999999</v>
      </c>
      <c r="U86" s="7">
        <f>(U73-U70)*T86</f>
        <v>85.843562999999705</v>
      </c>
      <c r="V86" s="85"/>
    </row>
    <row r="87" spans="1:22" x14ac:dyDescent="0.25">
      <c r="A87" s="139">
        <f t="shared" si="14"/>
        <v>18</v>
      </c>
      <c r="B87" s="85" t="s">
        <v>90</v>
      </c>
      <c r="C87" s="59">
        <f>'2015 Approved'!$D$11</f>
        <v>3.4826999999999999</v>
      </c>
      <c r="D87" s="42">
        <f t="shared" ref="D87:D96" si="21">C87*D$71</f>
        <v>208.96199999999999</v>
      </c>
      <c r="E87" s="114">
        <f>'2016 Proposed'!$D$11</f>
        <v>3.2711999999999999</v>
      </c>
      <c r="F87" s="7">
        <f t="shared" ref="F87:F96" si="22">E87*F$71</f>
        <v>196.27199999999999</v>
      </c>
      <c r="G87" s="85"/>
      <c r="H87" s="59">
        <f>'2015 Approved'!$O$11</f>
        <v>1.5094000000000001</v>
      </c>
      <c r="I87" s="42">
        <f t="shared" ref="I87:I96" si="23">H87*I$71</f>
        <v>90.564000000000007</v>
      </c>
      <c r="J87" s="114">
        <f>'2016 Proposed'!$D$11</f>
        <v>3.2711999999999999</v>
      </c>
      <c r="K87" s="7">
        <f t="shared" ref="K87:K96" si="24">J87*K$71</f>
        <v>196.27199999999999</v>
      </c>
      <c r="L87" s="85"/>
      <c r="M87" s="59"/>
      <c r="N87" s="42"/>
      <c r="O87" s="114"/>
      <c r="P87" s="7"/>
      <c r="Q87" s="85"/>
      <c r="R87" s="59">
        <f>'2015 Approved'!$Z$11</f>
        <v>1.4026000000000001</v>
      </c>
      <c r="S87" s="42">
        <f t="shared" ref="S87:S96" si="25">R87*S$71</f>
        <v>84.156000000000006</v>
      </c>
      <c r="T87" s="114">
        <f>'2016 Proposed'!$D$11</f>
        <v>3.2711999999999999</v>
      </c>
      <c r="U87" s="7">
        <f t="shared" ref="U87:U96" si="26">T87*U$71</f>
        <v>196.27199999999999</v>
      </c>
      <c r="V87" s="85"/>
    </row>
    <row r="88" spans="1:22" x14ac:dyDescent="0.25">
      <c r="A88" s="139">
        <f t="shared" si="14"/>
        <v>19</v>
      </c>
      <c r="B88" s="85" t="s">
        <v>8</v>
      </c>
      <c r="C88" s="59">
        <f>'2015 Approved'!$D$12</f>
        <v>0.1295</v>
      </c>
      <c r="D88" s="42">
        <f t="shared" si="21"/>
        <v>7.7700000000000005</v>
      </c>
      <c r="E88" s="114">
        <f>'2016 Proposed'!$D$13</f>
        <v>0.6512</v>
      </c>
      <c r="F88" s="7">
        <f t="shared" si="22"/>
        <v>39.072000000000003</v>
      </c>
      <c r="G88" s="85"/>
      <c r="H88" s="59">
        <f>'2015 Approved'!$O$12</f>
        <v>0.10100000000000001</v>
      </c>
      <c r="I88" s="42">
        <f t="shared" si="23"/>
        <v>6.0600000000000005</v>
      </c>
      <c r="J88" s="114">
        <f>'2016 Proposed'!$D$13</f>
        <v>0.6512</v>
      </c>
      <c r="K88" s="7">
        <f t="shared" si="24"/>
        <v>39.072000000000003</v>
      </c>
      <c r="L88" s="85"/>
      <c r="M88" s="59"/>
      <c r="N88" s="42"/>
      <c r="O88" s="114"/>
      <c r="P88" s="7"/>
      <c r="Q88" s="85"/>
      <c r="R88" s="59">
        <f>'2015 Approved'!$Z$12</f>
        <v>1.7261</v>
      </c>
      <c r="S88" s="42">
        <f t="shared" si="25"/>
        <v>103.566</v>
      </c>
      <c r="T88" s="114">
        <f>'2016 Proposed'!$D$13</f>
        <v>0.6512</v>
      </c>
      <c r="U88" s="7">
        <f t="shared" si="26"/>
        <v>39.072000000000003</v>
      </c>
      <c r="V88" s="85"/>
    </row>
    <row r="89" spans="1:22" x14ac:dyDescent="0.25">
      <c r="A89" s="139">
        <f t="shared" si="14"/>
        <v>20</v>
      </c>
      <c r="B89" s="85" t="s">
        <v>87</v>
      </c>
      <c r="C89" s="59">
        <f>'2015 Approved'!$D$13</f>
        <v>0</v>
      </c>
      <c r="D89" s="42">
        <f t="shared" si="21"/>
        <v>0</v>
      </c>
      <c r="E89" s="114">
        <f>'2016 Proposed'!$D$14</f>
        <v>0</v>
      </c>
      <c r="F89" s="7">
        <f t="shared" si="22"/>
        <v>0</v>
      </c>
      <c r="G89" s="85"/>
      <c r="H89" s="59">
        <f>'2015 Approved'!$O$13</f>
        <v>2.3999999999999998E-3</v>
      </c>
      <c r="I89" s="42">
        <f t="shared" si="23"/>
        <v>0.14399999999999999</v>
      </c>
      <c r="J89" s="114">
        <f>'2016 Proposed'!$D$14</f>
        <v>0</v>
      </c>
      <c r="K89" s="7">
        <f t="shared" si="24"/>
        <v>0</v>
      </c>
      <c r="L89" s="85"/>
      <c r="M89" s="59"/>
      <c r="N89" s="42"/>
      <c r="O89" s="114"/>
      <c r="P89" s="7"/>
      <c r="Q89" s="85"/>
      <c r="R89" s="59">
        <f>'2015 Approved'!$Z$13</f>
        <v>0</v>
      </c>
      <c r="S89" s="42">
        <f t="shared" si="25"/>
        <v>0</v>
      </c>
      <c r="T89" s="114">
        <f>'2016 Proposed'!$D$14</f>
        <v>0</v>
      </c>
      <c r="U89" s="7">
        <f t="shared" si="26"/>
        <v>0</v>
      </c>
      <c r="V89" s="85"/>
    </row>
    <row r="90" spans="1:22" x14ac:dyDescent="0.25">
      <c r="A90" s="139">
        <f t="shared" si="14"/>
        <v>21</v>
      </c>
      <c r="B90" s="85" t="s">
        <v>9</v>
      </c>
      <c r="C90" s="59">
        <f>'2015 Approved'!$D$14</f>
        <v>3.4000000000000002E-2</v>
      </c>
      <c r="D90" s="42">
        <f t="shared" si="21"/>
        <v>2.04</v>
      </c>
      <c r="E90" s="114">
        <f>'2016 Proposed'!$D$15</f>
        <v>6.3500000000000001E-2</v>
      </c>
      <c r="F90" s="7">
        <f t="shared" si="22"/>
        <v>3.81</v>
      </c>
      <c r="G90" s="85"/>
      <c r="H90" s="59">
        <f>'2015 Approved'!$O$14</f>
        <v>1.5900000000000001E-2</v>
      </c>
      <c r="I90" s="42">
        <f t="shared" si="23"/>
        <v>0.95400000000000007</v>
      </c>
      <c r="J90" s="114">
        <f>'2016 Proposed'!$D$15</f>
        <v>6.3500000000000001E-2</v>
      </c>
      <c r="K90" s="7">
        <f t="shared" si="24"/>
        <v>3.81</v>
      </c>
      <c r="L90" s="85"/>
      <c r="M90" s="59"/>
      <c r="N90" s="42"/>
      <c r="O90" s="114"/>
      <c r="P90" s="7"/>
      <c r="Q90" s="85"/>
      <c r="R90" s="59">
        <f>'2015 Approved'!$Z$14</f>
        <v>0</v>
      </c>
      <c r="S90" s="42">
        <f t="shared" si="25"/>
        <v>0</v>
      </c>
      <c r="T90" s="114">
        <f>'2016 Proposed'!$D$15</f>
        <v>6.3500000000000001E-2</v>
      </c>
      <c r="U90" s="7">
        <f t="shared" si="26"/>
        <v>3.81</v>
      </c>
      <c r="V90" s="85"/>
    </row>
    <row r="91" spans="1:22" x14ac:dyDescent="0.25">
      <c r="A91" s="139">
        <f t="shared" si="14"/>
        <v>22</v>
      </c>
      <c r="B91" s="85" t="s">
        <v>10</v>
      </c>
      <c r="C91" s="59">
        <f>'2015 Approved'!$D$15</f>
        <v>-2.3599999999999999E-2</v>
      </c>
      <c r="D91" s="42">
        <f t="shared" si="21"/>
        <v>-1.4159999999999999</v>
      </c>
      <c r="E91" s="114">
        <f>'2016 Proposed'!$D$16</f>
        <v>0</v>
      </c>
      <c r="F91" s="7">
        <f t="shared" si="22"/>
        <v>0</v>
      </c>
      <c r="G91" s="85"/>
      <c r="H91" s="59">
        <f>'2015 Approved'!$O$15</f>
        <v>-9.4000000000000004E-3</v>
      </c>
      <c r="I91" s="42">
        <f t="shared" si="23"/>
        <v>-0.56400000000000006</v>
      </c>
      <c r="J91" s="114">
        <f>'2016 Proposed'!$D$16</f>
        <v>0</v>
      </c>
      <c r="K91" s="7">
        <f t="shared" si="24"/>
        <v>0</v>
      </c>
      <c r="L91" s="85"/>
      <c r="M91" s="59"/>
      <c r="N91" s="42"/>
      <c r="O91" s="114"/>
      <c r="P91" s="7"/>
      <c r="Q91" s="85"/>
      <c r="R91" s="59">
        <f>'2015 Approved'!$Z$15</f>
        <v>0</v>
      </c>
      <c r="S91" s="42">
        <f t="shared" si="25"/>
        <v>0</v>
      </c>
      <c r="T91" s="114">
        <f>'2016 Proposed'!$D$16</f>
        <v>0</v>
      </c>
      <c r="U91" s="7">
        <f t="shared" si="26"/>
        <v>0</v>
      </c>
      <c r="V91" s="85"/>
    </row>
    <row r="92" spans="1:22" x14ac:dyDescent="0.25">
      <c r="A92" s="139">
        <f t="shared" si="14"/>
        <v>23</v>
      </c>
      <c r="B92" s="85" t="s">
        <v>101</v>
      </c>
      <c r="C92" s="59">
        <f>'2015 Approved'!$D$16</f>
        <v>0</v>
      </c>
      <c r="D92" s="42">
        <f t="shared" si="21"/>
        <v>0</v>
      </c>
      <c r="E92" s="114">
        <f>'2016 Proposed'!$D$17</f>
        <v>0</v>
      </c>
      <c r="F92" s="7">
        <f t="shared" si="22"/>
        <v>0</v>
      </c>
      <c r="G92" s="85"/>
      <c r="H92" s="59">
        <f>'2015 Approved'!$O$16</f>
        <v>0</v>
      </c>
      <c r="I92" s="42">
        <f t="shared" si="23"/>
        <v>0</v>
      </c>
      <c r="J92" s="114">
        <f>'2016 Proposed'!$D$17</f>
        <v>0</v>
      </c>
      <c r="K92" s="7">
        <f t="shared" si="24"/>
        <v>0</v>
      </c>
      <c r="L92" s="85"/>
      <c r="M92" s="59"/>
      <c r="N92" s="42"/>
      <c r="O92" s="114"/>
      <c r="P92" s="7"/>
      <c r="Q92" s="85"/>
      <c r="R92" s="59">
        <f>'2015 Approved'!$Z$16</f>
        <v>0.87029999999999996</v>
      </c>
      <c r="S92" s="42">
        <f t="shared" si="25"/>
        <v>52.217999999999996</v>
      </c>
      <c r="T92" s="114">
        <f>R92</f>
        <v>0.87029999999999996</v>
      </c>
      <c r="U92" s="7">
        <f t="shared" si="26"/>
        <v>52.217999999999996</v>
      </c>
      <c r="V92" s="85"/>
    </row>
    <row r="93" spans="1:22" x14ac:dyDescent="0.25">
      <c r="A93" s="139">
        <f t="shared" si="14"/>
        <v>24</v>
      </c>
      <c r="B93" s="85" t="s">
        <v>112</v>
      </c>
      <c r="C93" s="59">
        <f>'2015 Approved'!$D$17</f>
        <v>0.78900000000000003</v>
      </c>
      <c r="D93" s="42">
        <f t="shared" si="21"/>
        <v>47.34</v>
      </c>
      <c r="E93" s="114">
        <f>'2016 Proposed'!$D$18</f>
        <v>0</v>
      </c>
      <c r="F93" s="7">
        <f t="shared" si="22"/>
        <v>0</v>
      </c>
      <c r="G93" s="85"/>
      <c r="H93" s="59">
        <f>'2015 Approved'!$O$17</f>
        <v>0.49880000000000002</v>
      </c>
      <c r="I93" s="42">
        <f t="shared" si="23"/>
        <v>29.928000000000001</v>
      </c>
      <c r="J93" s="114">
        <f>'2016 Proposed'!$D$18</f>
        <v>0</v>
      </c>
      <c r="K93" s="7">
        <f t="shared" si="24"/>
        <v>0</v>
      </c>
      <c r="L93" s="85"/>
      <c r="M93" s="59"/>
      <c r="N93" s="42"/>
      <c r="O93" s="114"/>
      <c r="P93" s="7"/>
      <c r="Q93" s="85"/>
      <c r="R93" s="59">
        <f>'2015 Approved'!$Z$17</f>
        <v>1.679</v>
      </c>
      <c r="S93" s="42">
        <f t="shared" si="25"/>
        <v>100.74000000000001</v>
      </c>
      <c r="T93" s="114">
        <f>'2016 Proposed'!$D$18</f>
        <v>0</v>
      </c>
      <c r="U93" s="7">
        <f t="shared" si="26"/>
        <v>0</v>
      </c>
      <c r="V93" s="85"/>
    </row>
    <row r="94" spans="1:22" x14ac:dyDescent="0.25">
      <c r="A94" s="139">
        <f t="shared" si="14"/>
        <v>25</v>
      </c>
      <c r="B94" s="85" t="s">
        <v>102</v>
      </c>
      <c r="C94" s="59">
        <f>'2015 Approved'!$D$18</f>
        <v>0</v>
      </c>
      <c r="D94" s="42">
        <f t="shared" si="21"/>
        <v>0</v>
      </c>
      <c r="E94" s="114">
        <f>'2016 Proposed'!$D$19</f>
        <v>0.58379999999999999</v>
      </c>
      <c r="F94" s="7">
        <f t="shared" si="22"/>
        <v>35.027999999999999</v>
      </c>
      <c r="G94" s="85"/>
      <c r="H94" s="59">
        <f>'2015 Approved'!$O$18</f>
        <v>0</v>
      </c>
      <c r="I94" s="42">
        <f t="shared" si="23"/>
        <v>0</v>
      </c>
      <c r="J94" s="114">
        <f>'2016 Proposed'!$D$19</f>
        <v>0.58379999999999999</v>
      </c>
      <c r="K94" s="7">
        <f t="shared" si="24"/>
        <v>35.027999999999999</v>
      </c>
      <c r="L94" s="85"/>
      <c r="M94" s="59"/>
      <c r="N94" s="42"/>
      <c r="O94" s="114"/>
      <c r="P94" s="7"/>
      <c r="Q94" s="85"/>
      <c r="R94" s="59">
        <f>'2015 Approved'!$Z$18</f>
        <v>0</v>
      </c>
      <c r="S94" s="42">
        <f t="shared" si="25"/>
        <v>0</v>
      </c>
      <c r="T94" s="114">
        <f>'2016 Proposed'!$D$19</f>
        <v>0.58379999999999999</v>
      </c>
      <c r="U94" s="7">
        <f t="shared" si="26"/>
        <v>35.027999999999999</v>
      </c>
      <c r="V94" s="85"/>
    </row>
    <row r="95" spans="1:22" x14ac:dyDescent="0.25">
      <c r="A95" s="139">
        <f t="shared" si="14"/>
        <v>26</v>
      </c>
      <c r="B95" s="85" t="s">
        <v>94</v>
      </c>
      <c r="C95" s="59">
        <f>'2015 Approved'!$D$19</f>
        <v>0</v>
      </c>
      <c r="D95" s="42">
        <f t="shared" si="21"/>
        <v>0</v>
      </c>
      <c r="E95" s="114">
        <f>'2016 Proposed'!$D$20</f>
        <v>0.2777</v>
      </c>
      <c r="F95" s="7">
        <f t="shared" si="22"/>
        <v>16.661999999999999</v>
      </c>
      <c r="G95" s="85"/>
      <c r="H95" s="59">
        <f>'2015 Approved'!$O$19</f>
        <v>0</v>
      </c>
      <c r="I95" s="42">
        <f t="shared" si="23"/>
        <v>0</v>
      </c>
      <c r="J95" s="114">
        <f>'2016 Proposed'!$D$20</f>
        <v>0.2777</v>
      </c>
      <c r="K95" s="7">
        <f t="shared" si="24"/>
        <v>16.661999999999999</v>
      </c>
      <c r="L95" s="85"/>
      <c r="M95" s="59"/>
      <c r="N95" s="42"/>
      <c r="O95" s="114"/>
      <c r="P95" s="7"/>
      <c r="Q95" s="85"/>
      <c r="R95" s="59">
        <f>'2015 Approved'!$Z$19</f>
        <v>0</v>
      </c>
      <c r="S95" s="42">
        <f t="shared" si="25"/>
        <v>0</v>
      </c>
      <c r="T95" s="114">
        <f>'2016 Proposed'!$D$20</f>
        <v>0.2777</v>
      </c>
      <c r="U95" s="7">
        <f t="shared" si="26"/>
        <v>16.661999999999999</v>
      </c>
      <c r="V95" s="85"/>
    </row>
    <row r="96" spans="1:22" x14ac:dyDescent="0.25">
      <c r="A96" s="139">
        <f t="shared" si="14"/>
        <v>27</v>
      </c>
      <c r="B96" s="85" t="s">
        <v>104</v>
      </c>
      <c r="C96" s="59">
        <f>'2015 Approved'!$D$20</f>
        <v>0</v>
      </c>
      <c r="D96" s="42">
        <f t="shared" si="21"/>
        <v>0</v>
      </c>
      <c r="E96" s="114">
        <f>'2016 Proposed'!$D$21</f>
        <v>-0.82540000000000002</v>
      </c>
      <c r="F96" s="7">
        <f t="shared" si="22"/>
        <v>-49.524000000000001</v>
      </c>
      <c r="G96" s="85"/>
      <c r="H96" s="59">
        <f>'2015 Approved'!$O$20</f>
        <v>0</v>
      </c>
      <c r="I96" s="42">
        <f t="shared" si="23"/>
        <v>0</v>
      </c>
      <c r="J96" s="114">
        <f>'2016 Proposed'!$D$21</f>
        <v>-0.82540000000000002</v>
      </c>
      <c r="K96" s="7">
        <f t="shared" si="24"/>
        <v>-49.524000000000001</v>
      </c>
      <c r="L96" s="85"/>
      <c r="M96" s="59"/>
      <c r="N96" s="42"/>
      <c r="O96" s="114"/>
      <c r="P96" s="7"/>
      <c r="Q96" s="85"/>
      <c r="R96" s="59">
        <f>'2015 Approved'!$Z$20</f>
        <v>0</v>
      </c>
      <c r="S96" s="42">
        <f t="shared" si="25"/>
        <v>0</v>
      </c>
      <c r="T96" s="114">
        <f>'2016 Proposed'!$D$21</f>
        <v>-0.82540000000000002</v>
      </c>
      <c r="U96" s="7">
        <f t="shared" si="26"/>
        <v>-49.524000000000001</v>
      </c>
      <c r="V96" s="85"/>
    </row>
    <row r="97" spans="1:22" x14ac:dyDescent="0.25">
      <c r="A97" s="142">
        <f t="shared" si="14"/>
        <v>28</v>
      </c>
      <c r="B97" s="143" t="s">
        <v>26</v>
      </c>
      <c r="C97" s="126"/>
      <c r="D97" s="96">
        <f>SUM(D81:D96)</f>
        <v>472.8020439999998</v>
      </c>
      <c r="E97" s="110"/>
      <c r="F97" s="95">
        <f>SUM(F81:F96)</f>
        <v>426.05356299999971</v>
      </c>
      <c r="G97" s="127">
        <f>F97-D97</f>
        <v>-46.748481000000083</v>
      </c>
      <c r="H97" s="126"/>
      <c r="I97" s="96">
        <f>SUM(I81:I96)</f>
        <v>295.73318399999982</v>
      </c>
      <c r="J97" s="110"/>
      <c r="K97" s="95">
        <f>SUM(K81:K96)</f>
        <v>426.05356299999971</v>
      </c>
      <c r="L97" s="127">
        <f>K97-I97</f>
        <v>130.32037899999989</v>
      </c>
      <c r="M97" s="126"/>
      <c r="N97" s="96">
        <f>SUM(N81:N96)</f>
        <v>0</v>
      </c>
      <c r="O97" s="110"/>
      <c r="P97" s="95">
        <f>SUM(P81:P96)</f>
        <v>0</v>
      </c>
      <c r="Q97" s="127">
        <f>P97-N97</f>
        <v>0</v>
      </c>
      <c r="R97" s="126"/>
      <c r="S97" s="96">
        <f>SUM(S81:S96)</f>
        <v>735.22033999999996</v>
      </c>
      <c r="T97" s="110"/>
      <c r="U97" s="95">
        <f>SUM(U81:U96)</f>
        <v>478.27156299999979</v>
      </c>
      <c r="V97" s="127">
        <f>U97-S97</f>
        <v>-256.94877700000018</v>
      </c>
    </row>
    <row r="98" spans="1:22" x14ac:dyDescent="0.25">
      <c r="A98" s="144">
        <f t="shared" si="14"/>
        <v>29</v>
      </c>
      <c r="B98" s="145" t="s">
        <v>118</v>
      </c>
      <c r="C98" s="128"/>
      <c r="D98" s="120"/>
      <c r="E98" s="111"/>
      <c r="F98" s="97"/>
      <c r="G98" s="129">
        <f>G97/D97</f>
        <v>-9.8875378381401632E-2</v>
      </c>
      <c r="H98" s="128"/>
      <c r="I98" s="120"/>
      <c r="J98" s="111"/>
      <c r="K98" s="97"/>
      <c r="L98" s="129">
        <f>L97/I97</f>
        <v>0.44066877188864934</v>
      </c>
      <c r="M98" s="128"/>
      <c r="N98" s="120"/>
      <c r="O98" s="111"/>
      <c r="P98" s="97"/>
      <c r="Q98" s="129" t="e">
        <f>Q97/N97</f>
        <v>#DIV/0!</v>
      </c>
      <c r="R98" s="128"/>
      <c r="S98" s="120"/>
      <c r="T98" s="111"/>
      <c r="U98" s="97"/>
      <c r="V98" s="129">
        <f>V97/S97</f>
        <v>-0.34948540324659705</v>
      </c>
    </row>
    <row r="99" spans="1:22" x14ac:dyDescent="0.25">
      <c r="A99" s="146">
        <f t="shared" si="14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4"/>
        <v>31</v>
      </c>
      <c r="B100" s="85" t="s">
        <v>68</v>
      </c>
      <c r="C100" s="59">
        <f>'2015 Approved'!$D$26</f>
        <v>2.7467999999999999</v>
      </c>
      <c r="D100" s="42">
        <f>C100*D$71</f>
        <v>164.80799999999999</v>
      </c>
      <c r="E100" s="114">
        <f>'2016 Proposed'!$D$28</f>
        <v>2.7772999999999999</v>
      </c>
      <c r="F100" s="7">
        <f>E100*F$71</f>
        <v>166.63800000000001</v>
      </c>
      <c r="G100" s="85"/>
      <c r="H100" s="59">
        <f>'2015 Approved'!$O$26</f>
        <v>2.6280000000000001</v>
      </c>
      <c r="I100" s="42">
        <f>H100*I$71</f>
        <v>157.68</v>
      </c>
      <c r="J100" s="114">
        <f>'2016 Proposed'!$D$28</f>
        <v>2.7772999999999999</v>
      </c>
      <c r="K100" s="7">
        <f>J100*K$71</f>
        <v>166.63800000000001</v>
      </c>
      <c r="L100" s="85"/>
      <c r="M100" s="59"/>
      <c r="N100" s="42"/>
      <c r="O100" s="114"/>
      <c r="P100" s="7"/>
      <c r="Q100" s="85"/>
      <c r="R100" s="59">
        <f>'2015 Approved'!$Z$26</f>
        <v>2.7835355586422796</v>
      </c>
      <c r="S100" s="42">
        <f>R100*S$71</f>
        <v>167.01213351853679</v>
      </c>
      <c r="T100" s="114">
        <f>'2016 Proposed'!$D$28</f>
        <v>2.7772999999999999</v>
      </c>
      <c r="U100" s="7">
        <f>T100*U$71</f>
        <v>166.63800000000001</v>
      </c>
      <c r="V100" s="85"/>
    </row>
    <row r="101" spans="1:22" x14ac:dyDescent="0.25">
      <c r="A101" s="139">
        <f t="shared" si="14"/>
        <v>32</v>
      </c>
      <c r="B101" s="85" t="s">
        <v>69</v>
      </c>
      <c r="C101" s="59">
        <f>'2015 Approved'!$D$27</f>
        <v>1.8887</v>
      </c>
      <c r="D101" s="42">
        <f>C101*D$71</f>
        <v>113.322</v>
      </c>
      <c r="E101" s="114">
        <f>'2016 Proposed'!$D$29</f>
        <v>2.0087000000000002</v>
      </c>
      <c r="F101" s="7">
        <f>E101*F$71</f>
        <v>120.52200000000001</v>
      </c>
      <c r="G101" s="85"/>
      <c r="H101" s="59">
        <f>'2015 Approved'!$O$27</f>
        <v>1.829</v>
      </c>
      <c r="I101" s="42">
        <f>H101*I$71</f>
        <v>109.74</v>
      </c>
      <c r="J101" s="114">
        <f>'2016 Proposed'!$D$29</f>
        <v>2.0087000000000002</v>
      </c>
      <c r="K101" s="7">
        <f>J101*K$71</f>
        <v>120.52200000000001</v>
      </c>
      <c r="L101" s="85"/>
      <c r="M101" s="59"/>
      <c r="N101" s="42"/>
      <c r="O101" s="114"/>
      <c r="P101" s="7"/>
      <c r="Q101" s="85"/>
      <c r="R101" s="59">
        <f>'2015 Approved'!$Z$27</f>
        <v>1.2831158880371321</v>
      </c>
      <c r="S101" s="42">
        <f>R101*S$71</f>
        <v>76.98695328222793</v>
      </c>
      <c r="T101" s="114">
        <f>'2016 Proposed'!$D$29</f>
        <v>2.0087000000000002</v>
      </c>
      <c r="U101" s="7">
        <f>T101*U$71</f>
        <v>120.52200000000001</v>
      </c>
      <c r="V101" s="85"/>
    </row>
    <row r="102" spans="1:22" x14ac:dyDescent="0.25">
      <c r="A102" s="142">
        <f t="shared" si="14"/>
        <v>33</v>
      </c>
      <c r="B102" s="143" t="s">
        <v>26</v>
      </c>
      <c r="C102" s="126"/>
      <c r="D102" s="96">
        <f>SUM(D100:D101)</f>
        <v>278.13</v>
      </c>
      <c r="E102" s="110"/>
      <c r="F102" s="95">
        <f>SUM(F100:F101)</f>
        <v>287.16000000000003</v>
      </c>
      <c r="G102" s="127">
        <f>F102-D102</f>
        <v>9.0300000000000296</v>
      </c>
      <c r="H102" s="126"/>
      <c r="I102" s="96">
        <f>SUM(I100:I101)</f>
        <v>267.42</v>
      </c>
      <c r="J102" s="110"/>
      <c r="K102" s="95">
        <f>SUM(K100:K101)</f>
        <v>287.16000000000003</v>
      </c>
      <c r="L102" s="127">
        <f>K102-I102</f>
        <v>19.740000000000009</v>
      </c>
      <c r="M102" s="126"/>
      <c r="N102" s="96">
        <f>SUM(N100:N101)</f>
        <v>0</v>
      </c>
      <c r="O102" s="110"/>
      <c r="P102" s="95">
        <f>SUM(P100:P101)</f>
        <v>0</v>
      </c>
      <c r="Q102" s="127">
        <f>P102-N102</f>
        <v>0</v>
      </c>
      <c r="R102" s="126"/>
      <c r="S102" s="96">
        <f>SUM(S100:S101)</f>
        <v>243.9990868007647</v>
      </c>
      <c r="T102" s="110"/>
      <c r="U102" s="95">
        <f>SUM(U100:U101)</f>
        <v>287.16000000000003</v>
      </c>
      <c r="V102" s="127">
        <f>U102-S102</f>
        <v>43.160913199235324</v>
      </c>
    </row>
    <row r="103" spans="1:22" x14ac:dyDescent="0.25">
      <c r="A103" s="144">
        <f t="shared" si="14"/>
        <v>34</v>
      </c>
      <c r="B103" s="145" t="s">
        <v>118</v>
      </c>
      <c r="C103" s="128"/>
      <c r="D103" s="120"/>
      <c r="E103" s="111"/>
      <c r="F103" s="97"/>
      <c r="G103" s="129">
        <f>G102/D102</f>
        <v>3.2466832056951889E-2</v>
      </c>
      <c r="H103" s="128"/>
      <c r="I103" s="120"/>
      <c r="J103" s="111"/>
      <c r="K103" s="97"/>
      <c r="L103" s="129">
        <f>L102/I102</f>
        <v>7.3816468476553765E-2</v>
      </c>
      <c r="M103" s="128"/>
      <c r="N103" s="120"/>
      <c r="O103" s="111"/>
      <c r="P103" s="97"/>
      <c r="Q103" s="129" t="e">
        <f>Q102/N102</f>
        <v>#DIV/0!</v>
      </c>
      <c r="R103" s="128"/>
      <c r="S103" s="120"/>
      <c r="T103" s="111"/>
      <c r="U103" s="97"/>
      <c r="V103" s="129">
        <f>V102/S102</f>
        <v>0.17688965055216779</v>
      </c>
    </row>
    <row r="104" spans="1:22" x14ac:dyDescent="0.25">
      <c r="A104" s="146">
        <f t="shared" si="14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4"/>
        <v>36</v>
      </c>
      <c r="B105" s="85" t="s">
        <v>66</v>
      </c>
      <c r="C105" s="59">
        <f>WMSR+RRRP</f>
        <v>5.7000000000000002E-3</v>
      </c>
      <c r="D105" s="42">
        <f>C105*D73</f>
        <v>115.90722</v>
      </c>
      <c r="E105" s="114">
        <f>WMSR+RRRP</f>
        <v>5.7000000000000002E-3</v>
      </c>
      <c r="F105" s="7">
        <f>E105*F73</f>
        <v>115.94056499999999</v>
      </c>
      <c r="G105" s="85"/>
      <c r="H105" s="59">
        <f>WMSR+RRRP</f>
        <v>5.7000000000000002E-3</v>
      </c>
      <c r="I105" s="42">
        <f>H105*I73</f>
        <v>117.90791999999999</v>
      </c>
      <c r="J105" s="114">
        <f>WMSR+RRRP</f>
        <v>5.7000000000000002E-3</v>
      </c>
      <c r="K105" s="7">
        <f>J105*K73</f>
        <v>115.94056499999999</v>
      </c>
      <c r="L105" s="85"/>
      <c r="M105" s="59"/>
      <c r="N105" s="42"/>
      <c r="O105" s="114"/>
      <c r="P105" s="7"/>
      <c r="Q105" s="85"/>
      <c r="R105" s="59">
        <f>WMSR+RRRP</f>
        <v>5.7000000000000002E-3</v>
      </c>
      <c r="S105" s="42">
        <f>R105*S73</f>
        <v>117.5967</v>
      </c>
      <c r="T105" s="114">
        <f>WMSR+RRRP</f>
        <v>5.7000000000000002E-3</v>
      </c>
      <c r="U105" s="7">
        <f>T105*U73</f>
        <v>115.94056499999999</v>
      </c>
      <c r="V105" s="85"/>
    </row>
    <row r="106" spans="1:22" x14ac:dyDescent="0.25">
      <c r="A106" s="139">
        <f t="shared" si="14"/>
        <v>37</v>
      </c>
      <c r="B106" s="85" t="s">
        <v>67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/>
      <c r="N106" s="42"/>
      <c r="O106" s="114"/>
      <c r="P106" s="7"/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4"/>
        <v>38</v>
      </c>
      <c r="B107" s="85" t="s">
        <v>11</v>
      </c>
      <c r="C107" s="59">
        <v>7.0000000000000001E-3</v>
      </c>
      <c r="D107" s="42">
        <f>C107*D70</f>
        <v>136.5</v>
      </c>
      <c r="E107" s="114">
        <v>7.0000000000000001E-3</v>
      </c>
      <c r="F107" s="7">
        <f>E107*F70</f>
        <v>136.5</v>
      </c>
      <c r="G107" s="85"/>
      <c r="H107" s="59">
        <v>7.0000000000000001E-3</v>
      </c>
      <c r="I107" s="42">
        <f>H107*I70</f>
        <v>136.5</v>
      </c>
      <c r="J107" s="114">
        <v>7.0000000000000001E-3</v>
      </c>
      <c r="K107" s="7">
        <f>J107*K70</f>
        <v>136.5</v>
      </c>
      <c r="L107" s="85"/>
      <c r="M107" s="59"/>
      <c r="N107" s="42"/>
      <c r="O107" s="114"/>
      <c r="P107" s="7"/>
      <c r="Q107" s="85"/>
      <c r="R107" s="59">
        <v>7.0000000000000001E-3</v>
      </c>
      <c r="S107" s="42">
        <f>R107*S70</f>
        <v>136.5</v>
      </c>
      <c r="T107" s="114">
        <v>7.0000000000000001E-3</v>
      </c>
      <c r="U107" s="7">
        <f>T107*U70</f>
        <v>136.5</v>
      </c>
      <c r="V107" s="85"/>
    </row>
    <row r="108" spans="1:22" x14ac:dyDescent="0.25">
      <c r="A108" s="139">
        <f t="shared" si="14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/>
      <c r="N108" s="42"/>
      <c r="O108" s="106"/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4"/>
        <v>40</v>
      </c>
      <c r="B109" s="143" t="s">
        <v>12</v>
      </c>
      <c r="C109" s="126"/>
      <c r="D109" s="96">
        <f>SUM(D105:D108)</f>
        <v>252.65722</v>
      </c>
      <c r="E109" s="110"/>
      <c r="F109" s="95">
        <f>SUM(F105:F108)</f>
        <v>252.69056499999999</v>
      </c>
      <c r="G109" s="127">
        <f>F109-D109</f>
        <v>3.3344999999997071E-2</v>
      </c>
      <c r="H109" s="126"/>
      <c r="I109" s="96">
        <f>SUM(I105:I108)</f>
        <v>254.65791999999999</v>
      </c>
      <c r="J109" s="110"/>
      <c r="K109" s="95">
        <f>SUM(K105:K108)</f>
        <v>252.69056499999999</v>
      </c>
      <c r="L109" s="127">
        <f>K109-I109</f>
        <v>-1.9673549999999977</v>
      </c>
      <c r="M109" s="126"/>
      <c r="N109" s="96">
        <f>SUM(N105:N108)</f>
        <v>0</v>
      </c>
      <c r="O109" s="110"/>
      <c r="P109" s="95">
        <f>SUM(P105:P108)</f>
        <v>0</v>
      </c>
      <c r="Q109" s="127">
        <f>P109-N109</f>
        <v>0</v>
      </c>
      <c r="R109" s="126"/>
      <c r="S109" s="96">
        <f>SUM(S105:S108)</f>
        <v>254.3467</v>
      </c>
      <c r="T109" s="110"/>
      <c r="U109" s="95">
        <f>SUM(U105:U108)</f>
        <v>252.69056499999999</v>
      </c>
      <c r="V109" s="127">
        <f>U109-S109</f>
        <v>-1.6561350000000061</v>
      </c>
    </row>
    <row r="110" spans="1:22" x14ac:dyDescent="0.25">
      <c r="A110" s="144">
        <f t="shared" si="14"/>
        <v>41</v>
      </c>
      <c r="B110" s="145" t="s">
        <v>118</v>
      </c>
      <c r="C110" s="128"/>
      <c r="D110" s="120"/>
      <c r="E110" s="111"/>
      <c r="F110" s="97"/>
      <c r="G110" s="129">
        <f>G109/D109</f>
        <v>1.3197722986106264E-4</v>
      </c>
      <c r="H110" s="128"/>
      <c r="I110" s="120"/>
      <c r="J110" s="111"/>
      <c r="K110" s="97"/>
      <c r="L110" s="129">
        <f>L109/I109</f>
        <v>-7.7254813044887738E-3</v>
      </c>
      <c r="M110" s="128"/>
      <c r="N110" s="120"/>
      <c r="O110" s="111"/>
      <c r="P110" s="97"/>
      <c r="Q110" s="129" t="e">
        <f>Q109/N109</f>
        <v>#DIV/0!</v>
      </c>
      <c r="R110" s="128"/>
      <c r="S110" s="120"/>
      <c r="T110" s="111"/>
      <c r="U110" s="97"/>
      <c r="V110" s="129">
        <f>V109/S109</f>
        <v>-6.5113288279344929E-3</v>
      </c>
    </row>
    <row r="111" spans="1:22" x14ac:dyDescent="0.25">
      <c r="A111" s="147">
        <f t="shared" si="14"/>
        <v>42</v>
      </c>
      <c r="B111" s="133" t="s">
        <v>129</v>
      </c>
      <c r="C111" s="132"/>
      <c r="D111" s="122">
        <f>D78+D97+D102+D109</f>
        <v>2995.3192639999997</v>
      </c>
      <c r="E111" s="115"/>
      <c r="F111" s="102">
        <f>F78+F97+F102+F109</f>
        <v>2957.6341279999997</v>
      </c>
      <c r="G111" s="133"/>
      <c r="H111" s="132"/>
      <c r="I111" s="122">
        <f>I78+I97+I102+I109</f>
        <v>2809.5411039999999</v>
      </c>
      <c r="J111" s="115"/>
      <c r="K111" s="102">
        <f>K78+K97+K102+K109</f>
        <v>2957.6341279999997</v>
      </c>
      <c r="L111" s="133"/>
      <c r="M111" s="132"/>
      <c r="N111" s="122">
        <f>N78+N97+N102+N109</f>
        <v>0</v>
      </c>
      <c r="O111" s="115"/>
      <c r="P111" s="102">
        <f>P78+P97+P102+P109</f>
        <v>0</v>
      </c>
      <c r="Q111" s="133"/>
      <c r="R111" s="132"/>
      <c r="S111" s="122">
        <f>S78+S97+S102+S109</f>
        <v>3225.2961268007648</v>
      </c>
      <c r="T111" s="115"/>
      <c r="U111" s="102">
        <f>U78+U97+U102+U109</f>
        <v>3009.8521279999995</v>
      </c>
      <c r="V111" s="133"/>
    </row>
    <row r="112" spans="1:22" x14ac:dyDescent="0.25">
      <c r="A112" s="148">
        <f t="shared" si="14"/>
        <v>43</v>
      </c>
      <c r="B112" s="134" t="s">
        <v>13</v>
      </c>
      <c r="C112" s="87"/>
      <c r="D112" s="43">
        <f>D111*0.13</f>
        <v>389.39150431999997</v>
      </c>
      <c r="E112" s="116"/>
      <c r="F112" s="99">
        <f>F111*0.13</f>
        <v>384.49243663999999</v>
      </c>
      <c r="G112" s="134"/>
      <c r="H112" s="87"/>
      <c r="I112" s="43">
        <f>I111*0.13</f>
        <v>365.24034352000001</v>
      </c>
      <c r="J112" s="116"/>
      <c r="K112" s="99">
        <f>K111*0.13</f>
        <v>384.49243663999999</v>
      </c>
      <c r="L112" s="134"/>
      <c r="M112" s="87"/>
      <c r="N112" s="43">
        <f>N111*0.13</f>
        <v>0</v>
      </c>
      <c r="O112" s="116"/>
      <c r="P112" s="99">
        <f>P111*0.13</f>
        <v>0</v>
      </c>
      <c r="Q112" s="134"/>
      <c r="R112" s="87"/>
      <c r="S112" s="43">
        <f>S111*0.13</f>
        <v>419.28849648409943</v>
      </c>
      <c r="T112" s="116"/>
      <c r="U112" s="99">
        <f>U111*0.13</f>
        <v>391.28077663999994</v>
      </c>
      <c r="V112" s="134"/>
    </row>
    <row r="113" spans="1:22" x14ac:dyDescent="0.25">
      <c r="A113" s="141">
        <f t="shared" si="14"/>
        <v>44</v>
      </c>
      <c r="B113" s="125" t="s">
        <v>14</v>
      </c>
      <c r="C113" s="88"/>
      <c r="D113" s="69">
        <f>SUM(D111:D112)*-0.1</f>
        <v>-338.47107683199999</v>
      </c>
      <c r="E113" s="117"/>
      <c r="F113" s="70">
        <f>SUM(F111:F112)*-0.1</f>
        <v>-334.21265646400002</v>
      </c>
      <c r="G113" s="125"/>
      <c r="H113" s="88"/>
      <c r="I113" s="69">
        <f>SUM(I111:I112)*-0.1</f>
        <v>-317.47814475199999</v>
      </c>
      <c r="J113" s="117"/>
      <c r="K113" s="70">
        <f>SUM(K111:K112)*-0.1</f>
        <v>-334.21265646400002</v>
      </c>
      <c r="L113" s="125"/>
      <c r="M113" s="88"/>
      <c r="N113" s="69">
        <f>SUM(N111:N112)*-0.1</f>
        <v>0</v>
      </c>
      <c r="O113" s="117"/>
      <c r="P113" s="70">
        <f>SUM(P111:P112)*-0.1</f>
        <v>0</v>
      </c>
      <c r="Q113" s="125"/>
      <c r="R113" s="88"/>
      <c r="S113" s="69">
        <f>SUM(S111:S112)*-0.1</f>
        <v>-364.45846232848646</v>
      </c>
      <c r="T113" s="117"/>
      <c r="U113" s="70">
        <f>SUM(U111:U112)*-0.1</f>
        <v>-340.11329046399999</v>
      </c>
      <c r="V113" s="125"/>
    </row>
    <row r="114" spans="1:22" x14ac:dyDescent="0.25">
      <c r="A114" s="149">
        <f t="shared" si="14"/>
        <v>45</v>
      </c>
      <c r="B114" s="150" t="s">
        <v>15</v>
      </c>
      <c r="C114" s="135"/>
      <c r="D114" s="104">
        <f>SUM(D111:D113)</f>
        <v>3046.2396914879996</v>
      </c>
      <c r="E114" s="118"/>
      <c r="F114" s="103">
        <f>SUM(F111:F113)</f>
        <v>3007.9139081759995</v>
      </c>
      <c r="G114" s="136">
        <f>F114-D114</f>
        <v>-38.325783312000112</v>
      </c>
      <c r="H114" s="135"/>
      <c r="I114" s="104">
        <f>SUM(I111:I113)</f>
        <v>2857.3033027679999</v>
      </c>
      <c r="J114" s="118"/>
      <c r="K114" s="103">
        <f>SUM(K111:K113)</f>
        <v>3007.9139081759995</v>
      </c>
      <c r="L114" s="136">
        <f>K114-I114</f>
        <v>150.61060540799963</v>
      </c>
      <c r="M114" s="135"/>
      <c r="N114" s="104">
        <f>SUM(N111:N113)</f>
        <v>0</v>
      </c>
      <c r="O114" s="118"/>
      <c r="P114" s="103">
        <f>SUM(P111:P113)</f>
        <v>0</v>
      </c>
      <c r="Q114" s="136">
        <f>P114-N114</f>
        <v>0</v>
      </c>
      <c r="R114" s="135"/>
      <c r="S114" s="104">
        <f>SUM(S111:S113)</f>
        <v>3280.126160956378</v>
      </c>
      <c r="T114" s="118"/>
      <c r="U114" s="103">
        <f>SUM(U111:U113)</f>
        <v>3061.0196141759998</v>
      </c>
      <c r="V114" s="136">
        <f>U114-S114</f>
        <v>-219.10654678037827</v>
      </c>
    </row>
    <row r="115" spans="1:22" x14ac:dyDescent="0.25">
      <c r="A115" s="151">
        <f t="shared" si="14"/>
        <v>46</v>
      </c>
      <c r="B115" s="152" t="s">
        <v>118</v>
      </c>
      <c r="C115" s="137"/>
      <c r="D115" s="123"/>
      <c r="E115" s="119"/>
      <c r="F115" s="105"/>
      <c r="G115" s="138">
        <f>G114/D114</f>
        <v>-1.2581341980111578E-2</v>
      </c>
      <c r="H115" s="137"/>
      <c r="I115" s="123"/>
      <c r="J115" s="119"/>
      <c r="K115" s="105"/>
      <c r="L115" s="138">
        <f>L114/I114</f>
        <v>5.2710751869462467E-2</v>
      </c>
      <c r="M115" s="137"/>
      <c r="N115" s="123"/>
      <c r="O115" s="119"/>
      <c r="P115" s="105"/>
      <c r="Q115" s="138" t="e">
        <f>Q114/N114</f>
        <v>#DIV/0!</v>
      </c>
      <c r="R115" s="137"/>
      <c r="S115" s="123"/>
      <c r="T115" s="119"/>
      <c r="U115" s="105"/>
      <c r="V115" s="138">
        <f>V114/S114</f>
        <v>-6.679820715081701E-2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127</v>
      </c>
      <c r="C117" s="202">
        <f>'2015 Approved'!$D$23</f>
        <v>0</v>
      </c>
      <c r="D117" s="43">
        <f>C117*D71</f>
        <v>0</v>
      </c>
      <c r="E117" s="203">
        <f>C117</f>
        <v>0</v>
      </c>
      <c r="F117" s="99">
        <f>E117*F71</f>
        <v>0</v>
      </c>
      <c r="G117" s="134"/>
      <c r="H117" s="59">
        <f>'2015 Approved'!$O$23</f>
        <v>0</v>
      </c>
      <c r="I117" s="43">
        <f>H117*I$71</f>
        <v>0</v>
      </c>
      <c r="J117" s="203">
        <f>H117</f>
        <v>0</v>
      </c>
      <c r="K117" s="7">
        <f>J117*K$71</f>
        <v>0</v>
      </c>
      <c r="L117" s="134"/>
      <c r="M117" s="59"/>
      <c r="N117" s="43"/>
      <c r="O117" s="203"/>
      <c r="P117" s="7"/>
      <c r="Q117" s="134"/>
      <c r="R117" s="59">
        <f>'2015 Approved'!$Z$23</f>
        <v>1.1795</v>
      </c>
      <c r="S117" s="43">
        <f>R117*S71</f>
        <v>70.77</v>
      </c>
      <c r="T117" s="203">
        <f>R117</f>
        <v>1.1795</v>
      </c>
      <c r="U117" s="7">
        <f>T117*U71</f>
        <v>70.77</v>
      </c>
      <c r="V117" s="134"/>
    </row>
    <row r="118" spans="1:22" x14ac:dyDescent="0.25">
      <c r="A118" s="148">
        <f>A117+1</f>
        <v>49</v>
      </c>
      <c r="B118" s="85" t="s">
        <v>128</v>
      </c>
      <c r="C118" s="59">
        <f>'2015 Approved'!$D$24</f>
        <v>-0.99730000000000008</v>
      </c>
      <c r="D118" s="42">
        <f>C118*D71</f>
        <v>-59.838000000000008</v>
      </c>
      <c r="E118" s="203">
        <f>'2016 Proposed'!$D$26</f>
        <v>1.3655999999999999</v>
      </c>
      <c r="F118" s="7">
        <f>E118*F71</f>
        <v>81.935999999999993</v>
      </c>
      <c r="G118" s="85"/>
      <c r="H118" s="59">
        <f>'2015 Approved'!$O$24</f>
        <v>-0.28370000000000001</v>
      </c>
      <c r="I118" s="43">
        <f>H118*I$71</f>
        <v>-17.022000000000002</v>
      </c>
      <c r="J118" s="114">
        <f>'2016 Proposed'!$D$26</f>
        <v>1.3655999999999999</v>
      </c>
      <c r="K118" s="7">
        <f>J118*K$71</f>
        <v>81.935999999999993</v>
      </c>
      <c r="L118" s="85"/>
      <c r="M118" s="59"/>
      <c r="N118" s="42"/>
      <c r="O118" s="114"/>
      <c r="P118" s="7"/>
      <c r="Q118" s="85"/>
      <c r="R118" s="59">
        <f>'2015 Approved'!$Z$24</f>
        <v>-0.1012</v>
      </c>
      <c r="S118" s="42">
        <f>R118*S71</f>
        <v>-6.0720000000000001</v>
      </c>
      <c r="T118" s="114">
        <f>'2016 Proposed'!$D$26</f>
        <v>1.3655999999999999</v>
      </c>
      <c r="U118" s="7">
        <f>T118*U71</f>
        <v>81.935999999999993</v>
      </c>
      <c r="V118" s="85"/>
    </row>
    <row r="119" spans="1:22" x14ac:dyDescent="0.25">
      <c r="A119" s="139">
        <f t="shared" si="14"/>
        <v>50</v>
      </c>
      <c r="B119" s="85" t="s">
        <v>17</v>
      </c>
      <c r="C119" s="86"/>
      <c r="D119" s="42">
        <f>D111+SUM(D117:D118)</f>
        <v>2935.4812639999996</v>
      </c>
      <c r="E119" s="106"/>
      <c r="F119" s="7">
        <f>F111+SUM(F117:F118)</f>
        <v>3039.5701279999998</v>
      </c>
      <c r="G119" s="85"/>
      <c r="H119" s="86"/>
      <c r="I119" s="42">
        <f>I111+I118+I117</f>
        <v>2792.519104</v>
      </c>
      <c r="J119" s="106"/>
      <c r="K119" s="7">
        <f>K111+K118+K117</f>
        <v>3039.5701279999998</v>
      </c>
      <c r="L119" s="85"/>
      <c r="M119" s="86"/>
      <c r="N119" s="42"/>
      <c r="O119" s="106"/>
      <c r="P119" s="7"/>
      <c r="Q119" s="85"/>
      <c r="R119" s="86"/>
      <c r="S119" s="42">
        <f>S111+S118+S117</f>
        <v>3289.9941268007647</v>
      </c>
      <c r="T119" s="106"/>
      <c r="U119" s="7">
        <f>U111+U118+U117</f>
        <v>3162.5581279999997</v>
      </c>
      <c r="V119" s="85"/>
    </row>
    <row r="120" spans="1:22" x14ac:dyDescent="0.25">
      <c r="A120" s="139">
        <f t="shared" si="14"/>
        <v>51</v>
      </c>
      <c r="B120" s="85" t="s">
        <v>13</v>
      </c>
      <c r="C120" s="86"/>
      <c r="D120" s="42">
        <f>D119*0.13</f>
        <v>381.61256431999993</v>
      </c>
      <c r="E120" s="106"/>
      <c r="F120" s="7">
        <f>F119*0.13</f>
        <v>395.14411663999999</v>
      </c>
      <c r="G120" s="85"/>
      <c r="H120" s="86"/>
      <c r="I120" s="42">
        <f>I119*0.13</f>
        <v>363.02748352000003</v>
      </c>
      <c r="J120" s="106"/>
      <c r="K120" s="7">
        <f>K119*0.13</f>
        <v>395.14411663999999</v>
      </c>
      <c r="L120" s="85"/>
      <c r="M120" s="86"/>
      <c r="N120" s="42"/>
      <c r="O120" s="106"/>
      <c r="P120" s="7"/>
      <c r="Q120" s="85"/>
      <c r="R120" s="86"/>
      <c r="S120" s="42">
        <f>S119*0.13</f>
        <v>427.6992364840994</v>
      </c>
      <c r="T120" s="106"/>
      <c r="U120" s="7">
        <f>U119*0.13</f>
        <v>411.13255663999996</v>
      </c>
      <c r="V120" s="85"/>
    </row>
    <row r="121" spans="1:22" x14ac:dyDescent="0.25">
      <c r="A121" s="139">
        <f t="shared" si="14"/>
        <v>52</v>
      </c>
      <c r="B121" s="85" t="s">
        <v>18</v>
      </c>
      <c r="C121" s="86"/>
      <c r="D121" s="42">
        <f>SUM(D119:D120)*-0.1</f>
        <v>-331.70938283199996</v>
      </c>
      <c r="E121" s="106"/>
      <c r="F121" s="7">
        <f>SUM(F119:F120)*-0.1</f>
        <v>-343.47142446399999</v>
      </c>
      <c r="G121" s="85"/>
      <c r="H121" s="86"/>
      <c r="I121" s="42">
        <f>SUM(I119:I120)*-0.1</f>
        <v>-315.55465875200002</v>
      </c>
      <c r="J121" s="106"/>
      <c r="K121" s="7">
        <f>SUM(K119:K120)*-0.1</f>
        <v>-343.47142446399999</v>
      </c>
      <c r="L121" s="85"/>
      <c r="M121" s="86"/>
      <c r="N121" s="42"/>
      <c r="O121" s="106"/>
      <c r="P121" s="7"/>
      <c r="Q121" s="85"/>
      <c r="R121" s="86"/>
      <c r="S121" s="42">
        <f>SUM(S119:S120)*-0.1</f>
        <v>-371.76933632848642</v>
      </c>
      <c r="T121" s="106"/>
      <c r="U121" s="7">
        <f>SUM(U119:U120)*-0.1</f>
        <v>-357.36906846400001</v>
      </c>
      <c r="V121" s="85"/>
    </row>
    <row r="122" spans="1:22" x14ac:dyDescent="0.25">
      <c r="A122" s="177">
        <f t="shared" si="14"/>
        <v>53</v>
      </c>
      <c r="B122" s="178" t="s">
        <v>15</v>
      </c>
      <c r="C122" s="179"/>
      <c r="D122" s="180">
        <f>SUM(D119:D121)</f>
        <v>2985.3844454879995</v>
      </c>
      <c r="E122" s="181"/>
      <c r="F122" s="182">
        <f>SUM(F119:F121)</f>
        <v>3091.2428201759999</v>
      </c>
      <c r="G122" s="183">
        <f>F122-D122</f>
        <v>105.85837468800037</v>
      </c>
      <c r="H122" s="179"/>
      <c r="I122" s="180">
        <f>SUM(I119:I121)</f>
        <v>2839.9919287679995</v>
      </c>
      <c r="J122" s="181"/>
      <c r="K122" s="182">
        <f>SUM(K119:K121)</f>
        <v>3091.2428201759999</v>
      </c>
      <c r="L122" s="183">
        <f>K122-I122</f>
        <v>251.25089140800037</v>
      </c>
      <c r="M122" s="179"/>
      <c r="N122" s="180">
        <f>SUM(N119:N121)</f>
        <v>0</v>
      </c>
      <c r="O122" s="181"/>
      <c r="P122" s="182">
        <f>SUM(P119:P121)</f>
        <v>0</v>
      </c>
      <c r="Q122" s="183">
        <f>P122-N122</f>
        <v>0</v>
      </c>
      <c r="R122" s="179"/>
      <c r="S122" s="180">
        <f>SUM(S119:S121)</f>
        <v>3345.9240269563775</v>
      </c>
      <c r="T122" s="181"/>
      <c r="U122" s="182">
        <f>SUM(U119:U121)</f>
        <v>3216.3216161759997</v>
      </c>
      <c r="V122" s="183">
        <f>U122-S122</f>
        <v>-129.6024107803778</v>
      </c>
    </row>
    <row r="123" spans="1:22" ht="15.75" thickBot="1" x14ac:dyDescent="0.3">
      <c r="A123" s="184">
        <f>A122+1</f>
        <v>54</v>
      </c>
      <c r="B123" s="185" t="s">
        <v>118</v>
      </c>
      <c r="C123" s="186"/>
      <c r="D123" s="187"/>
      <c r="E123" s="188"/>
      <c r="F123" s="189"/>
      <c r="G123" s="190">
        <f>G122/D122</f>
        <v>3.545887527081841E-2</v>
      </c>
      <c r="H123" s="186"/>
      <c r="I123" s="187"/>
      <c r="J123" s="188"/>
      <c r="K123" s="189"/>
      <c r="L123" s="190">
        <f>L122/I122</f>
        <v>8.8468875162259375E-2</v>
      </c>
      <c r="M123" s="186"/>
      <c r="N123" s="187"/>
      <c r="O123" s="188"/>
      <c r="P123" s="189"/>
      <c r="Q123" s="190" t="e">
        <f>Q122/N122</f>
        <v>#DIV/0!</v>
      </c>
      <c r="R123" s="186"/>
      <c r="S123" s="187"/>
      <c r="T123" s="188"/>
      <c r="U123" s="189"/>
      <c r="V123" s="190">
        <f>V122/S122</f>
        <v>-3.8734415287447733E-2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120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103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103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103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103</v>
      </c>
    </row>
    <row r="126" spans="1:22" x14ac:dyDescent="0.25">
      <c r="A126" s="139">
        <f>A125+1</f>
        <v>56</v>
      </c>
      <c r="B126" s="85" t="s">
        <v>119</v>
      </c>
      <c r="C126" s="86"/>
      <c r="D126" s="42">
        <f>SUM(D81:D84)+D86+D87+D96</f>
        <v>417.06804399999982</v>
      </c>
      <c r="E126" s="106"/>
      <c r="F126" s="7">
        <f>SUM(F81:F84)+F86+F87+F96</f>
        <v>331.48156299999971</v>
      </c>
      <c r="G126" s="56">
        <f>F126-D126</f>
        <v>-85.586481000000106</v>
      </c>
      <c r="H126" s="86"/>
      <c r="I126" s="42">
        <f>SUM(I81:I84)+I86+I87+I96</f>
        <v>259.21118399999983</v>
      </c>
      <c r="J126" s="106"/>
      <c r="K126" s="7">
        <f>SUM(K81:K84)+K86+K87+K96</f>
        <v>331.48156299999971</v>
      </c>
      <c r="L126" s="56">
        <f>K126-I126</f>
        <v>72.270378999999878</v>
      </c>
      <c r="M126" s="86"/>
      <c r="N126" s="42">
        <f>SUM(N81:N84)+N86+N87+N96</f>
        <v>0</v>
      </c>
      <c r="O126" s="106"/>
      <c r="P126" s="7">
        <f>SUM(P81:P84)+P86+P87+P96</f>
        <v>0</v>
      </c>
      <c r="Q126" s="56">
        <f>P126-N126</f>
        <v>0</v>
      </c>
      <c r="R126" s="86"/>
      <c r="S126" s="42">
        <f>SUM(S81:S84)+S86+S87+S96</f>
        <v>478.69633999999996</v>
      </c>
      <c r="T126" s="106"/>
      <c r="U126" s="7">
        <f>SUM(U81:U84)+U86+U87+U96</f>
        <v>331.48156299999971</v>
      </c>
      <c r="V126" s="56">
        <f>U126-S126</f>
        <v>-147.21477700000025</v>
      </c>
    </row>
    <row r="127" spans="1:22" x14ac:dyDescent="0.25">
      <c r="A127" s="164">
        <f t="shared" ref="A127:A129" si="27">A126+1</f>
        <v>57</v>
      </c>
      <c r="B127" s="165" t="s">
        <v>118</v>
      </c>
      <c r="C127" s="166"/>
      <c r="D127" s="167"/>
      <c r="E127" s="168"/>
      <c r="F127" s="93"/>
      <c r="G127" s="169">
        <f>G126/SUM(D126:D129)</f>
        <v>-0.18101969330741757</v>
      </c>
      <c r="H127" s="166"/>
      <c r="I127" s="167"/>
      <c r="J127" s="168"/>
      <c r="K127" s="93"/>
      <c r="L127" s="169">
        <f>L126/SUM(I126:I129)</f>
        <v>0.24437696853120117</v>
      </c>
      <c r="M127" s="166"/>
      <c r="N127" s="167"/>
      <c r="O127" s="168"/>
      <c r="P127" s="93"/>
      <c r="Q127" s="169" t="e">
        <f>Q126/SUM(N126:N129)</f>
        <v>#DIV/0!</v>
      </c>
      <c r="R127" s="166"/>
      <c r="S127" s="167"/>
      <c r="T127" s="168"/>
      <c r="U127" s="93"/>
      <c r="V127" s="169">
        <f>V126/SUM(S126:S129)</f>
        <v>-0.20023218753714059</v>
      </c>
    </row>
    <row r="128" spans="1:22" x14ac:dyDescent="0.25">
      <c r="A128" s="139">
        <f t="shared" si="27"/>
        <v>58</v>
      </c>
      <c r="B128" s="85" t="s">
        <v>121</v>
      </c>
      <c r="C128" s="86"/>
      <c r="D128" s="42">
        <f>D85+SUM(D88:D95)</f>
        <v>55.734000000000002</v>
      </c>
      <c r="E128" s="106"/>
      <c r="F128" s="7">
        <f>F85+SUM(F88:F95)</f>
        <v>94.572000000000003</v>
      </c>
      <c r="G128" s="56">
        <f>F128-D128</f>
        <v>38.838000000000001</v>
      </c>
      <c r="H128" s="86"/>
      <c r="I128" s="42">
        <f>I85+SUM(I88:I95)</f>
        <v>36.521999999999998</v>
      </c>
      <c r="J128" s="106"/>
      <c r="K128" s="7">
        <f>K85+SUM(K88:K95)</f>
        <v>94.572000000000003</v>
      </c>
      <c r="L128" s="56">
        <f>K128-I128</f>
        <v>58.050000000000004</v>
      </c>
      <c r="M128" s="86"/>
      <c r="N128" s="42">
        <f>N85+SUM(N88:N95)</f>
        <v>0</v>
      </c>
      <c r="O128" s="106"/>
      <c r="P128" s="7">
        <f>P85+SUM(P88:P95)</f>
        <v>0</v>
      </c>
      <c r="Q128" s="56">
        <f>P128-N128</f>
        <v>0</v>
      </c>
      <c r="R128" s="86"/>
      <c r="S128" s="42">
        <f>S85+SUM(S88:S95)</f>
        <v>256.524</v>
      </c>
      <c r="T128" s="106"/>
      <c r="U128" s="7">
        <f>U85+SUM(U88:U95)</f>
        <v>146.79</v>
      </c>
      <c r="V128" s="56">
        <f>U128-S128</f>
        <v>-109.73400000000001</v>
      </c>
    </row>
    <row r="129" spans="1:22" ht="15.75" thickBot="1" x14ac:dyDescent="0.3">
      <c r="A129" s="170">
        <f t="shared" si="27"/>
        <v>59</v>
      </c>
      <c r="B129" s="171" t="s">
        <v>118</v>
      </c>
      <c r="C129" s="172"/>
      <c r="D129" s="173"/>
      <c r="E129" s="174"/>
      <c r="F129" s="175"/>
      <c r="G129" s="176">
        <f>G128/SUM(D126:D129)</f>
        <v>8.2144314926015885E-2</v>
      </c>
      <c r="H129" s="172"/>
      <c r="I129" s="173"/>
      <c r="J129" s="174"/>
      <c r="K129" s="175"/>
      <c r="L129" s="176">
        <f>L128/SUM(I126:I129)</f>
        <v>0.19629180335744817</v>
      </c>
      <c r="M129" s="172"/>
      <c r="N129" s="173"/>
      <c r="O129" s="174"/>
      <c r="P129" s="175"/>
      <c r="Q129" s="176" t="e">
        <f>Q128/SUM(N126:N129)</f>
        <v>#DIV/0!</v>
      </c>
      <c r="R129" s="172"/>
      <c r="S129" s="173"/>
      <c r="T129" s="174"/>
      <c r="U129" s="175"/>
      <c r="V129" s="176">
        <f>V128/SUM(S126:S129)</f>
        <v>-0.1492532157094566</v>
      </c>
    </row>
    <row r="130" spans="1:22" ht="15.75" thickBot="1" x14ac:dyDescent="0.3"/>
    <row r="131" spans="1:22" x14ac:dyDescent="0.25">
      <c r="A131" s="331" t="s">
        <v>111</v>
      </c>
      <c r="B131" s="333" t="s">
        <v>0</v>
      </c>
      <c r="C131" s="329" t="s">
        <v>115</v>
      </c>
      <c r="D131" s="330"/>
      <c r="E131" s="327" t="s">
        <v>116</v>
      </c>
      <c r="F131" s="327"/>
      <c r="G131" s="328"/>
      <c r="H131" s="329" t="s">
        <v>117</v>
      </c>
      <c r="I131" s="330"/>
      <c r="J131" s="327" t="s">
        <v>116</v>
      </c>
      <c r="K131" s="327"/>
      <c r="L131" s="328"/>
      <c r="M131" s="329" t="s">
        <v>124</v>
      </c>
      <c r="N131" s="330"/>
      <c r="O131" s="327" t="s">
        <v>116</v>
      </c>
      <c r="P131" s="327"/>
      <c r="Q131" s="328"/>
      <c r="R131" s="329" t="s">
        <v>123</v>
      </c>
      <c r="S131" s="330"/>
      <c r="T131" s="327" t="s">
        <v>116</v>
      </c>
      <c r="U131" s="327"/>
      <c r="V131" s="328"/>
    </row>
    <row r="132" spans="1:22" x14ac:dyDescent="0.25">
      <c r="A132" s="332"/>
      <c r="B132" s="334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103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103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103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103</v>
      </c>
    </row>
    <row r="133" spans="1:22" x14ac:dyDescent="0.25">
      <c r="A133" s="139">
        <v>1</v>
      </c>
      <c r="B133" s="85" t="s">
        <v>91</v>
      </c>
      <c r="C133" s="86"/>
      <c r="D133" s="204">
        <v>32500</v>
      </c>
      <c r="E133" s="106"/>
      <c r="F133" s="81">
        <f>D133</f>
        <v>32500</v>
      </c>
      <c r="G133" s="85"/>
      <c r="H133" s="86"/>
      <c r="I133" s="204">
        <v>32500</v>
      </c>
      <c r="J133" s="106"/>
      <c r="K133" s="81">
        <f>I133</f>
        <v>32500</v>
      </c>
      <c r="L133" s="85"/>
      <c r="M133" s="86"/>
      <c r="N133" s="204"/>
      <c r="O133" s="106"/>
      <c r="P133" s="81">
        <f>N133</f>
        <v>0</v>
      </c>
      <c r="Q133" s="85"/>
      <c r="R133" s="86"/>
      <c r="S133" s="204">
        <v>32500</v>
      </c>
      <c r="T133" s="106"/>
      <c r="U133" s="81">
        <f>S133</f>
        <v>32500</v>
      </c>
      <c r="V133" s="85"/>
    </row>
    <row r="134" spans="1:22" x14ac:dyDescent="0.25">
      <c r="A134" s="139">
        <f>A133+1</f>
        <v>2</v>
      </c>
      <c r="B134" s="85" t="s">
        <v>92</v>
      </c>
      <c r="C134" s="86"/>
      <c r="D134" s="204">
        <v>100</v>
      </c>
      <c r="E134" s="106"/>
      <c r="F134" s="81">
        <f>D134</f>
        <v>100</v>
      </c>
      <c r="G134" s="85"/>
      <c r="H134" s="86"/>
      <c r="I134" s="204">
        <v>100</v>
      </c>
      <c r="J134" s="106"/>
      <c r="K134" s="81">
        <f>I134</f>
        <v>100</v>
      </c>
      <c r="L134" s="85"/>
      <c r="M134" s="86"/>
      <c r="N134" s="204"/>
      <c r="O134" s="106"/>
      <c r="P134" s="81">
        <f>N134</f>
        <v>0</v>
      </c>
      <c r="Q134" s="85"/>
      <c r="R134" s="86"/>
      <c r="S134" s="204">
        <v>100</v>
      </c>
      <c r="T134" s="106"/>
      <c r="U134" s="81">
        <f>S134</f>
        <v>100</v>
      </c>
      <c r="V134" s="85"/>
    </row>
    <row r="135" spans="1:22" x14ac:dyDescent="0.25">
      <c r="A135" s="139">
        <f t="shared" ref="A135:A185" si="28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40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28"/>
        <v>4</v>
      </c>
      <c r="B136" s="85" t="s">
        <v>93</v>
      </c>
      <c r="C136" s="86"/>
      <c r="D136" s="80">
        <f>D133*D135</f>
        <v>33891</v>
      </c>
      <c r="E136" s="106"/>
      <c r="F136" s="81">
        <f>F133*F135</f>
        <v>33900.75</v>
      </c>
      <c r="G136" s="85"/>
      <c r="H136" s="86"/>
      <c r="I136" s="80">
        <f>I133*I135</f>
        <v>34476</v>
      </c>
      <c r="J136" s="106"/>
      <c r="K136" s="81">
        <f>K133*K135</f>
        <v>33900.75</v>
      </c>
      <c r="L136" s="85"/>
      <c r="M136" s="86"/>
      <c r="N136" s="80">
        <f>N133*N135</f>
        <v>0</v>
      </c>
      <c r="O136" s="106"/>
      <c r="P136" s="81">
        <f>P133*P135</f>
        <v>0</v>
      </c>
      <c r="Q136" s="85"/>
      <c r="R136" s="86"/>
      <c r="S136" s="80">
        <f>S133*S135</f>
        <v>34385</v>
      </c>
      <c r="T136" s="106"/>
      <c r="U136" s="81">
        <f>U133*U135</f>
        <v>33900.75</v>
      </c>
      <c r="V136" s="85"/>
    </row>
    <row r="137" spans="1:22" x14ac:dyDescent="0.25">
      <c r="A137" s="140">
        <f t="shared" si="28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28"/>
        <v>6</v>
      </c>
      <c r="B138" s="85" t="s">
        <v>23</v>
      </c>
      <c r="C138" s="84">
        <f>'General Input'!$B$11</f>
        <v>0.08</v>
      </c>
      <c r="D138" s="42">
        <f>D$133*C138*TOU_OFF</f>
        <v>1664</v>
      </c>
      <c r="E138" s="108">
        <f>'General Input'!$B$11</f>
        <v>0.08</v>
      </c>
      <c r="F138" s="7">
        <f>F$133*E138*TOU_OFF</f>
        <v>1664</v>
      </c>
      <c r="G138" s="85"/>
      <c r="H138" s="84">
        <f>'General Input'!$B$11</f>
        <v>0.08</v>
      </c>
      <c r="I138" s="42">
        <f>I$133*H138*TOU_OFF</f>
        <v>1664</v>
      </c>
      <c r="J138" s="108">
        <f>'General Input'!$B$11</f>
        <v>0.08</v>
      </c>
      <c r="K138" s="7">
        <f>K$133*J138*TOU_OFF</f>
        <v>1664</v>
      </c>
      <c r="L138" s="85"/>
      <c r="M138" s="84"/>
      <c r="N138" s="42"/>
      <c r="O138" s="108"/>
      <c r="P138" s="7"/>
      <c r="Q138" s="85"/>
      <c r="R138" s="84">
        <f>'General Input'!$B$11</f>
        <v>0.08</v>
      </c>
      <c r="S138" s="42">
        <f>S$133*R138*TOU_OFF</f>
        <v>1664</v>
      </c>
      <c r="T138" s="108">
        <f>'General Input'!$B$11</f>
        <v>0.08</v>
      </c>
      <c r="U138" s="7">
        <f>U$133*T138*TOU_OFF</f>
        <v>1664</v>
      </c>
      <c r="V138" s="85"/>
    </row>
    <row r="139" spans="1:22" x14ac:dyDescent="0.25">
      <c r="A139" s="139">
        <f t="shared" si="28"/>
        <v>7</v>
      </c>
      <c r="B139" s="85" t="s">
        <v>24</v>
      </c>
      <c r="C139" s="84">
        <f>'General Input'!$B$12</f>
        <v>0.122</v>
      </c>
      <c r="D139" s="42">
        <f>D$133*C139*TOU_MID</f>
        <v>713.69999999999993</v>
      </c>
      <c r="E139" s="108">
        <f>'General Input'!$B$12</f>
        <v>0.122</v>
      </c>
      <c r="F139" s="7">
        <f>F$133*E139*TOU_MID</f>
        <v>713.69999999999993</v>
      </c>
      <c r="G139" s="85"/>
      <c r="H139" s="84">
        <f>'General Input'!$B$12</f>
        <v>0.122</v>
      </c>
      <c r="I139" s="42">
        <f>I$133*H139*TOU_MID</f>
        <v>713.69999999999993</v>
      </c>
      <c r="J139" s="108">
        <f>'General Input'!$B$12</f>
        <v>0.122</v>
      </c>
      <c r="K139" s="7">
        <f>K$133*J139*TOU_MID</f>
        <v>713.69999999999993</v>
      </c>
      <c r="L139" s="85"/>
      <c r="M139" s="84"/>
      <c r="N139" s="42"/>
      <c r="O139" s="108"/>
      <c r="P139" s="7"/>
      <c r="Q139" s="85"/>
      <c r="R139" s="84">
        <f>'General Input'!$B$12</f>
        <v>0.122</v>
      </c>
      <c r="S139" s="42">
        <f>S$133*R139*TOU_MID</f>
        <v>713.69999999999993</v>
      </c>
      <c r="T139" s="108">
        <f>'General Input'!$B$12</f>
        <v>0.122</v>
      </c>
      <c r="U139" s="7">
        <f>U$133*T139*TOU_MID</f>
        <v>713.69999999999993</v>
      </c>
      <c r="V139" s="85"/>
    </row>
    <row r="140" spans="1:22" x14ac:dyDescent="0.25">
      <c r="A140" s="141">
        <f t="shared" si="28"/>
        <v>8</v>
      </c>
      <c r="B140" s="125" t="s">
        <v>25</v>
      </c>
      <c r="C140" s="124">
        <f>'General Input'!$B$13</f>
        <v>0.161</v>
      </c>
      <c r="D140" s="69">
        <f>D$133*C140*TOU_ON</f>
        <v>941.84999999999991</v>
      </c>
      <c r="E140" s="109">
        <f>'General Input'!$B$13</f>
        <v>0.161</v>
      </c>
      <c r="F140" s="70">
        <f>F$133*E140*TOU_ON</f>
        <v>941.84999999999991</v>
      </c>
      <c r="G140" s="125"/>
      <c r="H140" s="124">
        <f>'General Input'!$B$13</f>
        <v>0.161</v>
      </c>
      <c r="I140" s="69">
        <f>I$133*H140*TOU_ON</f>
        <v>941.84999999999991</v>
      </c>
      <c r="J140" s="109">
        <f>'General Input'!$B$13</f>
        <v>0.161</v>
      </c>
      <c r="K140" s="70">
        <f>K$133*J140*TOU_ON</f>
        <v>941.84999999999991</v>
      </c>
      <c r="L140" s="125"/>
      <c r="M140" s="124"/>
      <c r="N140" s="69"/>
      <c r="O140" s="109"/>
      <c r="P140" s="70"/>
      <c r="Q140" s="125"/>
      <c r="R140" s="124">
        <f>'General Input'!$B$13</f>
        <v>0.161</v>
      </c>
      <c r="S140" s="69">
        <f>S$133*R140*TOU_ON</f>
        <v>941.84999999999991</v>
      </c>
      <c r="T140" s="109">
        <f>'General Input'!$B$13</f>
        <v>0.161</v>
      </c>
      <c r="U140" s="70">
        <f>U$133*T140*TOU_ON</f>
        <v>941.84999999999991</v>
      </c>
      <c r="V140" s="125"/>
    </row>
    <row r="141" spans="1:22" x14ac:dyDescent="0.25">
      <c r="A141" s="142">
        <f t="shared" si="28"/>
        <v>9</v>
      </c>
      <c r="B141" s="143" t="s">
        <v>26</v>
      </c>
      <c r="C141" s="126"/>
      <c r="D141" s="96">
        <f>SUM(D138:D140)</f>
        <v>3319.5499999999997</v>
      </c>
      <c r="E141" s="110"/>
      <c r="F141" s="95">
        <f>SUM(F138:F140)</f>
        <v>3319.5499999999997</v>
      </c>
      <c r="G141" s="127">
        <f>D141-F141</f>
        <v>0</v>
      </c>
      <c r="H141" s="126"/>
      <c r="I141" s="96">
        <f>SUM(I138:I140)</f>
        <v>3319.5499999999997</v>
      </c>
      <c r="J141" s="110"/>
      <c r="K141" s="95">
        <f>SUM(K138:K140)</f>
        <v>3319.5499999999997</v>
      </c>
      <c r="L141" s="127">
        <f>I141-K141</f>
        <v>0</v>
      </c>
      <c r="M141" s="126"/>
      <c r="N141" s="96">
        <f>SUM(N138:N140)</f>
        <v>0</v>
      </c>
      <c r="O141" s="110"/>
      <c r="P141" s="95">
        <f>SUM(P138:P140)</f>
        <v>0</v>
      </c>
      <c r="Q141" s="127">
        <f>N141-P141</f>
        <v>0</v>
      </c>
      <c r="R141" s="126"/>
      <c r="S141" s="96">
        <f>SUM(S138:S140)</f>
        <v>3319.5499999999997</v>
      </c>
      <c r="T141" s="110"/>
      <c r="U141" s="95">
        <f>SUM(U138:U140)</f>
        <v>3319.5499999999997</v>
      </c>
      <c r="V141" s="127">
        <f>S141-U141</f>
        <v>0</v>
      </c>
    </row>
    <row r="142" spans="1:22" x14ac:dyDescent="0.25">
      <c r="A142" s="144">
        <f t="shared" si="28"/>
        <v>10</v>
      </c>
      <c r="B142" s="145" t="s">
        <v>118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 t="e">
        <f>Q141/N141</f>
        <v>#DIV/0!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28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28"/>
        <v>12</v>
      </c>
      <c r="B144" s="85" t="s">
        <v>5</v>
      </c>
      <c r="C144" s="55">
        <f>'2015 Approved'!$D$4</f>
        <v>122.86</v>
      </c>
      <c r="D144" s="42">
        <f>C144</f>
        <v>122.86</v>
      </c>
      <c r="E144" s="113">
        <f>'2016 Proposed'!$D$3</f>
        <v>98.89</v>
      </c>
      <c r="F144" s="7">
        <f>E144</f>
        <v>98.89</v>
      </c>
      <c r="G144" s="85"/>
      <c r="H144" s="55">
        <f>'2015 Approved'!$O$4</f>
        <v>45.55</v>
      </c>
      <c r="I144" s="42">
        <f>H144</f>
        <v>45.55</v>
      </c>
      <c r="J144" s="113">
        <f>'2016 Proposed'!$D$3</f>
        <v>98.89</v>
      </c>
      <c r="K144" s="7">
        <f>J144</f>
        <v>98.89</v>
      </c>
      <c r="L144" s="85"/>
      <c r="M144" s="55"/>
      <c r="N144" s="42"/>
      <c r="O144" s="113"/>
      <c r="P144" s="7"/>
      <c r="Q144" s="85"/>
      <c r="R144" s="55">
        <f>'2015 Approved'!$Z$4</f>
        <v>279.02</v>
      </c>
      <c r="S144" s="42">
        <f>R144</f>
        <v>279.02</v>
      </c>
      <c r="T144" s="113">
        <f>'2016 Proposed'!$D$3</f>
        <v>98.89</v>
      </c>
      <c r="U144" s="7">
        <f>T144</f>
        <v>98.89</v>
      </c>
      <c r="V144" s="85"/>
    </row>
    <row r="145" spans="1:22" x14ac:dyDescent="0.25">
      <c r="A145" s="139">
        <f t="shared" si="28"/>
        <v>13</v>
      </c>
      <c r="B145" s="85" t="s">
        <v>86</v>
      </c>
      <c r="C145" s="55">
        <f>'2015 Approved'!$D$5</f>
        <v>0</v>
      </c>
      <c r="D145" s="42">
        <f t="shared" ref="D145:D148" si="29">C145</f>
        <v>0</v>
      </c>
      <c r="E145" s="113">
        <f>'2016 Proposed'!$D$5</f>
        <v>0</v>
      </c>
      <c r="F145" s="7">
        <f t="shared" ref="F145:F148" si="30">E145</f>
        <v>0</v>
      </c>
      <c r="G145" s="85"/>
      <c r="H145" s="55">
        <f>'2015 Approved'!$O$5</f>
        <v>1.23</v>
      </c>
      <c r="I145" s="42">
        <f t="shared" ref="I145:I148" si="31">H145</f>
        <v>1.23</v>
      </c>
      <c r="J145" s="113">
        <f>'2016 Proposed'!$D$5</f>
        <v>0</v>
      </c>
      <c r="K145" s="7">
        <f t="shared" ref="K145:K148" si="32">J145</f>
        <v>0</v>
      </c>
      <c r="L145" s="85"/>
      <c r="M145" s="55"/>
      <c r="N145" s="42"/>
      <c r="O145" s="113"/>
      <c r="P145" s="7"/>
      <c r="Q145" s="85"/>
      <c r="R145" s="55">
        <f>'2015 Approved'!$Z$5</f>
        <v>0</v>
      </c>
      <c r="S145" s="42">
        <f t="shared" ref="S145:S148" si="33">R145</f>
        <v>0</v>
      </c>
      <c r="T145" s="113">
        <f>'2016 Proposed'!$D$5</f>
        <v>0</v>
      </c>
      <c r="U145" s="7">
        <f t="shared" ref="U145:U148" si="34">T145</f>
        <v>0</v>
      </c>
      <c r="V145" s="85"/>
    </row>
    <row r="146" spans="1:22" x14ac:dyDescent="0.25">
      <c r="A146" s="139">
        <f t="shared" si="28"/>
        <v>14</v>
      </c>
      <c r="B146" s="85" t="s">
        <v>86</v>
      </c>
      <c r="C146" s="55">
        <f>'2015 Approved'!$D$6</f>
        <v>0</v>
      </c>
      <c r="D146" s="42">
        <f t="shared" si="29"/>
        <v>0</v>
      </c>
      <c r="E146" s="113">
        <f>'2016 Proposed'!$D$6</f>
        <v>0</v>
      </c>
      <c r="F146" s="7">
        <f t="shared" si="30"/>
        <v>0</v>
      </c>
      <c r="G146" s="85"/>
      <c r="H146" s="55">
        <f>'2015 Approved'!$O$6</f>
        <v>0.77</v>
      </c>
      <c r="I146" s="42">
        <f t="shared" si="31"/>
        <v>0.77</v>
      </c>
      <c r="J146" s="113">
        <f>'2016 Proposed'!$D$6</f>
        <v>0</v>
      </c>
      <c r="K146" s="7">
        <f t="shared" si="32"/>
        <v>0</v>
      </c>
      <c r="L146" s="85"/>
      <c r="M146" s="55"/>
      <c r="N146" s="42"/>
      <c r="O146" s="113"/>
      <c r="P146" s="7"/>
      <c r="Q146" s="85"/>
      <c r="R146" s="55">
        <f>'2015 Approved'!$Z$6</f>
        <v>0</v>
      </c>
      <c r="S146" s="42">
        <f t="shared" si="33"/>
        <v>0</v>
      </c>
      <c r="T146" s="113">
        <f>'2016 Proposed'!$D$6</f>
        <v>0</v>
      </c>
      <c r="U146" s="7">
        <f t="shared" si="34"/>
        <v>0</v>
      </c>
      <c r="V146" s="85"/>
    </row>
    <row r="147" spans="1:22" x14ac:dyDescent="0.25">
      <c r="A147" s="139">
        <f t="shared" si="28"/>
        <v>15</v>
      </c>
      <c r="B147" s="85" t="s">
        <v>6</v>
      </c>
      <c r="C147" s="55">
        <f>'2015 Approved'!$D$133</f>
        <v>0</v>
      </c>
      <c r="D147" s="42">
        <f t="shared" si="29"/>
        <v>0</v>
      </c>
      <c r="E147" s="113">
        <f>'2016 Proposed'!$D$133</f>
        <v>0</v>
      </c>
      <c r="F147" s="7">
        <f t="shared" si="30"/>
        <v>0</v>
      </c>
      <c r="G147" s="85"/>
      <c r="H147" s="55">
        <f>'2015 Approved'!$O$133</f>
        <v>0</v>
      </c>
      <c r="I147" s="42">
        <f t="shared" si="31"/>
        <v>0</v>
      </c>
      <c r="J147" s="113">
        <f>'2016 Proposed'!$D$134</f>
        <v>0</v>
      </c>
      <c r="K147" s="7">
        <f t="shared" si="32"/>
        <v>0</v>
      </c>
      <c r="L147" s="85"/>
      <c r="M147" s="55"/>
      <c r="N147" s="42"/>
      <c r="O147" s="113"/>
      <c r="P147" s="7"/>
      <c r="Q147" s="85"/>
      <c r="R147" s="55">
        <f>'2015 Approved'!$Z$133</f>
        <v>0</v>
      </c>
      <c r="S147" s="42">
        <f t="shared" si="33"/>
        <v>0</v>
      </c>
      <c r="T147" s="113">
        <f>'2016 Proposed'!$D$133</f>
        <v>0</v>
      </c>
      <c r="U147" s="7">
        <f t="shared" si="34"/>
        <v>0</v>
      </c>
      <c r="V147" s="85"/>
    </row>
    <row r="148" spans="1:22" x14ac:dyDescent="0.25">
      <c r="A148" s="139">
        <f t="shared" si="28"/>
        <v>16</v>
      </c>
      <c r="B148" s="85" t="s">
        <v>95</v>
      </c>
      <c r="C148" s="55">
        <f>'2015 Approved'!$D$134</f>
        <v>0</v>
      </c>
      <c r="D148" s="42">
        <f t="shared" si="29"/>
        <v>0</v>
      </c>
      <c r="E148" s="113">
        <f>'2016 Proposed'!$D$134</f>
        <v>0</v>
      </c>
      <c r="F148" s="7">
        <f t="shared" si="30"/>
        <v>0</v>
      </c>
      <c r="G148" s="85"/>
      <c r="H148" s="55">
        <f>'2015 Approved'!$O$134</f>
        <v>0</v>
      </c>
      <c r="I148" s="42">
        <f t="shared" si="31"/>
        <v>0</v>
      </c>
      <c r="J148" s="113">
        <f>'2016 Proposed'!$D$134</f>
        <v>0</v>
      </c>
      <c r="K148" s="7">
        <f t="shared" si="32"/>
        <v>0</v>
      </c>
      <c r="L148" s="85"/>
      <c r="M148" s="55"/>
      <c r="N148" s="42"/>
      <c r="O148" s="113"/>
      <c r="P148" s="7"/>
      <c r="Q148" s="85"/>
      <c r="R148" s="55">
        <f>'2015 Approved'!$Z$134</f>
        <v>0</v>
      </c>
      <c r="S148" s="42">
        <f t="shared" si="33"/>
        <v>0</v>
      </c>
      <c r="T148" s="113">
        <f>'2016 Proposed'!$D$134</f>
        <v>0</v>
      </c>
      <c r="U148" s="7">
        <f t="shared" si="34"/>
        <v>0</v>
      </c>
      <c r="V148" s="85"/>
    </row>
    <row r="149" spans="1:22" x14ac:dyDescent="0.25">
      <c r="A149" s="139">
        <f t="shared" si="28"/>
        <v>17</v>
      </c>
      <c r="B149" s="85" t="s">
        <v>4</v>
      </c>
      <c r="C149" s="59">
        <f>D141/D133</f>
        <v>0.10213999999999999</v>
      </c>
      <c r="D149" s="42">
        <f>(D136-D133)*C149</f>
        <v>142.07674</v>
      </c>
      <c r="E149" s="114">
        <f>F141/$F$133</f>
        <v>0.10213999999999999</v>
      </c>
      <c r="F149" s="7">
        <f>(F136-F133)*E149</f>
        <v>143.07260499999998</v>
      </c>
      <c r="G149" s="85"/>
      <c r="H149" s="59">
        <f>I141/I133</f>
        <v>0.10213999999999999</v>
      </c>
      <c r="I149" s="42">
        <f>(I136-I133)*H149</f>
        <v>201.82863999999998</v>
      </c>
      <c r="J149" s="114">
        <f>K141/$F$133</f>
        <v>0.10213999999999999</v>
      </c>
      <c r="K149" s="7">
        <f>(K136-K133)*J149</f>
        <v>143.07260499999998</v>
      </c>
      <c r="L149" s="85"/>
      <c r="M149" s="59"/>
      <c r="N149" s="42"/>
      <c r="O149" s="114"/>
      <c r="P149" s="7"/>
      <c r="Q149" s="85"/>
      <c r="R149" s="59">
        <f>S141/S133</f>
        <v>0.10213999999999999</v>
      </c>
      <c r="S149" s="42">
        <f>(S136-S133)*R149</f>
        <v>192.53389999999999</v>
      </c>
      <c r="T149" s="114">
        <f>U141/$F$133</f>
        <v>0.10213999999999999</v>
      </c>
      <c r="U149" s="7">
        <f>(U136-U133)*T149</f>
        <v>143.07260499999998</v>
      </c>
      <c r="V149" s="85"/>
    </row>
    <row r="150" spans="1:22" x14ac:dyDescent="0.25">
      <c r="A150" s="139">
        <f t="shared" si="28"/>
        <v>18</v>
      </c>
      <c r="B150" s="85" t="s">
        <v>90</v>
      </c>
      <c r="C150" s="59">
        <f>'2015 Approved'!$D$11</f>
        <v>3.4826999999999999</v>
      </c>
      <c r="D150" s="42">
        <f t="shared" ref="D150:D159" si="35">C150*D$134</f>
        <v>348.27</v>
      </c>
      <c r="E150" s="114">
        <f>'2016 Proposed'!$D$11</f>
        <v>3.2711999999999999</v>
      </c>
      <c r="F150" s="7">
        <f t="shared" ref="F150:F159" si="36">E150*F$134</f>
        <v>327.12</v>
      </c>
      <c r="G150" s="85"/>
      <c r="H150" s="59">
        <f>'2015 Approved'!$O$11</f>
        <v>1.5094000000000001</v>
      </c>
      <c r="I150" s="42">
        <f t="shared" ref="I150:I159" si="37">H150*I$134</f>
        <v>150.94</v>
      </c>
      <c r="J150" s="114">
        <f>'2016 Proposed'!$D$11</f>
        <v>3.2711999999999999</v>
      </c>
      <c r="K150" s="7">
        <f t="shared" ref="K150:K159" si="38">J150*K$134</f>
        <v>327.12</v>
      </c>
      <c r="L150" s="85"/>
      <c r="M150" s="59"/>
      <c r="N150" s="42"/>
      <c r="O150" s="114"/>
      <c r="P150" s="7"/>
      <c r="Q150" s="85"/>
      <c r="R150" s="59">
        <f>'2015 Approved'!$Z$11</f>
        <v>1.4026000000000001</v>
      </c>
      <c r="S150" s="42">
        <f t="shared" ref="S150:S159" si="39">R150*S$134</f>
        <v>140.26000000000002</v>
      </c>
      <c r="T150" s="114">
        <f>'2016 Proposed'!$D$11</f>
        <v>3.2711999999999999</v>
      </c>
      <c r="U150" s="7">
        <f t="shared" ref="U150:U159" si="40">T150*U$134</f>
        <v>327.12</v>
      </c>
      <c r="V150" s="85"/>
    </row>
    <row r="151" spans="1:22" x14ac:dyDescent="0.25">
      <c r="A151" s="139">
        <f t="shared" si="28"/>
        <v>19</v>
      </c>
      <c r="B151" s="85" t="s">
        <v>8</v>
      </c>
      <c r="C151" s="59">
        <f>'2015 Approved'!$D$12</f>
        <v>0.1295</v>
      </c>
      <c r="D151" s="42">
        <f t="shared" si="35"/>
        <v>12.950000000000001</v>
      </c>
      <c r="E151" s="114">
        <f>'2016 Proposed'!$D$13</f>
        <v>0.6512</v>
      </c>
      <c r="F151" s="7">
        <f t="shared" si="36"/>
        <v>65.12</v>
      </c>
      <c r="G151" s="85"/>
      <c r="H151" s="59">
        <f>'2015 Approved'!$O$12</f>
        <v>0.10100000000000001</v>
      </c>
      <c r="I151" s="42">
        <f t="shared" si="37"/>
        <v>10.100000000000001</v>
      </c>
      <c r="J151" s="114">
        <f>'2016 Proposed'!$D$13</f>
        <v>0.6512</v>
      </c>
      <c r="K151" s="7">
        <f t="shared" si="38"/>
        <v>65.12</v>
      </c>
      <c r="L151" s="85"/>
      <c r="M151" s="59"/>
      <c r="N151" s="42"/>
      <c r="O151" s="114"/>
      <c r="P151" s="7"/>
      <c r="Q151" s="85"/>
      <c r="R151" s="59">
        <f>'2015 Approved'!$Z$12</f>
        <v>1.7261</v>
      </c>
      <c r="S151" s="42">
        <f t="shared" si="39"/>
        <v>172.60999999999999</v>
      </c>
      <c r="T151" s="114">
        <f>'2016 Proposed'!$D$13</f>
        <v>0.6512</v>
      </c>
      <c r="U151" s="7">
        <f t="shared" si="40"/>
        <v>65.12</v>
      </c>
      <c r="V151" s="85"/>
    </row>
    <row r="152" spans="1:22" x14ac:dyDescent="0.25">
      <c r="A152" s="139">
        <f t="shared" si="28"/>
        <v>20</v>
      </c>
      <c r="B152" s="85" t="s">
        <v>87</v>
      </c>
      <c r="C152" s="59">
        <f>'2015 Approved'!$D$13</f>
        <v>0</v>
      </c>
      <c r="D152" s="42">
        <f t="shared" si="35"/>
        <v>0</v>
      </c>
      <c r="E152" s="114">
        <f>'2016 Proposed'!$D$14</f>
        <v>0</v>
      </c>
      <c r="F152" s="7">
        <f t="shared" si="36"/>
        <v>0</v>
      </c>
      <c r="G152" s="85"/>
      <c r="H152" s="59">
        <f>'2015 Approved'!$O$13</f>
        <v>2.3999999999999998E-3</v>
      </c>
      <c r="I152" s="42">
        <f t="shared" si="37"/>
        <v>0.24</v>
      </c>
      <c r="J152" s="114">
        <f>'2016 Proposed'!$D$14</f>
        <v>0</v>
      </c>
      <c r="K152" s="7">
        <f t="shared" si="38"/>
        <v>0</v>
      </c>
      <c r="L152" s="85"/>
      <c r="M152" s="59"/>
      <c r="N152" s="42"/>
      <c r="O152" s="114"/>
      <c r="P152" s="7"/>
      <c r="Q152" s="85"/>
      <c r="R152" s="59">
        <f>'2015 Approved'!$Z$13</f>
        <v>0</v>
      </c>
      <c r="S152" s="42">
        <f t="shared" si="39"/>
        <v>0</v>
      </c>
      <c r="T152" s="114">
        <f>'2016 Proposed'!$D$14</f>
        <v>0</v>
      </c>
      <c r="U152" s="7">
        <f t="shared" si="40"/>
        <v>0</v>
      </c>
      <c r="V152" s="85"/>
    </row>
    <row r="153" spans="1:22" x14ac:dyDescent="0.25">
      <c r="A153" s="139">
        <f t="shared" si="28"/>
        <v>21</v>
      </c>
      <c r="B153" s="85" t="s">
        <v>9</v>
      </c>
      <c r="C153" s="59">
        <f>'2015 Approved'!$D$14</f>
        <v>3.4000000000000002E-2</v>
      </c>
      <c r="D153" s="42">
        <f t="shared" si="35"/>
        <v>3.4000000000000004</v>
      </c>
      <c r="E153" s="114">
        <f>'2016 Proposed'!$D$15</f>
        <v>6.3500000000000001E-2</v>
      </c>
      <c r="F153" s="7">
        <f t="shared" si="36"/>
        <v>6.35</v>
      </c>
      <c r="G153" s="85"/>
      <c r="H153" s="59">
        <f>'2015 Approved'!$O$14</f>
        <v>1.5900000000000001E-2</v>
      </c>
      <c r="I153" s="42">
        <f t="shared" si="37"/>
        <v>1.59</v>
      </c>
      <c r="J153" s="114">
        <f>'2016 Proposed'!$D$15</f>
        <v>6.3500000000000001E-2</v>
      </c>
      <c r="K153" s="7">
        <f t="shared" si="38"/>
        <v>6.35</v>
      </c>
      <c r="L153" s="85"/>
      <c r="M153" s="59"/>
      <c r="N153" s="42"/>
      <c r="O153" s="114"/>
      <c r="P153" s="7"/>
      <c r="Q153" s="85"/>
      <c r="R153" s="59">
        <f>'2015 Approved'!$Z$14</f>
        <v>0</v>
      </c>
      <c r="S153" s="42">
        <f t="shared" si="39"/>
        <v>0</v>
      </c>
      <c r="T153" s="114">
        <f>'2016 Proposed'!$D$15</f>
        <v>6.3500000000000001E-2</v>
      </c>
      <c r="U153" s="7">
        <f t="shared" si="40"/>
        <v>6.35</v>
      </c>
      <c r="V153" s="85"/>
    </row>
    <row r="154" spans="1:22" x14ac:dyDescent="0.25">
      <c r="A154" s="139">
        <f t="shared" si="28"/>
        <v>22</v>
      </c>
      <c r="B154" s="85" t="s">
        <v>10</v>
      </c>
      <c r="C154" s="59">
        <f>'2015 Approved'!$D$15</f>
        <v>-2.3599999999999999E-2</v>
      </c>
      <c r="D154" s="42">
        <f t="shared" si="35"/>
        <v>-2.36</v>
      </c>
      <c r="E154" s="114">
        <f>'2016 Proposed'!$D$16</f>
        <v>0</v>
      </c>
      <c r="F154" s="7">
        <f t="shared" si="36"/>
        <v>0</v>
      </c>
      <c r="G154" s="85"/>
      <c r="H154" s="59">
        <f>'2015 Approved'!$O$15</f>
        <v>-9.4000000000000004E-3</v>
      </c>
      <c r="I154" s="42">
        <f t="shared" si="37"/>
        <v>-0.94000000000000006</v>
      </c>
      <c r="J154" s="114">
        <f>'2016 Proposed'!$D$16</f>
        <v>0</v>
      </c>
      <c r="K154" s="7">
        <f t="shared" si="38"/>
        <v>0</v>
      </c>
      <c r="L154" s="85"/>
      <c r="M154" s="59"/>
      <c r="N154" s="42"/>
      <c r="O154" s="114"/>
      <c r="P154" s="7"/>
      <c r="Q154" s="85"/>
      <c r="R154" s="59">
        <f>'2015 Approved'!$Z$15</f>
        <v>0</v>
      </c>
      <c r="S154" s="42">
        <f t="shared" si="39"/>
        <v>0</v>
      </c>
      <c r="T154" s="114">
        <f>'2016 Proposed'!$D$16</f>
        <v>0</v>
      </c>
      <c r="U154" s="7">
        <f t="shared" si="40"/>
        <v>0</v>
      </c>
      <c r="V154" s="85"/>
    </row>
    <row r="155" spans="1:22" x14ac:dyDescent="0.25">
      <c r="A155" s="139">
        <f t="shared" si="28"/>
        <v>23</v>
      </c>
      <c r="B155" s="85" t="s">
        <v>101</v>
      </c>
      <c r="C155" s="59">
        <f>'2015 Approved'!$D$16</f>
        <v>0</v>
      </c>
      <c r="D155" s="42">
        <f t="shared" si="35"/>
        <v>0</v>
      </c>
      <c r="E155" s="114">
        <f>'2016 Proposed'!$D$17</f>
        <v>0</v>
      </c>
      <c r="F155" s="7">
        <f t="shared" si="36"/>
        <v>0</v>
      </c>
      <c r="G155" s="85"/>
      <c r="H155" s="59">
        <f>'2015 Approved'!$O$16</f>
        <v>0</v>
      </c>
      <c r="I155" s="42">
        <f t="shared" si="37"/>
        <v>0</v>
      </c>
      <c r="J155" s="114">
        <f>'2016 Proposed'!$D$17</f>
        <v>0</v>
      </c>
      <c r="K155" s="7">
        <f t="shared" si="38"/>
        <v>0</v>
      </c>
      <c r="L155" s="85"/>
      <c r="M155" s="59"/>
      <c r="N155" s="42"/>
      <c r="O155" s="114"/>
      <c r="P155" s="7"/>
      <c r="Q155" s="85"/>
      <c r="R155" s="59">
        <f>'2015 Approved'!$Z$16</f>
        <v>0.87029999999999996</v>
      </c>
      <c r="S155" s="42">
        <f t="shared" si="39"/>
        <v>87.03</v>
      </c>
      <c r="T155" s="114">
        <f>R155</f>
        <v>0.87029999999999996</v>
      </c>
      <c r="U155" s="7">
        <f t="shared" si="40"/>
        <v>87.03</v>
      </c>
      <c r="V155" s="85"/>
    </row>
    <row r="156" spans="1:22" x14ac:dyDescent="0.25">
      <c r="A156" s="139">
        <f t="shared" si="28"/>
        <v>24</v>
      </c>
      <c r="B156" s="85" t="s">
        <v>112</v>
      </c>
      <c r="C156" s="59">
        <f>'2015 Approved'!$D$17</f>
        <v>0.78900000000000003</v>
      </c>
      <c r="D156" s="42">
        <f t="shared" si="35"/>
        <v>78.900000000000006</v>
      </c>
      <c r="E156" s="114">
        <f>'2016 Proposed'!$D$18</f>
        <v>0</v>
      </c>
      <c r="F156" s="7">
        <f t="shared" si="36"/>
        <v>0</v>
      </c>
      <c r="G156" s="85"/>
      <c r="H156" s="59">
        <f>'2015 Approved'!$O$17</f>
        <v>0.49880000000000002</v>
      </c>
      <c r="I156" s="42">
        <f t="shared" si="37"/>
        <v>49.88</v>
      </c>
      <c r="J156" s="114">
        <f>'2016 Proposed'!$D$18</f>
        <v>0</v>
      </c>
      <c r="K156" s="7">
        <f t="shared" si="38"/>
        <v>0</v>
      </c>
      <c r="L156" s="85"/>
      <c r="M156" s="59"/>
      <c r="N156" s="42"/>
      <c r="O156" s="114"/>
      <c r="P156" s="7"/>
      <c r="Q156" s="85"/>
      <c r="R156" s="59">
        <f>'2015 Approved'!$Z$17</f>
        <v>1.679</v>
      </c>
      <c r="S156" s="42">
        <f t="shared" si="39"/>
        <v>167.9</v>
      </c>
      <c r="T156" s="114">
        <f>'2016 Proposed'!$D$18</f>
        <v>0</v>
      </c>
      <c r="U156" s="7">
        <f t="shared" si="40"/>
        <v>0</v>
      </c>
      <c r="V156" s="85"/>
    </row>
    <row r="157" spans="1:22" x14ac:dyDescent="0.25">
      <c r="A157" s="139">
        <f t="shared" si="28"/>
        <v>25</v>
      </c>
      <c r="B157" s="85" t="s">
        <v>102</v>
      </c>
      <c r="C157" s="59">
        <f>'2015 Approved'!$D$18</f>
        <v>0</v>
      </c>
      <c r="D157" s="42">
        <f t="shared" si="35"/>
        <v>0</v>
      </c>
      <c r="E157" s="114">
        <f>'2016 Proposed'!$D$19</f>
        <v>0.58379999999999999</v>
      </c>
      <c r="F157" s="7">
        <f t="shared" si="36"/>
        <v>58.379999999999995</v>
      </c>
      <c r="G157" s="85"/>
      <c r="H157" s="59">
        <f>'2015 Approved'!$O$18</f>
        <v>0</v>
      </c>
      <c r="I157" s="42">
        <f t="shared" si="37"/>
        <v>0</v>
      </c>
      <c r="J157" s="114">
        <f>'2016 Proposed'!$D$19</f>
        <v>0.58379999999999999</v>
      </c>
      <c r="K157" s="7">
        <f t="shared" si="38"/>
        <v>58.379999999999995</v>
      </c>
      <c r="L157" s="85"/>
      <c r="M157" s="59"/>
      <c r="N157" s="42"/>
      <c r="O157" s="114"/>
      <c r="P157" s="7"/>
      <c r="Q157" s="85"/>
      <c r="R157" s="59">
        <f>'2015 Approved'!$Z$18</f>
        <v>0</v>
      </c>
      <c r="S157" s="42">
        <f t="shared" si="39"/>
        <v>0</v>
      </c>
      <c r="T157" s="114">
        <f>'2016 Proposed'!$D$19</f>
        <v>0.58379999999999999</v>
      </c>
      <c r="U157" s="7">
        <f t="shared" si="40"/>
        <v>58.379999999999995</v>
      </c>
      <c r="V157" s="85"/>
    </row>
    <row r="158" spans="1:22" x14ac:dyDescent="0.25">
      <c r="A158" s="139">
        <f t="shared" si="28"/>
        <v>26</v>
      </c>
      <c r="B158" s="85" t="s">
        <v>94</v>
      </c>
      <c r="C158" s="59">
        <f>'2015 Approved'!$D$19</f>
        <v>0</v>
      </c>
      <c r="D158" s="42">
        <f t="shared" si="35"/>
        <v>0</v>
      </c>
      <c r="E158" s="114">
        <f>'2016 Proposed'!$D$20</f>
        <v>0.2777</v>
      </c>
      <c r="F158" s="7">
        <f t="shared" si="36"/>
        <v>27.77</v>
      </c>
      <c r="G158" s="85"/>
      <c r="H158" s="59">
        <f>'2015 Approved'!$O$19</f>
        <v>0</v>
      </c>
      <c r="I158" s="42">
        <f t="shared" si="37"/>
        <v>0</v>
      </c>
      <c r="J158" s="114">
        <f>'2016 Proposed'!$D$20</f>
        <v>0.2777</v>
      </c>
      <c r="K158" s="7">
        <f t="shared" si="38"/>
        <v>27.77</v>
      </c>
      <c r="L158" s="85"/>
      <c r="M158" s="59"/>
      <c r="N158" s="42"/>
      <c r="O158" s="114"/>
      <c r="P158" s="7"/>
      <c r="Q158" s="85"/>
      <c r="R158" s="59">
        <f>'2015 Approved'!$Z$19</f>
        <v>0</v>
      </c>
      <c r="S158" s="42">
        <f t="shared" si="39"/>
        <v>0</v>
      </c>
      <c r="T158" s="114">
        <f>'2016 Proposed'!$D$20</f>
        <v>0.2777</v>
      </c>
      <c r="U158" s="7">
        <f t="shared" si="40"/>
        <v>27.77</v>
      </c>
      <c r="V158" s="85"/>
    </row>
    <row r="159" spans="1:22" x14ac:dyDescent="0.25">
      <c r="A159" s="139">
        <f t="shared" si="28"/>
        <v>27</v>
      </c>
      <c r="B159" s="85" t="s">
        <v>104</v>
      </c>
      <c r="C159" s="59">
        <f>'2015 Approved'!$D$20</f>
        <v>0</v>
      </c>
      <c r="D159" s="42">
        <f t="shared" si="35"/>
        <v>0</v>
      </c>
      <c r="E159" s="114">
        <f>'2016 Proposed'!$D$21</f>
        <v>-0.82540000000000002</v>
      </c>
      <c r="F159" s="7">
        <f t="shared" si="36"/>
        <v>-82.54</v>
      </c>
      <c r="G159" s="85"/>
      <c r="H159" s="59">
        <f>'2015 Approved'!$O$20</f>
        <v>0</v>
      </c>
      <c r="I159" s="42">
        <f t="shared" si="37"/>
        <v>0</v>
      </c>
      <c r="J159" s="114">
        <f>'2016 Proposed'!$D$21</f>
        <v>-0.82540000000000002</v>
      </c>
      <c r="K159" s="7">
        <f t="shared" si="38"/>
        <v>-82.54</v>
      </c>
      <c r="L159" s="85"/>
      <c r="M159" s="59"/>
      <c r="N159" s="42"/>
      <c r="O159" s="114"/>
      <c r="P159" s="7"/>
      <c r="Q159" s="85"/>
      <c r="R159" s="59">
        <f>'2015 Approved'!$Z$20</f>
        <v>0</v>
      </c>
      <c r="S159" s="42">
        <f t="shared" si="39"/>
        <v>0</v>
      </c>
      <c r="T159" s="114">
        <f>'2016 Proposed'!$D$21</f>
        <v>-0.82540000000000002</v>
      </c>
      <c r="U159" s="7">
        <f t="shared" si="40"/>
        <v>-82.54</v>
      </c>
      <c r="V159" s="85"/>
    </row>
    <row r="160" spans="1:22" x14ac:dyDescent="0.25">
      <c r="A160" s="142">
        <f t="shared" si="28"/>
        <v>28</v>
      </c>
      <c r="B160" s="143" t="s">
        <v>26</v>
      </c>
      <c r="C160" s="126"/>
      <c r="D160" s="96">
        <f>SUM(D144:D159)</f>
        <v>706.09673999999995</v>
      </c>
      <c r="E160" s="110"/>
      <c r="F160" s="95">
        <f>SUM(F144:F159)</f>
        <v>644.1626050000001</v>
      </c>
      <c r="G160" s="127">
        <f>F160-D160</f>
        <v>-61.934134999999856</v>
      </c>
      <c r="H160" s="126"/>
      <c r="I160" s="96">
        <f>SUM(I144:I159)</f>
        <v>461.18863999999996</v>
      </c>
      <c r="J160" s="110"/>
      <c r="K160" s="95">
        <f>SUM(K144:K159)</f>
        <v>644.1626050000001</v>
      </c>
      <c r="L160" s="127">
        <f>K160-I160</f>
        <v>182.97396500000013</v>
      </c>
      <c r="M160" s="126"/>
      <c r="N160" s="96">
        <f>SUM(N144:N159)</f>
        <v>0</v>
      </c>
      <c r="O160" s="110"/>
      <c r="P160" s="95">
        <f>SUM(P144:P159)</f>
        <v>0</v>
      </c>
      <c r="Q160" s="127">
        <f>P160-N160</f>
        <v>0</v>
      </c>
      <c r="R160" s="126"/>
      <c r="S160" s="96">
        <f>SUM(S144:S159)</f>
        <v>1039.3539000000001</v>
      </c>
      <c r="T160" s="110"/>
      <c r="U160" s="95">
        <f>SUM(U144:U159)</f>
        <v>731.19260500000007</v>
      </c>
      <c r="V160" s="127">
        <f>U160-S160</f>
        <v>-308.161295</v>
      </c>
    </row>
    <row r="161" spans="1:22" x14ac:dyDescent="0.25">
      <c r="A161" s="144">
        <f t="shared" si="28"/>
        <v>29</v>
      </c>
      <c r="B161" s="145" t="s">
        <v>118</v>
      </c>
      <c r="C161" s="128"/>
      <c r="D161" s="120"/>
      <c r="E161" s="111"/>
      <c r="F161" s="97"/>
      <c r="G161" s="129">
        <f>G160/D160</f>
        <v>-8.7713384712695117E-2</v>
      </c>
      <c r="H161" s="128"/>
      <c r="I161" s="120"/>
      <c r="J161" s="111"/>
      <c r="K161" s="97"/>
      <c r="L161" s="129">
        <f>L160/I160</f>
        <v>0.3967443018544432</v>
      </c>
      <c r="M161" s="128"/>
      <c r="N161" s="120"/>
      <c r="O161" s="111"/>
      <c r="P161" s="97"/>
      <c r="Q161" s="129" t="e">
        <f>Q160/N160</f>
        <v>#DIV/0!</v>
      </c>
      <c r="R161" s="128"/>
      <c r="S161" s="120"/>
      <c r="T161" s="111"/>
      <c r="U161" s="97"/>
      <c r="V161" s="129">
        <f>V160/S160</f>
        <v>-0.29649313385941012</v>
      </c>
    </row>
    <row r="162" spans="1:22" x14ac:dyDescent="0.25">
      <c r="A162" s="146">
        <f t="shared" si="28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28"/>
        <v>31</v>
      </c>
      <c r="B163" s="85" t="s">
        <v>68</v>
      </c>
      <c r="C163" s="59">
        <f>'2015 Approved'!$D$26</f>
        <v>2.7467999999999999</v>
      </c>
      <c r="D163" s="42">
        <f>C163*D$134</f>
        <v>274.68</v>
      </c>
      <c r="E163" s="114">
        <f>'2016 Proposed'!$D$28</f>
        <v>2.7772999999999999</v>
      </c>
      <c r="F163" s="7">
        <f>E163*F$134</f>
        <v>277.72999999999996</v>
      </c>
      <c r="G163" s="85"/>
      <c r="H163" s="59">
        <f>'2015 Approved'!$O$26</f>
        <v>2.6280000000000001</v>
      </c>
      <c r="I163" s="42">
        <f>H163*I$134</f>
        <v>262.8</v>
      </c>
      <c r="J163" s="114">
        <f>'2016 Proposed'!$D$28</f>
        <v>2.7772999999999999</v>
      </c>
      <c r="K163" s="7">
        <f>J163*K$134</f>
        <v>277.72999999999996</v>
      </c>
      <c r="L163" s="85"/>
      <c r="M163" s="59"/>
      <c r="N163" s="42"/>
      <c r="O163" s="114"/>
      <c r="P163" s="7"/>
      <c r="Q163" s="85"/>
      <c r="R163" s="59">
        <f>'2015 Approved'!$Z$26</f>
        <v>2.7835355586422796</v>
      </c>
      <c r="S163" s="42">
        <f>R163*S$134</f>
        <v>278.35355586422799</v>
      </c>
      <c r="T163" s="114">
        <f>'2016 Proposed'!$D$28</f>
        <v>2.7772999999999999</v>
      </c>
      <c r="U163" s="7">
        <f>T163*U$134</f>
        <v>277.72999999999996</v>
      </c>
      <c r="V163" s="85"/>
    </row>
    <row r="164" spans="1:22" x14ac:dyDescent="0.25">
      <c r="A164" s="139">
        <f t="shared" si="28"/>
        <v>32</v>
      </c>
      <c r="B164" s="85" t="s">
        <v>69</v>
      </c>
      <c r="C164" s="59">
        <f>'2015 Approved'!$D$27</f>
        <v>1.8887</v>
      </c>
      <c r="D164" s="42">
        <f>C164*D$134</f>
        <v>188.87</v>
      </c>
      <c r="E164" s="114">
        <f>'2016 Proposed'!$D$29</f>
        <v>2.0087000000000002</v>
      </c>
      <c r="F164" s="7">
        <f>E164*F$134</f>
        <v>200.87</v>
      </c>
      <c r="G164" s="85"/>
      <c r="H164" s="59">
        <f>'2015 Approved'!$O$27</f>
        <v>1.829</v>
      </c>
      <c r="I164" s="42">
        <f>H164*I$134</f>
        <v>182.9</v>
      </c>
      <c r="J164" s="114">
        <f>'2016 Proposed'!$D$29</f>
        <v>2.0087000000000002</v>
      </c>
      <c r="K164" s="7">
        <f>J164*K$134</f>
        <v>200.87</v>
      </c>
      <c r="L164" s="85"/>
      <c r="M164" s="59"/>
      <c r="N164" s="42"/>
      <c r="O164" s="114"/>
      <c r="P164" s="7"/>
      <c r="Q164" s="85"/>
      <c r="R164" s="59">
        <f>'2015 Approved'!$Z$27</f>
        <v>1.2831158880371321</v>
      </c>
      <c r="S164" s="42">
        <f>R164*S$134</f>
        <v>128.31158880371319</v>
      </c>
      <c r="T164" s="114">
        <f>'2016 Proposed'!$D$29</f>
        <v>2.0087000000000002</v>
      </c>
      <c r="U164" s="7">
        <f>T164*U$134</f>
        <v>200.87</v>
      </c>
      <c r="V164" s="85"/>
    </row>
    <row r="165" spans="1:22" x14ac:dyDescent="0.25">
      <c r="A165" s="142">
        <f t="shared" si="28"/>
        <v>33</v>
      </c>
      <c r="B165" s="143" t="s">
        <v>26</v>
      </c>
      <c r="C165" s="126"/>
      <c r="D165" s="96">
        <f>SUM(D163:D164)</f>
        <v>463.55</v>
      </c>
      <c r="E165" s="110"/>
      <c r="F165" s="95">
        <f>SUM(F163:F164)</f>
        <v>478.59999999999997</v>
      </c>
      <c r="G165" s="127">
        <f>F165-D165</f>
        <v>15.049999999999955</v>
      </c>
      <c r="H165" s="126"/>
      <c r="I165" s="96">
        <f>SUM(I163:I164)</f>
        <v>445.70000000000005</v>
      </c>
      <c r="J165" s="110"/>
      <c r="K165" s="95">
        <f>SUM(K163:K164)</f>
        <v>478.59999999999997</v>
      </c>
      <c r="L165" s="127">
        <f>K165-I165</f>
        <v>32.89999999999992</v>
      </c>
      <c r="M165" s="126"/>
      <c r="N165" s="96">
        <f>SUM(N163:N164)</f>
        <v>0</v>
      </c>
      <c r="O165" s="110"/>
      <c r="P165" s="95">
        <f>SUM(P163:P164)</f>
        <v>0</v>
      </c>
      <c r="Q165" s="127">
        <f>P165-N165</f>
        <v>0</v>
      </c>
      <c r="R165" s="126"/>
      <c r="S165" s="96">
        <f>SUM(S163:S164)</f>
        <v>406.66514466794115</v>
      </c>
      <c r="T165" s="110"/>
      <c r="U165" s="95">
        <f>SUM(U163:U164)</f>
        <v>478.59999999999997</v>
      </c>
      <c r="V165" s="127">
        <f>U165-S165</f>
        <v>71.934855332058817</v>
      </c>
    </row>
    <row r="166" spans="1:22" x14ac:dyDescent="0.25">
      <c r="A166" s="144">
        <f t="shared" si="28"/>
        <v>34</v>
      </c>
      <c r="B166" s="145" t="s">
        <v>118</v>
      </c>
      <c r="C166" s="128"/>
      <c r="D166" s="120"/>
      <c r="E166" s="111"/>
      <c r="F166" s="97"/>
      <c r="G166" s="129">
        <f>G165/D165</f>
        <v>3.2466832056951687E-2</v>
      </c>
      <c r="H166" s="128"/>
      <c r="I166" s="120"/>
      <c r="J166" s="111"/>
      <c r="K166" s="97"/>
      <c r="L166" s="129">
        <f>L165/I165</f>
        <v>7.3816468476553543E-2</v>
      </c>
      <c r="M166" s="128"/>
      <c r="N166" s="120"/>
      <c r="O166" s="111"/>
      <c r="P166" s="97"/>
      <c r="Q166" s="129" t="e">
        <f>Q165/N165</f>
        <v>#DIV/0!</v>
      </c>
      <c r="R166" s="128"/>
      <c r="S166" s="120"/>
      <c r="T166" s="111"/>
      <c r="U166" s="97"/>
      <c r="V166" s="129">
        <f>V165/S165</f>
        <v>0.17688965055216765</v>
      </c>
    </row>
    <row r="167" spans="1:22" x14ac:dyDescent="0.25">
      <c r="A167" s="146">
        <f t="shared" si="28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28"/>
        <v>36</v>
      </c>
      <c r="B168" s="85" t="s">
        <v>66</v>
      </c>
      <c r="C168" s="59">
        <f>WMSR+RRRP</f>
        <v>5.7000000000000002E-3</v>
      </c>
      <c r="D168" s="42">
        <f>C168*D136</f>
        <v>193.17870000000002</v>
      </c>
      <c r="E168" s="114">
        <f>WMSR+RRRP</f>
        <v>5.7000000000000002E-3</v>
      </c>
      <c r="F168" s="7">
        <f>E168*F136</f>
        <v>193.234275</v>
      </c>
      <c r="G168" s="85"/>
      <c r="H168" s="59">
        <f>WMSR+RRRP</f>
        <v>5.7000000000000002E-3</v>
      </c>
      <c r="I168" s="42">
        <f>H168*I136</f>
        <v>196.51320000000001</v>
      </c>
      <c r="J168" s="114">
        <f>WMSR+RRRP</f>
        <v>5.7000000000000002E-3</v>
      </c>
      <c r="K168" s="7">
        <f>J168*K136</f>
        <v>193.234275</v>
      </c>
      <c r="L168" s="85"/>
      <c r="M168" s="59"/>
      <c r="N168" s="42"/>
      <c r="O168" s="114"/>
      <c r="P168" s="7"/>
      <c r="Q168" s="85"/>
      <c r="R168" s="59">
        <f>WMSR+RRRP</f>
        <v>5.7000000000000002E-3</v>
      </c>
      <c r="S168" s="42">
        <f>R168*S136</f>
        <v>195.99450000000002</v>
      </c>
      <c r="T168" s="114">
        <f>WMSR+RRRP</f>
        <v>5.7000000000000002E-3</v>
      </c>
      <c r="U168" s="7">
        <f>T168*U136</f>
        <v>193.234275</v>
      </c>
      <c r="V168" s="85"/>
    </row>
    <row r="169" spans="1:22" x14ac:dyDescent="0.25">
      <c r="A169" s="139">
        <f t="shared" si="28"/>
        <v>37</v>
      </c>
      <c r="B169" s="85" t="s">
        <v>67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/>
      <c r="N169" s="42"/>
      <c r="O169" s="114"/>
      <c r="P169" s="7"/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28"/>
        <v>38</v>
      </c>
      <c r="B170" s="85" t="s">
        <v>11</v>
      </c>
      <c r="C170" s="59">
        <v>7.0000000000000001E-3</v>
      </c>
      <c r="D170" s="42">
        <f>C170*D133</f>
        <v>227.5</v>
      </c>
      <c r="E170" s="114">
        <v>7.0000000000000001E-3</v>
      </c>
      <c r="F170" s="7">
        <f>E170*F133</f>
        <v>227.5</v>
      </c>
      <c r="G170" s="85"/>
      <c r="H170" s="59">
        <v>7.0000000000000001E-3</v>
      </c>
      <c r="I170" s="42">
        <f>H170*I133</f>
        <v>227.5</v>
      </c>
      <c r="J170" s="114">
        <v>7.0000000000000001E-3</v>
      </c>
      <c r="K170" s="7">
        <f>J170*K133</f>
        <v>227.5</v>
      </c>
      <c r="L170" s="85"/>
      <c r="M170" s="59"/>
      <c r="N170" s="42"/>
      <c r="O170" s="114"/>
      <c r="P170" s="7"/>
      <c r="Q170" s="85"/>
      <c r="R170" s="59">
        <v>7.0000000000000001E-3</v>
      </c>
      <c r="S170" s="42">
        <f>R170*S133</f>
        <v>227.5</v>
      </c>
      <c r="T170" s="114">
        <v>7.0000000000000001E-3</v>
      </c>
      <c r="U170" s="7">
        <f>T170*U133</f>
        <v>227.5</v>
      </c>
      <c r="V170" s="85"/>
    </row>
    <row r="171" spans="1:22" x14ac:dyDescent="0.25">
      <c r="A171" s="139">
        <f t="shared" si="28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/>
      <c r="N171" s="42"/>
      <c r="O171" s="106"/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28"/>
        <v>40</v>
      </c>
      <c r="B172" s="143" t="s">
        <v>12</v>
      </c>
      <c r="C172" s="126"/>
      <c r="D172" s="96">
        <f>SUM(D168:D171)</f>
        <v>420.92870000000005</v>
      </c>
      <c r="E172" s="110"/>
      <c r="F172" s="95">
        <f>SUM(F168:F171)</f>
        <v>420.98427500000003</v>
      </c>
      <c r="G172" s="127">
        <f>F172-D172</f>
        <v>5.5574999999976171E-2</v>
      </c>
      <c r="H172" s="126"/>
      <c r="I172" s="96">
        <f>SUM(I168:I171)</f>
        <v>424.26319999999998</v>
      </c>
      <c r="J172" s="110"/>
      <c r="K172" s="95">
        <f>SUM(K168:K171)</f>
        <v>420.98427500000003</v>
      </c>
      <c r="L172" s="127">
        <f>K172-I172</f>
        <v>-3.2789249999999583</v>
      </c>
      <c r="M172" s="126"/>
      <c r="N172" s="96">
        <f>SUM(N168:N171)</f>
        <v>0</v>
      </c>
      <c r="O172" s="110"/>
      <c r="P172" s="95">
        <f>SUM(P168:P171)</f>
        <v>0</v>
      </c>
      <c r="Q172" s="127">
        <f>P172-N172</f>
        <v>0</v>
      </c>
      <c r="R172" s="126"/>
      <c r="S172" s="96">
        <f>SUM(S168:S171)</f>
        <v>423.74450000000002</v>
      </c>
      <c r="T172" s="110"/>
      <c r="U172" s="95">
        <f>SUM(U168:U171)</f>
        <v>420.98427500000003</v>
      </c>
      <c r="V172" s="127">
        <f>U172-S172</f>
        <v>-2.7602249999999913</v>
      </c>
    </row>
    <row r="173" spans="1:22" x14ac:dyDescent="0.25">
      <c r="A173" s="144">
        <f t="shared" si="28"/>
        <v>41</v>
      </c>
      <c r="B173" s="145" t="s">
        <v>118</v>
      </c>
      <c r="C173" s="128"/>
      <c r="D173" s="120"/>
      <c r="E173" s="111"/>
      <c r="F173" s="97"/>
      <c r="G173" s="129">
        <f>G172/D172</f>
        <v>1.3202948622884628E-4</v>
      </c>
      <c r="H173" s="128"/>
      <c r="I173" s="120"/>
      <c r="J173" s="111"/>
      <c r="K173" s="97"/>
      <c r="L173" s="129">
        <f>L172/I172</f>
        <v>-7.7285161663796396E-3</v>
      </c>
      <c r="M173" s="128"/>
      <c r="N173" s="120"/>
      <c r="O173" s="111"/>
      <c r="P173" s="97"/>
      <c r="Q173" s="129" t="e">
        <f>Q172/N172</f>
        <v>#DIV/0!</v>
      </c>
      <c r="R173" s="128"/>
      <c r="S173" s="120"/>
      <c r="T173" s="111"/>
      <c r="U173" s="97"/>
      <c r="V173" s="129">
        <f>V172/S172</f>
        <v>-6.5138898557975172E-3</v>
      </c>
    </row>
    <row r="174" spans="1:22" x14ac:dyDescent="0.25">
      <c r="A174" s="147">
        <f t="shared" si="28"/>
        <v>42</v>
      </c>
      <c r="B174" s="133" t="s">
        <v>129</v>
      </c>
      <c r="C174" s="132"/>
      <c r="D174" s="122">
        <f>D141+D160+D165+D172</f>
        <v>4910.1254399999998</v>
      </c>
      <c r="E174" s="115"/>
      <c r="F174" s="102">
        <f>F141+F160+F165+F172</f>
        <v>4863.2968799999999</v>
      </c>
      <c r="G174" s="133"/>
      <c r="H174" s="132"/>
      <c r="I174" s="122">
        <f>I141+I160+I165+I172</f>
        <v>4650.7018399999997</v>
      </c>
      <c r="J174" s="115"/>
      <c r="K174" s="102">
        <f>K141+K160+K165+K172</f>
        <v>4863.2968799999999</v>
      </c>
      <c r="L174" s="133"/>
      <c r="M174" s="132"/>
      <c r="N174" s="122">
        <f>N141+N160+N165+N172</f>
        <v>0</v>
      </c>
      <c r="O174" s="115"/>
      <c r="P174" s="102">
        <f>P141+P160+P165+P172</f>
        <v>0</v>
      </c>
      <c r="Q174" s="133"/>
      <c r="R174" s="132"/>
      <c r="S174" s="122">
        <f>S141+S160+S165+S172</f>
        <v>5189.3135446679398</v>
      </c>
      <c r="T174" s="115"/>
      <c r="U174" s="102">
        <f>U141+U160+U165+U172</f>
        <v>4950.3268799999996</v>
      </c>
      <c r="V174" s="133"/>
    </row>
    <row r="175" spans="1:22" x14ac:dyDescent="0.25">
      <c r="A175" s="148">
        <f t="shared" si="28"/>
        <v>43</v>
      </c>
      <c r="B175" s="134" t="s">
        <v>13</v>
      </c>
      <c r="C175" s="87"/>
      <c r="D175" s="43">
        <f>D174*0.13</f>
        <v>638.31630719999998</v>
      </c>
      <c r="E175" s="116"/>
      <c r="F175" s="99">
        <f>F174*0.13</f>
        <v>632.22859440000002</v>
      </c>
      <c r="G175" s="134"/>
      <c r="H175" s="87"/>
      <c r="I175" s="43">
        <f>I174*0.13</f>
        <v>604.59123920000002</v>
      </c>
      <c r="J175" s="116"/>
      <c r="K175" s="99">
        <f>K174*0.13</f>
        <v>632.22859440000002</v>
      </c>
      <c r="L175" s="134"/>
      <c r="M175" s="87"/>
      <c r="N175" s="43">
        <f>N174*0.13</f>
        <v>0</v>
      </c>
      <c r="O175" s="116"/>
      <c r="P175" s="99">
        <f>P174*0.13</f>
        <v>0</v>
      </c>
      <c r="Q175" s="134"/>
      <c r="R175" s="87"/>
      <c r="S175" s="43">
        <f>S174*0.13</f>
        <v>674.61076080683222</v>
      </c>
      <c r="T175" s="116"/>
      <c r="U175" s="99">
        <f>U174*0.13</f>
        <v>643.54249440000001</v>
      </c>
      <c r="V175" s="134"/>
    </row>
    <row r="176" spans="1:22" x14ac:dyDescent="0.25">
      <c r="A176" s="141">
        <f t="shared" si="28"/>
        <v>44</v>
      </c>
      <c r="B176" s="125" t="s">
        <v>14</v>
      </c>
      <c r="C176" s="88"/>
      <c r="D176" s="69">
        <f>SUM(D174:D175)*-0.1</f>
        <v>-554.84417471999996</v>
      </c>
      <c r="E176" s="117"/>
      <c r="F176" s="70">
        <f>SUM(F174:F175)*-0.1</f>
        <v>-549.55254744000001</v>
      </c>
      <c r="G176" s="125"/>
      <c r="H176" s="88"/>
      <c r="I176" s="69">
        <f>SUM(I174:I175)*-0.1</f>
        <v>-525.52930791999995</v>
      </c>
      <c r="J176" s="117"/>
      <c r="K176" s="70">
        <f>SUM(K174:K175)*-0.1</f>
        <v>-549.55254744000001</v>
      </c>
      <c r="L176" s="125"/>
      <c r="M176" s="88"/>
      <c r="N176" s="69">
        <f>SUM(N174:N175)*-0.1</f>
        <v>0</v>
      </c>
      <c r="O176" s="117"/>
      <c r="P176" s="70">
        <f>SUM(P174:P175)*-0.1</f>
        <v>0</v>
      </c>
      <c r="Q176" s="125"/>
      <c r="R176" s="88"/>
      <c r="S176" s="69">
        <f>SUM(S174:S175)*-0.1</f>
        <v>-586.39243054747726</v>
      </c>
      <c r="T176" s="117"/>
      <c r="U176" s="70">
        <f>SUM(U174:U175)*-0.1</f>
        <v>-559.38693744</v>
      </c>
      <c r="V176" s="125"/>
    </row>
    <row r="177" spans="1:22" x14ac:dyDescent="0.25">
      <c r="A177" s="149">
        <f t="shared" si="28"/>
        <v>45</v>
      </c>
      <c r="B177" s="150" t="s">
        <v>15</v>
      </c>
      <c r="C177" s="135"/>
      <c r="D177" s="104">
        <f>SUM(D174:D176)</f>
        <v>4993.5975724799991</v>
      </c>
      <c r="E177" s="118"/>
      <c r="F177" s="103">
        <f>SUM(F174:F176)</f>
        <v>4945.9729269599993</v>
      </c>
      <c r="G177" s="136">
        <f>F177-D177</f>
        <v>-47.624645519999831</v>
      </c>
      <c r="H177" s="135"/>
      <c r="I177" s="104">
        <f>SUM(I174:I176)</f>
        <v>4729.7637712799997</v>
      </c>
      <c r="J177" s="118"/>
      <c r="K177" s="103">
        <f>SUM(K174:K176)</f>
        <v>4945.9729269599993</v>
      </c>
      <c r="L177" s="136">
        <f>K177-I177</f>
        <v>216.20915567999964</v>
      </c>
      <c r="M177" s="135"/>
      <c r="N177" s="104">
        <f>SUM(N174:N176)</f>
        <v>0</v>
      </c>
      <c r="O177" s="118"/>
      <c r="P177" s="103">
        <f>SUM(P174:P176)</f>
        <v>0</v>
      </c>
      <c r="Q177" s="136">
        <f>P177-N177</f>
        <v>0</v>
      </c>
      <c r="R177" s="135"/>
      <c r="S177" s="104">
        <f>SUM(S174:S176)</f>
        <v>5277.5318749272947</v>
      </c>
      <c r="T177" s="118"/>
      <c r="U177" s="103">
        <f>SUM(U174:U176)</f>
        <v>5034.4824369599992</v>
      </c>
      <c r="V177" s="136">
        <f>U177-S177</f>
        <v>-243.04943796729549</v>
      </c>
    </row>
    <row r="178" spans="1:22" x14ac:dyDescent="0.25">
      <c r="A178" s="151">
        <f t="shared" si="28"/>
        <v>46</v>
      </c>
      <c r="B178" s="152" t="s">
        <v>118</v>
      </c>
      <c r="C178" s="137"/>
      <c r="D178" s="123"/>
      <c r="E178" s="119"/>
      <c r="F178" s="105"/>
      <c r="G178" s="138">
        <f>G177/D177</f>
        <v>-9.5371412751523998E-3</v>
      </c>
      <c r="H178" s="137"/>
      <c r="I178" s="123"/>
      <c r="J178" s="119"/>
      <c r="K178" s="105"/>
      <c r="L178" s="138">
        <f>L177/I177</f>
        <v>4.5712463906307885E-2</v>
      </c>
      <c r="M178" s="137"/>
      <c r="N178" s="123"/>
      <c r="O178" s="119"/>
      <c r="P178" s="105"/>
      <c r="Q178" s="138" t="e">
        <f>Q177/N177</f>
        <v>#DIV/0!</v>
      </c>
      <c r="R178" s="137"/>
      <c r="S178" s="123"/>
      <c r="T178" s="119"/>
      <c r="U178" s="105"/>
      <c r="V178" s="138">
        <f>V177/S177</f>
        <v>-4.6053618192622256E-2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127</v>
      </c>
      <c r="C180" s="202">
        <f>'2015 Approved'!$D$23</f>
        <v>0</v>
      </c>
      <c r="D180" s="43">
        <f>C180*D134</f>
        <v>0</v>
      </c>
      <c r="E180" s="203">
        <f>C180</f>
        <v>0</v>
      </c>
      <c r="F180" s="99">
        <f>E180*F134</f>
        <v>0</v>
      </c>
      <c r="G180" s="134"/>
      <c r="H180" s="59">
        <f>'2015 Approved'!$O$23</f>
        <v>0</v>
      </c>
      <c r="I180" s="43">
        <f>H180*I$134</f>
        <v>0</v>
      </c>
      <c r="J180" s="203">
        <f>H180</f>
        <v>0</v>
      </c>
      <c r="K180" s="7">
        <f>J180*K$134</f>
        <v>0</v>
      </c>
      <c r="L180" s="134"/>
      <c r="M180" s="59"/>
      <c r="N180" s="43"/>
      <c r="O180" s="203"/>
      <c r="P180" s="7"/>
      <c r="Q180" s="134"/>
      <c r="R180" s="59">
        <f>'2015 Approved'!$Z$23</f>
        <v>1.1795</v>
      </c>
      <c r="S180" s="43">
        <f>R180*S134</f>
        <v>117.95</v>
      </c>
      <c r="T180" s="203">
        <f>R180</f>
        <v>1.1795</v>
      </c>
      <c r="U180" s="7">
        <f>T180*U134</f>
        <v>117.95</v>
      </c>
      <c r="V180" s="134"/>
    </row>
    <row r="181" spans="1:22" x14ac:dyDescent="0.25">
      <c r="A181" s="148">
        <f>A180+1</f>
        <v>49</v>
      </c>
      <c r="B181" s="85" t="s">
        <v>128</v>
      </c>
      <c r="C181" s="59">
        <f>'2015 Approved'!$D$24</f>
        <v>-0.99730000000000008</v>
      </c>
      <c r="D181" s="42">
        <f>C181*D134</f>
        <v>-99.73</v>
      </c>
      <c r="E181" s="203">
        <f>'2016 Proposed'!$D$26</f>
        <v>1.3655999999999999</v>
      </c>
      <c r="F181" s="7">
        <f>E181*F134</f>
        <v>136.56</v>
      </c>
      <c r="G181" s="85"/>
      <c r="H181" s="59">
        <f>'2015 Approved'!$O$24</f>
        <v>-0.28370000000000001</v>
      </c>
      <c r="I181" s="43">
        <f>H181*I$134</f>
        <v>-28.37</v>
      </c>
      <c r="J181" s="114">
        <f>'2016 Proposed'!$D$26</f>
        <v>1.3655999999999999</v>
      </c>
      <c r="K181" s="7">
        <f>J181*K$134</f>
        <v>136.56</v>
      </c>
      <c r="L181" s="85"/>
      <c r="M181" s="59"/>
      <c r="N181" s="42"/>
      <c r="O181" s="114"/>
      <c r="P181" s="7"/>
      <c r="Q181" s="85"/>
      <c r="R181" s="59">
        <f>'2015 Approved'!$Z$24</f>
        <v>-0.1012</v>
      </c>
      <c r="S181" s="42">
        <f>R181*S134</f>
        <v>-10.119999999999999</v>
      </c>
      <c r="T181" s="114">
        <f>'2016 Proposed'!$D$26</f>
        <v>1.3655999999999999</v>
      </c>
      <c r="U181" s="7">
        <f>T181*U134</f>
        <v>136.56</v>
      </c>
      <c r="V181" s="85"/>
    </row>
    <row r="182" spans="1:22" x14ac:dyDescent="0.25">
      <c r="A182" s="139">
        <f t="shared" si="28"/>
        <v>50</v>
      </c>
      <c r="B182" s="85" t="s">
        <v>17</v>
      </c>
      <c r="C182" s="86"/>
      <c r="D182" s="42">
        <f>D174+SUM(D180:D181)</f>
        <v>4810.3954400000002</v>
      </c>
      <c r="E182" s="106"/>
      <c r="F182" s="7">
        <f>F174+SUM(F180:F181)</f>
        <v>4999.8568800000003</v>
      </c>
      <c r="G182" s="85"/>
      <c r="H182" s="86"/>
      <c r="I182" s="42">
        <f>I174+I181+I180</f>
        <v>4622.3318399999998</v>
      </c>
      <c r="J182" s="106"/>
      <c r="K182" s="7">
        <f>K174+K181+K180</f>
        <v>4999.8568800000003</v>
      </c>
      <c r="L182" s="85"/>
      <c r="M182" s="86"/>
      <c r="N182" s="42"/>
      <c r="O182" s="106"/>
      <c r="P182" s="7"/>
      <c r="Q182" s="85"/>
      <c r="R182" s="86"/>
      <c r="S182" s="42">
        <f>S174+S181+S180</f>
        <v>5297.1435446679398</v>
      </c>
      <c r="T182" s="106"/>
      <c r="U182" s="7">
        <f>U174+U181+U180</f>
        <v>5204.8368799999998</v>
      </c>
      <c r="V182" s="85"/>
    </row>
    <row r="183" spans="1:22" x14ac:dyDescent="0.25">
      <c r="A183" s="139">
        <f t="shared" si="28"/>
        <v>51</v>
      </c>
      <c r="B183" s="85" t="s">
        <v>13</v>
      </c>
      <c r="C183" s="86"/>
      <c r="D183" s="42">
        <f>D182*0.13</f>
        <v>625.35140720000004</v>
      </c>
      <c r="E183" s="106"/>
      <c r="F183" s="7">
        <f>F182*0.13</f>
        <v>649.98139440000011</v>
      </c>
      <c r="G183" s="85"/>
      <c r="H183" s="86"/>
      <c r="I183" s="42">
        <f>I182*0.13</f>
        <v>600.90313920000006</v>
      </c>
      <c r="J183" s="106"/>
      <c r="K183" s="7">
        <f>K182*0.13</f>
        <v>649.98139440000011</v>
      </c>
      <c r="L183" s="85"/>
      <c r="M183" s="86"/>
      <c r="N183" s="42"/>
      <c r="O183" s="106"/>
      <c r="P183" s="7"/>
      <c r="Q183" s="85"/>
      <c r="R183" s="86"/>
      <c r="S183" s="42">
        <f>S182*0.13</f>
        <v>688.62866080683216</v>
      </c>
      <c r="T183" s="106"/>
      <c r="U183" s="7">
        <f>U182*0.13</f>
        <v>676.62879439999995</v>
      </c>
      <c r="V183" s="85"/>
    </row>
    <row r="184" spans="1:22" x14ac:dyDescent="0.25">
      <c r="A184" s="139">
        <f t="shared" si="28"/>
        <v>52</v>
      </c>
      <c r="B184" s="85" t="s">
        <v>18</v>
      </c>
      <c r="C184" s="86"/>
      <c r="D184" s="42">
        <f>SUM(D182:D183)*-0.1</f>
        <v>-543.57468472000005</v>
      </c>
      <c r="E184" s="106"/>
      <c r="F184" s="7">
        <f>SUM(F182:F183)*-0.1</f>
        <v>-564.98382744000003</v>
      </c>
      <c r="G184" s="85"/>
      <c r="H184" s="86"/>
      <c r="I184" s="42">
        <f>SUM(I182:I183)*-0.1</f>
        <v>-522.32349792000002</v>
      </c>
      <c r="J184" s="106"/>
      <c r="K184" s="7">
        <f>SUM(K182:K183)*-0.1</f>
        <v>-564.98382744000003</v>
      </c>
      <c r="L184" s="85"/>
      <c r="M184" s="86"/>
      <c r="N184" s="42"/>
      <c r="O184" s="106"/>
      <c r="P184" s="7"/>
      <c r="Q184" s="85"/>
      <c r="R184" s="86"/>
      <c r="S184" s="42">
        <f>SUM(S182:S183)*-0.1</f>
        <v>-598.57722054747717</v>
      </c>
      <c r="T184" s="106"/>
      <c r="U184" s="7">
        <f>SUM(U182:U183)*-0.1</f>
        <v>-588.14656744000001</v>
      </c>
      <c r="V184" s="85"/>
    </row>
    <row r="185" spans="1:22" x14ac:dyDescent="0.25">
      <c r="A185" s="177">
        <f t="shared" si="28"/>
        <v>53</v>
      </c>
      <c r="B185" s="178" t="s">
        <v>15</v>
      </c>
      <c r="C185" s="179"/>
      <c r="D185" s="180">
        <f>SUM(D182:D184)</f>
        <v>4892.1721624800002</v>
      </c>
      <c r="E185" s="181"/>
      <c r="F185" s="182">
        <f>SUM(F182:F184)</f>
        <v>5084.8544469600001</v>
      </c>
      <c r="G185" s="183">
        <f>F185-D185</f>
        <v>192.68228447999991</v>
      </c>
      <c r="H185" s="179"/>
      <c r="I185" s="180">
        <f>SUM(I182:I184)</f>
        <v>4700.9114812799999</v>
      </c>
      <c r="J185" s="181"/>
      <c r="K185" s="182">
        <f>SUM(K182:K184)</f>
        <v>5084.8544469600001</v>
      </c>
      <c r="L185" s="183">
        <f>K185-I185</f>
        <v>383.94296568000027</v>
      </c>
      <c r="M185" s="179"/>
      <c r="N185" s="180">
        <f>SUM(N182:N184)</f>
        <v>0</v>
      </c>
      <c r="O185" s="181"/>
      <c r="P185" s="182">
        <f>SUM(P182:P184)</f>
        <v>0</v>
      </c>
      <c r="Q185" s="183">
        <f>P185-N185</f>
        <v>0</v>
      </c>
      <c r="R185" s="179"/>
      <c r="S185" s="180">
        <f>SUM(S182:S184)</f>
        <v>5387.1949849272951</v>
      </c>
      <c r="T185" s="181"/>
      <c r="U185" s="182">
        <f>SUM(U182:U184)</f>
        <v>5293.3191069599998</v>
      </c>
      <c r="V185" s="183">
        <f>U185-S185</f>
        <v>-93.87587796729531</v>
      </c>
    </row>
    <row r="186" spans="1:22" ht="15.75" thickBot="1" x14ac:dyDescent="0.3">
      <c r="A186" s="184">
        <f>A185+1</f>
        <v>54</v>
      </c>
      <c r="B186" s="185" t="s">
        <v>118</v>
      </c>
      <c r="C186" s="186"/>
      <c r="D186" s="187"/>
      <c r="E186" s="188"/>
      <c r="F186" s="189"/>
      <c r="G186" s="190">
        <f>G185/D185</f>
        <v>3.9385834774531531E-2</v>
      </c>
      <c r="H186" s="186"/>
      <c r="I186" s="187"/>
      <c r="J186" s="188"/>
      <c r="K186" s="189"/>
      <c r="L186" s="190">
        <f>L185/I185</f>
        <v>8.1674153450653222E-2</v>
      </c>
      <c r="M186" s="186"/>
      <c r="N186" s="187"/>
      <c r="O186" s="188"/>
      <c r="P186" s="189"/>
      <c r="Q186" s="190" t="e">
        <f>Q185/N185</f>
        <v>#DIV/0!</v>
      </c>
      <c r="R186" s="186"/>
      <c r="S186" s="187"/>
      <c r="T186" s="188"/>
      <c r="U186" s="189"/>
      <c r="V186" s="190">
        <f>V185/S185</f>
        <v>-1.7425743495445848E-2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120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103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103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103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103</v>
      </c>
    </row>
    <row r="189" spans="1:22" x14ac:dyDescent="0.25">
      <c r="A189" s="139">
        <f>A188+1</f>
        <v>56</v>
      </c>
      <c r="B189" s="85" t="s">
        <v>119</v>
      </c>
      <c r="C189" s="86"/>
      <c r="D189" s="42">
        <f>SUM(D144:D147)+D149+D150+D159</f>
        <v>613.20673999999997</v>
      </c>
      <c r="E189" s="106"/>
      <c r="F189" s="7">
        <f>SUM(F144:F147)+F149+F150+F159</f>
        <v>486.54260500000004</v>
      </c>
      <c r="G189" s="56">
        <f>F189-D189</f>
        <v>-126.66413499999993</v>
      </c>
      <c r="H189" s="86"/>
      <c r="I189" s="42">
        <f>SUM(I144:I147)+I149+I150+I159</f>
        <v>400.31863999999996</v>
      </c>
      <c r="J189" s="106"/>
      <c r="K189" s="7">
        <f>SUM(K144:K147)+K149+K150+K159</f>
        <v>486.54260500000004</v>
      </c>
      <c r="L189" s="56">
        <f>K189-I189</f>
        <v>86.223965000000078</v>
      </c>
      <c r="M189" s="86"/>
      <c r="N189" s="42">
        <f>SUM(N144:N147)+N149+N150+N159</f>
        <v>0</v>
      </c>
      <c r="O189" s="106"/>
      <c r="P189" s="7">
        <f>SUM(P144:P147)+P149+P150+P159</f>
        <v>0</v>
      </c>
      <c r="Q189" s="56">
        <f>P189-N189</f>
        <v>0</v>
      </c>
      <c r="R189" s="86"/>
      <c r="S189" s="42">
        <f>SUM(S144:S147)+S149+S150+S159</f>
        <v>611.81389999999999</v>
      </c>
      <c r="T189" s="106"/>
      <c r="U189" s="7">
        <f>SUM(U144:U147)+U149+U150+U159</f>
        <v>486.54260500000004</v>
      </c>
      <c r="V189" s="56">
        <f>U189-S189</f>
        <v>-125.27129499999995</v>
      </c>
    </row>
    <row r="190" spans="1:22" x14ac:dyDescent="0.25">
      <c r="A190" s="164">
        <f t="shared" ref="A190:A192" si="41">A189+1</f>
        <v>57</v>
      </c>
      <c r="B190" s="165" t="s">
        <v>118</v>
      </c>
      <c r="C190" s="166"/>
      <c r="D190" s="167"/>
      <c r="E190" s="168"/>
      <c r="F190" s="93"/>
      <c r="G190" s="169">
        <f>G189/SUM(D189:D192)</f>
        <v>-0.17938637558360621</v>
      </c>
      <c r="H190" s="166"/>
      <c r="I190" s="167"/>
      <c r="J190" s="168"/>
      <c r="K190" s="93"/>
      <c r="L190" s="169">
        <f>L189/SUM(I189:I192)</f>
        <v>0.18696029676706713</v>
      </c>
      <c r="M190" s="166"/>
      <c r="N190" s="167"/>
      <c r="O190" s="168"/>
      <c r="P190" s="93"/>
      <c r="Q190" s="169" t="e">
        <f>Q189/SUM(N189:N192)</f>
        <v>#DIV/0!</v>
      </c>
      <c r="R190" s="166"/>
      <c r="S190" s="167"/>
      <c r="T190" s="168"/>
      <c r="U190" s="93"/>
      <c r="V190" s="169">
        <f>V189/SUM(S189:S192)</f>
        <v>-0.12052804631800577</v>
      </c>
    </row>
    <row r="191" spans="1:22" x14ac:dyDescent="0.25">
      <c r="A191" s="139">
        <f t="shared" si="41"/>
        <v>58</v>
      </c>
      <c r="B191" s="85" t="s">
        <v>121</v>
      </c>
      <c r="C191" s="86"/>
      <c r="D191" s="42">
        <f>D148+SUM(D151:D158)</f>
        <v>92.890000000000015</v>
      </c>
      <c r="E191" s="106"/>
      <c r="F191" s="7">
        <f>F148+SUM(F151:F158)</f>
        <v>157.62</v>
      </c>
      <c r="G191" s="56">
        <f>F191-D191</f>
        <v>64.72999999999999</v>
      </c>
      <c r="H191" s="86"/>
      <c r="I191" s="42">
        <f>I148+SUM(I151:I158)</f>
        <v>60.870000000000005</v>
      </c>
      <c r="J191" s="106"/>
      <c r="K191" s="7">
        <f>K148+SUM(K151:K158)</f>
        <v>157.62</v>
      </c>
      <c r="L191" s="56">
        <f>K191-I191</f>
        <v>96.75</v>
      </c>
      <c r="M191" s="86"/>
      <c r="N191" s="42">
        <f>N148+SUM(N151:N158)</f>
        <v>0</v>
      </c>
      <c r="O191" s="106"/>
      <c r="P191" s="7">
        <f>P148+SUM(P151:P158)</f>
        <v>0</v>
      </c>
      <c r="Q191" s="56">
        <f>P191-N191</f>
        <v>0</v>
      </c>
      <c r="R191" s="86"/>
      <c r="S191" s="42">
        <f>S148+SUM(S151:S158)</f>
        <v>427.53999999999996</v>
      </c>
      <c r="T191" s="106"/>
      <c r="U191" s="7">
        <f>U148+SUM(U151:U158)</f>
        <v>244.65</v>
      </c>
      <c r="V191" s="56">
        <f>U191-S191</f>
        <v>-182.88999999999996</v>
      </c>
    </row>
    <row r="192" spans="1:22" ht="15.75" thickBot="1" x14ac:dyDescent="0.3">
      <c r="A192" s="170">
        <f t="shared" si="41"/>
        <v>59</v>
      </c>
      <c r="B192" s="171" t="s">
        <v>118</v>
      </c>
      <c r="C192" s="172"/>
      <c r="D192" s="173"/>
      <c r="E192" s="174"/>
      <c r="F192" s="175"/>
      <c r="G192" s="176">
        <f>G191/SUM(D189:D192)</f>
        <v>9.1672990870910964E-2</v>
      </c>
      <c r="H192" s="172"/>
      <c r="I192" s="173"/>
      <c r="J192" s="174"/>
      <c r="K192" s="175"/>
      <c r="L192" s="176">
        <f>L191/SUM(I189:I192)</f>
        <v>0.20978400508737596</v>
      </c>
      <c r="M192" s="172"/>
      <c r="N192" s="173"/>
      <c r="O192" s="174"/>
      <c r="P192" s="175"/>
      <c r="Q192" s="176" t="e">
        <f>Q191/SUM(N189:N192)</f>
        <v>#DIV/0!</v>
      </c>
      <c r="R192" s="172"/>
      <c r="S192" s="173"/>
      <c r="T192" s="174"/>
      <c r="U192" s="175"/>
      <c r="V192" s="176">
        <f>V191/SUM(S189:S192)</f>
        <v>-0.17596508754140427</v>
      </c>
    </row>
    <row r="193" spans="1:22" ht="15.75" thickBot="1" x14ac:dyDescent="0.3"/>
    <row r="194" spans="1:22" x14ac:dyDescent="0.25">
      <c r="A194" s="331" t="s">
        <v>111</v>
      </c>
      <c r="B194" s="333" t="s">
        <v>0</v>
      </c>
      <c r="C194" s="329" t="s">
        <v>115</v>
      </c>
      <c r="D194" s="330"/>
      <c r="E194" s="327" t="s">
        <v>116</v>
      </c>
      <c r="F194" s="327"/>
      <c r="G194" s="328"/>
      <c r="H194" s="329" t="s">
        <v>117</v>
      </c>
      <c r="I194" s="330"/>
      <c r="J194" s="327" t="s">
        <v>116</v>
      </c>
      <c r="K194" s="327"/>
      <c r="L194" s="328"/>
      <c r="M194" s="329" t="s">
        <v>124</v>
      </c>
      <c r="N194" s="330"/>
      <c r="O194" s="327" t="s">
        <v>116</v>
      </c>
      <c r="P194" s="327"/>
      <c r="Q194" s="328"/>
      <c r="R194" s="329" t="s">
        <v>123</v>
      </c>
      <c r="S194" s="330"/>
      <c r="T194" s="327" t="s">
        <v>116</v>
      </c>
      <c r="U194" s="327"/>
      <c r="V194" s="328"/>
    </row>
    <row r="195" spans="1:22" x14ac:dyDescent="0.25">
      <c r="A195" s="332"/>
      <c r="B195" s="334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103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103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103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103</v>
      </c>
    </row>
    <row r="196" spans="1:22" x14ac:dyDescent="0.25">
      <c r="A196" s="139">
        <v>1</v>
      </c>
      <c r="B196" s="85" t="s">
        <v>91</v>
      </c>
      <c r="C196" s="86"/>
      <c r="D196" s="204">
        <v>325000</v>
      </c>
      <c r="E196" s="106"/>
      <c r="F196" s="81">
        <f>D196</f>
        <v>325000</v>
      </c>
      <c r="G196" s="85"/>
      <c r="H196" s="86"/>
      <c r="I196" s="204">
        <v>325000</v>
      </c>
      <c r="J196" s="106"/>
      <c r="K196" s="81">
        <f>I196</f>
        <v>325000</v>
      </c>
      <c r="L196" s="85"/>
      <c r="M196" s="86"/>
      <c r="N196" s="204"/>
      <c r="O196" s="106"/>
      <c r="P196" s="81">
        <f>N196</f>
        <v>0</v>
      </c>
      <c r="Q196" s="85"/>
      <c r="R196" s="86"/>
      <c r="S196" s="204">
        <v>325000</v>
      </c>
      <c r="T196" s="106"/>
      <c r="U196" s="81">
        <f>S196</f>
        <v>325000</v>
      </c>
      <c r="V196" s="85"/>
    </row>
    <row r="197" spans="1:22" x14ac:dyDescent="0.25">
      <c r="A197" s="139">
        <f>A196+1</f>
        <v>2</v>
      </c>
      <c r="B197" s="85" t="s">
        <v>92</v>
      </c>
      <c r="C197" s="86"/>
      <c r="D197" s="204">
        <v>1000</v>
      </c>
      <c r="E197" s="106"/>
      <c r="F197" s="81">
        <f>D197</f>
        <v>1000</v>
      </c>
      <c r="G197" s="85"/>
      <c r="H197" s="86"/>
      <c r="I197" s="204">
        <v>1000</v>
      </c>
      <c r="J197" s="106"/>
      <c r="K197" s="81">
        <f>I197</f>
        <v>1000</v>
      </c>
      <c r="L197" s="85"/>
      <c r="M197" s="86"/>
      <c r="N197" s="204"/>
      <c r="O197" s="106"/>
      <c r="P197" s="81">
        <f>N197</f>
        <v>0</v>
      </c>
      <c r="Q197" s="85"/>
      <c r="R197" s="86"/>
      <c r="S197" s="204">
        <v>1000</v>
      </c>
      <c r="T197" s="106"/>
      <c r="U197" s="81">
        <f>S197</f>
        <v>1000</v>
      </c>
      <c r="V197" s="85"/>
    </row>
    <row r="198" spans="1:22" x14ac:dyDescent="0.25">
      <c r="A198" s="139">
        <f t="shared" ref="A198:A248" si="42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40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42"/>
        <v>4</v>
      </c>
      <c r="B199" s="85" t="s">
        <v>93</v>
      </c>
      <c r="C199" s="86"/>
      <c r="D199" s="80">
        <f>D196*D198</f>
        <v>338910</v>
      </c>
      <c r="E199" s="106"/>
      <c r="F199" s="81">
        <f>F196*F198</f>
        <v>339007.5</v>
      </c>
      <c r="G199" s="85"/>
      <c r="H199" s="86"/>
      <c r="I199" s="80">
        <f>I196*I198</f>
        <v>344760</v>
      </c>
      <c r="J199" s="106"/>
      <c r="K199" s="81">
        <f>K196*K198</f>
        <v>339007.5</v>
      </c>
      <c r="L199" s="85"/>
      <c r="M199" s="86"/>
      <c r="N199" s="80">
        <f>N196*N198</f>
        <v>0</v>
      </c>
      <c r="O199" s="106"/>
      <c r="P199" s="81">
        <f>P196*P198</f>
        <v>0</v>
      </c>
      <c r="Q199" s="85"/>
      <c r="R199" s="86"/>
      <c r="S199" s="80">
        <f>S196*S198</f>
        <v>343850</v>
      </c>
      <c r="T199" s="106"/>
      <c r="U199" s="81">
        <f>U196*U198</f>
        <v>339007.5</v>
      </c>
      <c r="V199" s="85"/>
    </row>
    <row r="200" spans="1:22" x14ac:dyDescent="0.25">
      <c r="A200" s="140">
        <f t="shared" si="42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42"/>
        <v>6</v>
      </c>
      <c r="B201" s="85" t="s">
        <v>23</v>
      </c>
      <c r="C201" s="84">
        <f>'General Input'!$B$11</f>
        <v>0.08</v>
      </c>
      <c r="D201" s="42">
        <f>D$196*C201*TOU_OFF</f>
        <v>16640</v>
      </c>
      <c r="E201" s="108">
        <f>'General Input'!$B$11</f>
        <v>0.08</v>
      </c>
      <c r="F201" s="7">
        <f>F$196*E201*TOU_OFF</f>
        <v>16640</v>
      </c>
      <c r="G201" s="85"/>
      <c r="H201" s="84">
        <f>'General Input'!$B$11</f>
        <v>0.08</v>
      </c>
      <c r="I201" s="42">
        <f>I$196*H201*TOU_OFF</f>
        <v>16640</v>
      </c>
      <c r="J201" s="108">
        <f>'General Input'!$B$11</f>
        <v>0.08</v>
      </c>
      <c r="K201" s="7">
        <f>K$196*J201*TOU_OFF</f>
        <v>16640</v>
      </c>
      <c r="L201" s="85"/>
      <c r="M201" s="84"/>
      <c r="N201" s="42"/>
      <c r="O201" s="108"/>
      <c r="P201" s="7"/>
      <c r="Q201" s="85"/>
      <c r="R201" s="84">
        <f>'General Input'!$B$11</f>
        <v>0.08</v>
      </c>
      <c r="S201" s="42">
        <f>S$196*R201*TOU_OFF</f>
        <v>16640</v>
      </c>
      <c r="T201" s="108">
        <f>'General Input'!$B$11</f>
        <v>0.08</v>
      </c>
      <c r="U201" s="7">
        <f>U$196*T201*TOU_OFF</f>
        <v>16640</v>
      </c>
      <c r="V201" s="85"/>
    </row>
    <row r="202" spans="1:22" x14ac:dyDescent="0.25">
      <c r="A202" s="139">
        <f t="shared" si="42"/>
        <v>7</v>
      </c>
      <c r="B202" s="85" t="s">
        <v>24</v>
      </c>
      <c r="C202" s="84">
        <f>'General Input'!$B$12</f>
        <v>0.122</v>
      </c>
      <c r="D202" s="42">
        <f>D$196*C202*TOU_MID</f>
        <v>7137</v>
      </c>
      <c r="E202" s="108">
        <f>'General Input'!$B$12</f>
        <v>0.122</v>
      </c>
      <c r="F202" s="7">
        <f>F$196*E202*TOU_MID</f>
        <v>7137</v>
      </c>
      <c r="G202" s="85"/>
      <c r="H202" s="84">
        <f>'General Input'!$B$12</f>
        <v>0.122</v>
      </c>
      <c r="I202" s="42">
        <f>I$196*H202*TOU_MID</f>
        <v>7137</v>
      </c>
      <c r="J202" s="108">
        <f>'General Input'!$B$12</f>
        <v>0.122</v>
      </c>
      <c r="K202" s="7">
        <f>K$196*J202*TOU_MID</f>
        <v>7137</v>
      </c>
      <c r="L202" s="85"/>
      <c r="M202" s="84"/>
      <c r="N202" s="42"/>
      <c r="O202" s="108"/>
      <c r="P202" s="7"/>
      <c r="Q202" s="85"/>
      <c r="R202" s="84">
        <f>'General Input'!$B$12</f>
        <v>0.122</v>
      </c>
      <c r="S202" s="42">
        <f>S$196*R202*TOU_MID</f>
        <v>7137</v>
      </c>
      <c r="T202" s="108">
        <f>'General Input'!$B$12</f>
        <v>0.122</v>
      </c>
      <c r="U202" s="7">
        <f>U$196*T202*TOU_MID</f>
        <v>7137</v>
      </c>
      <c r="V202" s="85"/>
    </row>
    <row r="203" spans="1:22" x14ac:dyDescent="0.25">
      <c r="A203" s="141">
        <f t="shared" si="42"/>
        <v>8</v>
      </c>
      <c r="B203" s="125" t="s">
        <v>25</v>
      </c>
      <c r="C203" s="124">
        <f>'General Input'!$B$13</f>
        <v>0.161</v>
      </c>
      <c r="D203" s="69">
        <f>D$196*C203*TOU_ON</f>
        <v>9418.5</v>
      </c>
      <c r="E203" s="109">
        <f>'General Input'!$B$13</f>
        <v>0.161</v>
      </c>
      <c r="F203" s="70">
        <f>F$196*E203*TOU_ON</f>
        <v>9418.5</v>
      </c>
      <c r="G203" s="125"/>
      <c r="H203" s="124">
        <f>'General Input'!$B$13</f>
        <v>0.161</v>
      </c>
      <c r="I203" s="69">
        <f>I$196*H203*TOU_ON</f>
        <v>9418.5</v>
      </c>
      <c r="J203" s="109">
        <f>'General Input'!$B$13</f>
        <v>0.161</v>
      </c>
      <c r="K203" s="70">
        <f>K$196*J203*TOU_ON</f>
        <v>9418.5</v>
      </c>
      <c r="L203" s="125"/>
      <c r="M203" s="124"/>
      <c r="N203" s="69"/>
      <c r="O203" s="109"/>
      <c r="P203" s="70"/>
      <c r="Q203" s="125"/>
      <c r="R203" s="124">
        <f>'General Input'!$B$13</f>
        <v>0.161</v>
      </c>
      <c r="S203" s="69">
        <f>S$196*R203*TOU_ON</f>
        <v>9418.5</v>
      </c>
      <c r="T203" s="109">
        <f>'General Input'!$B$13</f>
        <v>0.161</v>
      </c>
      <c r="U203" s="70">
        <f>U$196*T203*TOU_ON</f>
        <v>9418.5</v>
      </c>
      <c r="V203" s="125"/>
    </row>
    <row r="204" spans="1:22" x14ac:dyDescent="0.25">
      <c r="A204" s="142">
        <f t="shared" si="42"/>
        <v>9</v>
      </c>
      <c r="B204" s="143" t="s">
        <v>26</v>
      </c>
      <c r="C204" s="126"/>
      <c r="D204" s="96">
        <f>SUM(D201:D203)</f>
        <v>33195.5</v>
      </c>
      <c r="E204" s="110"/>
      <c r="F204" s="95">
        <f>SUM(F201:F203)</f>
        <v>33195.5</v>
      </c>
      <c r="G204" s="127">
        <f>D204-F204</f>
        <v>0</v>
      </c>
      <c r="H204" s="126"/>
      <c r="I204" s="96">
        <f>SUM(I201:I203)</f>
        <v>33195.5</v>
      </c>
      <c r="J204" s="110"/>
      <c r="K204" s="95">
        <f>SUM(K201:K203)</f>
        <v>33195.5</v>
      </c>
      <c r="L204" s="127">
        <f>I204-K204</f>
        <v>0</v>
      </c>
      <c r="M204" s="126"/>
      <c r="N204" s="96">
        <f>SUM(N201:N203)</f>
        <v>0</v>
      </c>
      <c r="O204" s="110"/>
      <c r="P204" s="95">
        <f>SUM(P201:P203)</f>
        <v>0</v>
      </c>
      <c r="Q204" s="127">
        <f>N204-P204</f>
        <v>0</v>
      </c>
      <c r="R204" s="126"/>
      <c r="S204" s="96">
        <f>SUM(S201:S203)</f>
        <v>33195.5</v>
      </c>
      <c r="T204" s="110"/>
      <c r="U204" s="95">
        <f>SUM(U201:U203)</f>
        <v>33195.5</v>
      </c>
      <c r="V204" s="127">
        <f>S204-U204</f>
        <v>0</v>
      </c>
    </row>
    <row r="205" spans="1:22" x14ac:dyDescent="0.25">
      <c r="A205" s="144">
        <f t="shared" si="42"/>
        <v>10</v>
      </c>
      <c r="B205" s="145" t="s">
        <v>118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 t="e">
        <f>Q204/N204</f>
        <v>#DIV/0!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42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42"/>
        <v>12</v>
      </c>
      <c r="B207" s="85" t="s">
        <v>5</v>
      </c>
      <c r="C207" s="55">
        <f>'2015 Approved'!$D$4</f>
        <v>122.86</v>
      </c>
      <c r="D207" s="42">
        <f>C207</f>
        <v>122.86</v>
      </c>
      <c r="E207" s="113">
        <f>'2016 Proposed'!$D$3</f>
        <v>98.89</v>
      </c>
      <c r="F207" s="7">
        <f>E207</f>
        <v>98.89</v>
      </c>
      <c r="G207" s="85"/>
      <c r="H207" s="55">
        <f>'2015 Approved'!$O$4</f>
        <v>45.55</v>
      </c>
      <c r="I207" s="42">
        <f>H207</f>
        <v>45.55</v>
      </c>
      <c r="J207" s="113">
        <f>'2016 Proposed'!$D$3</f>
        <v>98.89</v>
      </c>
      <c r="K207" s="7">
        <f>J207</f>
        <v>98.89</v>
      </c>
      <c r="L207" s="85"/>
      <c r="M207" s="55"/>
      <c r="N207" s="42"/>
      <c r="O207" s="113"/>
      <c r="P207" s="7"/>
      <c r="Q207" s="85"/>
      <c r="R207" s="55">
        <f>'2015 Approved'!$Z$4</f>
        <v>279.02</v>
      </c>
      <c r="S207" s="42">
        <f>R207</f>
        <v>279.02</v>
      </c>
      <c r="T207" s="113">
        <f>'2016 Proposed'!$D$3</f>
        <v>98.89</v>
      </c>
      <c r="U207" s="7">
        <f>T207</f>
        <v>98.89</v>
      </c>
      <c r="V207" s="85"/>
    </row>
    <row r="208" spans="1:22" x14ac:dyDescent="0.25">
      <c r="A208" s="139">
        <f t="shared" si="42"/>
        <v>13</v>
      </c>
      <c r="B208" s="85" t="s">
        <v>86</v>
      </c>
      <c r="C208" s="55">
        <f>'2015 Approved'!$D$5</f>
        <v>0</v>
      </c>
      <c r="D208" s="42">
        <f t="shared" ref="D208:D211" si="43">C208</f>
        <v>0</v>
      </c>
      <c r="E208" s="113">
        <f>'2016 Proposed'!$D$5</f>
        <v>0</v>
      </c>
      <c r="F208" s="7">
        <f t="shared" ref="F208:F211" si="44">E208</f>
        <v>0</v>
      </c>
      <c r="G208" s="85"/>
      <c r="H208" s="55">
        <f>'2015 Approved'!$O$5</f>
        <v>1.23</v>
      </c>
      <c r="I208" s="42">
        <f t="shared" ref="I208:I211" si="45">H208</f>
        <v>1.23</v>
      </c>
      <c r="J208" s="113">
        <f>'2016 Proposed'!$D$5</f>
        <v>0</v>
      </c>
      <c r="K208" s="7">
        <f t="shared" ref="K208:K211" si="46">J208</f>
        <v>0</v>
      </c>
      <c r="L208" s="85"/>
      <c r="M208" s="55"/>
      <c r="N208" s="42"/>
      <c r="O208" s="113"/>
      <c r="P208" s="7"/>
      <c r="Q208" s="85"/>
      <c r="R208" s="55">
        <f>'2015 Approved'!$Z$5</f>
        <v>0</v>
      </c>
      <c r="S208" s="42">
        <f t="shared" ref="S208:S211" si="47">R208</f>
        <v>0</v>
      </c>
      <c r="T208" s="113">
        <f>'2016 Proposed'!$D$5</f>
        <v>0</v>
      </c>
      <c r="U208" s="7">
        <f t="shared" ref="U208:U211" si="48">T208</f>
        <v>0</v>
      </c>
      <c r="V208" s="85"/>
    </row>
    <row r="209" spans="1:22" x14ac:dyDescent="0.25">
      <c r="A209" s="139">
        <f t="shared" si="42"/>
        <v>14</v>
      </c>
      <c r="B209" s="85" t="s">
        <v>86</v>
      </c>
      <c r="C209" s="55">
        <f>'2015 Approved'!$D$6</f>
        <v>0</v>
      </c>
      <c r="D209" s="42">
        <f t="shared" si="43"/>
        <v>0</v>
      </c>
      <c r="E209" s="113">
        <f>'2016 Proposed'!$D$6</f>
        <v>0</v>
      </c>
      <c r="F209" s="7">
        <f t="shared" si="44"/>
        <v>0</v>
      </c>
      <c r="G209" s="85"/>
      <c r="H209" s="55">
        <f>'2015 Approved'!$O$6</f>
        <v>0.77</v>
      </c>
      <c r="I209" s="42">
        <f t="shared" si="45"/>
        <v>0.77</v>
      </c>
      <c r="J209" s="113">
        <f>'2016 Proposed'!$D$6</f>
        <v>0</v>
      </c>
      <c r="K209" s="7">
        <f t="shared" si="46"/>
        <v>0</v>
      </c>
      <c r="L209" s="85"/>
      <c r="M209" s="55"/>
      <c r="N209" s="42"/>
      <c r="O209" s="113"/>
      <c r="P209" s="7"/>
      <c r="Q209" s="85"/>
      <c r="R209" s="55">
        <f>'2015 Approved'!$Z$6</f>
        <v>0</v>
      </c>
      <c r="S209" s="42">
        <f t="shared" si="47"/>
        <v>0</v>
      </c>
      <c r="T209" s="113">
        <f>'2016 Proposed'!$D$6</f>
        <v>0</v>
      </c>
      <c r="U209" s="7">
        <f t="shared" si="48"/>
        <v>0</v>
      </c>
      <c r="V209" s="85"/>
    </row>
    <row r="210" spans="1:22" x14ac:dyDescent="0.25">
      <c r="A210" s="139">
        <f t="shared" si="42"/>
        <v>15</v>
      </c>
      <c r="B210" s="85" t="s">
        <v>6</v>
      </c>
      <c r="C210" s="55">
        <f>'2015 Approved'!$D$196</f>
        <v>0</v>
      </c>
      <c r="D210" s="42">
        <f t="shared" si="43"/>
        <v>0</v>
      </c>
      <c r="E210" s="113">
        <f>'2016 Proposed'!$D$196</f>
        <v>0</v>
      </c>
      <c r="F210" s="7">
        <f t="shared" si="44"/>
        <v>0</v>
      </c>
      <c r="G210" s="85"/>
      <c r="H210" s="55">
        <f>'2015 Approved'!$O$196</f>
        <v>0</v>
      </c>
      <c r="I210" s="42">
        <f t="shared" si="45"/>
        <v>0</v>
      </c>
      <c r="J210" s="113">
        <f>'2016 Proposed'!$D$197</f>
        <v>0</v>
      </c>
      <c r="K210" s="7">
        <f t="shared" si="46"/>
        <v>0</v>
      </c>
      <c r="L210" s="85"/>
      <c r="M210" s="55"/>
      <c r="N210" s="42"/>
      <c r="O210" s="113"/>
      <c r="P210" s="7"/>
      <c r="Q210" s="85"/>
      <c r="R210" s="55">
        <f>'2015 Approved'!$Z$196</f>
        <v>0</v>
      </c>
      <c r="S210" s="42">
        <f t="shared" si="47"/>
        <v>0</v>
      </c>
      <c r="T210" s="113">
        <f>'2016 Proposed'!$D$196</f>
        <v>0</v>
      </c>
      <c r="U210" s="7">
        <f t="shared" si="48"/>
        <v>0</v>
      </c>
      <c r="V210" s="85"/>
    </row>
    <row r="211" spans="1:22" x14ac:dyDescent="0.25">
      <c r="A211" s="139">
        <f t="shared" si="42"/>
        <v>16</v>
      </c>
      <c r="B211" s="85" t="s">
        <v>95</v>
      </c>
      <c r="C211" s="55">
        <f>'2015 Approved'!$D$197</f>
        <v>0</v>
      </c>
      <c r="D211" s="42">
        <f t="shared" si="43"/>
        <v>0</v>
      </c>
      <c r="E211" s="113">
        <f>'2016 Proposed'!$D$197</f>
        <v>0</v>
      </c>
      <c r="F211" s="7">
        <f t="shared" si="44"/>
        <v>0</v>
      </c>
      <c r="G211" s="85"/>
      <c r="H211" s="55">
        <f>'2015 Approved'!$O$197</f>
        <v>0</v>
      </c>
      <c r="I211" s="42">
        <f t="shared" si="45"/>
        <v>0</v>
      </c>
      <c r="J211" s="113">
        <f>'2016 Proposed'!$D$197</f>
        <v>0</v>
      </c>
      <c r="K211" s="7">
        <f t="shared" si="46"/>
        <v>0</v>
      </c>
      <c r="L211" s="85"/>
      <c r="M211" s="55"/>
      <c r="N211" s="42"/>
      <c r="O211" s="113"/>
      <c r="P211" s="7"/>
      <c r="Q211" s="85"/>
      <c r="R211" s="55">
        <f>'2015 Approved'!$Z$197</f>
        <v>0</v>
      </c>
      <c r="S211" s="42">
        <f t="shared" si="47"/>
        <v>0</v>
      </c>
      <c r="T211" s="113">
        <f>'2016 Proposed'!$D$197</f>
        <v>0</v>
      </c>
      <c r="U211" s="7">
        <f t="shared" si="48"/>
        <v>0</v>
      </c>
      <c r="V211" s="85"/>
    </row>
    <row r="212" spans="1:22" x14ac:dyDescent="0.25">
      <c r="A212" s="139">
        <f t="shared" si="42"/>
        <v>17</v>
      </c>
      <c r="B212" s="85" t="s">
        <v>4</v>
      </c>
      <c r="C212" s="59">
        <f>D204/D196</f>
        <v>0.10213999999999999</v>
      </c>
      <c r="D212" s="42">
        <f>(D199-D196)*C212</f>
        <v>1420.7674</v>
      </c>
      <c r="E212" s="114">
        <f>F204/$F$196</f>
        <v>0.10213999999999999</v>
      </c>
      <c r="F212" s="7">
        <f>(F199-F196)*E212</f>
        <v>1430.72605</v>
      </c>
      <c r="G212" s="85"/>
      <c r="H212" s="59">
        <f>I204/I196</f>
        <v>0.10213999999999999</v>
      </c>
      <c r="I212" s="42">
        <f>(I199-I196)*H212</f>
        <v>2018.2864</v>
      </c>
      <c r="J212" s="114">
        <f>K204/$F$196</f>
        <v>0.10213999999999999</v>
      </c>
      <c r="K212" s="7">
        <f>(K199-K196)*J212</f>
        <v>1430.72605</v>
      </c>
      <c r="L212" s="85"/>
      <c r="M212" s="59"/>
      <c r="N212" s="42"/>
      <c r="O212" s="114"/>
      <c r="P212" s="7"/>
      <c r="Q212" s="85"/>
      <c r="R212" s="59">
        <f>S204/S196</f>
        <v>0.10213999999999999</v>
      </c>
      <c r="S212" s="42">
        <f>(S199-S196)*R212</f>
        <v>1925.3389999999999</v>
      </c>
      <c r="T212" s="114">
        <f>U204/$F$196</f>
        <v>0.10213999999999999</v>
      </c>
      <c r="U212" s="7">
        <f>(U199-U196)*T212</f>
        <v>1430.72605</v>
      </c>
      <c r="V212" s="85"/>
    </row>
    <row r="213" spans="1:22" x14ac:dyDescent="0.25">
      <c r="A213" s="139">
        <f t="shared" si="42"/>
        <v>18</v>
      </c>
      <c r="B213" s="85" t="s">
        <v>90</v>
      </c>
      <c r="C213" s="59">
        <f>'2015 Approved'!$D$11</f>
        <v>3.4826999999999999</v>
      </c>
      <c r="D213" s="42">
        <f t="shared" ref="D213:D222" si="49">C213*D$197</f>
        <v>3482.7</v>
      </c>
      <c r="E213" s="114">
        <f>'2016 Proposed'!$D$11</f>
        <v>3.2711999999999999</v>
      </c>
      <c r="F213" s="7">
        <f t="shared" ref="F213:F222" si="50">E213*F$197</f>
        <v>3271.2</v>
      </c>
      <c r="G213" s="85"/>
      <c r="H213" s="59">
        <f>'2015 Approved'!$O$11</f>
        <v>1.5094000000000001</v>
      </c>
      <c r="I213" s="42">
        <f t="shared" ref="I213:I222" si="51">H213*I$197</f>
        <v>1509.4</v>
      </c>
      <c r="J213" s="114">
        <f>'2016 Proposed'!$D$11</f>
        <v>3.2711999999999999</v>
      </c>
      <c r="K213" s="7">
        <f t="shared" ref="K213:K222" si="52">J213*K$197</f>
        <v>3271.2</v>
      </c>
      <c r="L213" s="85"/>
      <c r="M213" s="59"/>
      <c r="N213" s="42"/>
      <c r="O213" s="114"/>
      <c r="P213" s="7"/>
      <c r="Q213" s="85"/>
      <c r="R213" s="59">
        <f>'2015 Approved'!$Z$11</f>
        <v>1.4026000000000001</v>
      </c>
      <c r="S213" s="42">
        <f t="shared" ref="S213:S222" si="53">R213*S$197</f>
        <v>1402.6000000000001</v>
      </c>
      <c r="T213" s="114">
        <f>'2016 Proposed'!$D$11</f>
        <v>3.2711999999999999</v>
      </c>
      <c r="U213" s="7">
        <f t="shared" ref="U213:U222" si="54">T213*U$197</f>
        <v>3271.2</v>
      </c>
      <c r="V213" s="85"/>
    </row>
    <row r="214" spans="1:22" x14ac:dyDescent="0.25">
      <c r="A214" s="139">
        <f t="shared" si="42"/>
        <v>19</v>
      </c>
      <c r="B214" s="85" t="s">
        <v>8</v>
      </c>
      <c r="C214" s="59">
        <f>'2015 Approved'!$D$12</f>
        <v>0.1295</v>
      </c>
      <c r="D214" s="42">
        <f t="shared" si="49"/>
        <v>129.5</v>
      </c>
      <c r="E214" s="114">
        <f>'2016 Proposed'!$D$13</f>
        <v>0.6512</v>
      </c>
      <c r="F214" s="7">
        <f t="shared" si="50"/>
        <v>651.20000000000005</v>
      </c>
      <c r="G214" s="85"/>
      <c r="H214" s="59">
        <f>'2015 Approved'!$O$12</f>
        <v>0.10100000000000001</v>
      </c>
      <c r="I214" s="42">
        <f t="shared" si="51"/>
        <v>101</v>
      </c>
      <c r="J214" s="114">
        <f>'2016 Proposed'!$D$13</f>
        <v>0.6512</v>
      </c>
      <c r="K214" s="7">
        <f t="shared" si="52"/>
        <v>651.20000000000005</v>
      </c>
      <c r="L214" s="85"/>
      <c r="M214" s="59"/>
      <c r="N214" s="42"/>
      <c r="O214" s="114"/>
      <c r="P214" s="7"/>
      <c r="Q214" s="85"/>
      <c r="R214" s="59">
        <f>'2015 Approved'!$Z$12</f>
        <v>1.7261</v>
      </c>
      <c r="S214" s="42">
        <f t="shared" si="53"/>
        <v>1726.1</v>
      </c>
      <c r="T214" s="114">
        <f>'2016 Proposed'!$D$13</f>
        <v>0.6512</v>
      </c>
      <c r="U214" s="7">
        <f t="shared" si="54"/>
        <v>651.20000000000005</v>
      </c>
      <c r="V214" s="85"/>
    </row>
    <row r="215" spans="1:22" x14ac:dyDescent="0.25">
      <c r="A215" s="139">
        <f t="shared" si="42"/>
        <v>20</v>
      </c>
      <c r="B215" s="85" t="s">
        <v>87</v>
      </c>
      <c r="C215" s="59">
        <f>'2015 Approved'!$D$13</f>
        <v>0</v>
      </c>
      <c r="D215" s="42">
        <f t="shared" si="49"/>
        <v>0</v>
      </c>
      <c r="E215" s="114">
        <f>'2016 Proposed'!$D$14</f>
        <v>0</v>
      </c>
      <c r="F215" s="7">
        <f t="shared" si="50"/>
        <v>0</v>
      </c>
      <c r="G215" s="85"/>
      <c r="H215" s="59">
        <f>'2015 Approved'!$O$13</f>
        <v>2.3999999999999998E-3</v>
      </c>
      <c r="I215" s="42">
        <f t="shared" si="51"/>
        <v>2.4</v>
      </c>
      <c r="J215" s="114">
        <f>'2016 Proposed'!$D$14</f>
        <v>0</v>
      </c>
      <c r="K215" s="7">
        <f t="shared" si="52"/>
        <v>0</v>
      </c>
      <c r="L215" s="85"/>
      <c r="M215" s="59"/>
      <c r="N215" s="42"/>
      <c r="O215" s="114"/>
      <c r="P215" s="7"/>
      <c r="Q215" s="85"/>
      <c r="R215" s="59">
        <f>'2015 Approved'!$Z$13</f>
        <v>0</v>
      </c>
      <c r="S215" s="42">
        <f t="shared" si="53"/>
        <v>0</v>
      </c>
      <c r="T215" s="114">
        <f>'2016 Proposed'!$D$14</f>
        <v>0</v>
      </c>
      <c r="U215" s="7">
        <f t="shared" si="54"/>
        <v>0</v>
      </c>
      <c r="V215" s="85"/>
    </row>
    <row r="216" spans="1:22" x14ac:dyDescent="0.25">
      <c r="A216" s="139">
        <f t="shared" si="42"/>
        <v>21</v>
      </c>
      <c r="B216" s="85" t="s">
        <v>9</v>
      </c>
      <c r="C216" s="59">
        <f>'2015 Approved'!$D$14</f>
        <v>3.4000000000000002E-2</v>
      </c>
      <c r="D216" s="42">
        <f t="shared" si="49"/>
        <v>34</v>
      </c>
      <c r="E216" s="114">
        <f>'2016 Proposed'!$D$15</f>
        <v>6.3500000000000001E-2</v>
      </c>
      <c r="F216" s="7">
        <f t="shared" si="50"/>
        <v>63.5</v>
      </c>
      <c r="G216" s="85"/>
      <c r="H216" s="59">
        <f>'2015 Approved'!$O$14</f>
        <v>1.5900000000000001E-2</v>
      </c>
      <c r="I216" s="42">
        <f t="shared" si="51"/>
        <v>15.9</v>
      </c>
      <c r="J216" s="114">
        <f>'2016 Proposed'!$D$15</f>
        <v>6.3500000000000001E-2</v>
      </c>
      <c r="K216" s="7">
        <f t="shared" si="52"/>
        <v>63.5</v>
      </c>
      <c r="L216" s="85"/>
      <c r="M216" s="59"/>
      <c r="N216" s="42"/>
      <c r="O216" s="114"/>
      <c r="P216" s="7"/>
      <c r="Q216" s="85"/>
      <c r="R216" s="59">
        <f>'2015 Approved'!$Z$14</f>
        <v>0</v>
      </c>
      <c r="S216" s="42">
        <f t="shared" si="53"/>
        <v>0</v>
      </c>
      <c r="T216" s="114">
        <f>'2016 Proposed'!$D$15</f>
        <v>6.3500000000000001E-2</v>
      </c>
      <c r="U216" s="7">
        <f t="shared" si="54"/>
        <v>63.5</v>
      </c>
      <c r="V216" s="85"/>
    </row>
    <row r="217" spans="1:22" x14ac:dyDescent="0.25">
      <c r="A217" s="139">
        <f t="shared" si="42"/>
        <v>22</v>
      </c>
      <c r="B217" s="85" t="s">
        <v>10</v>
      </c>
      <c r="C217" s="59">
        <f>'2015 Approved'!$D$15</f>
        <v>-2.3599999999999999E-2</v>
      </c>
      <c r="D217" s="42">
        <f t="shared" si="49"/>
        <v>-23.599999999999998</v>
      </c>
      <c r="E217" s="114">
        <f>'2016 Proposed'!$D$16</f>
        <v>0</v>
      </c>
      <c r="F217" s="7">
        <f t="shared" si="50"/>
        <v>0</v>
      </c>
      <c r="G217" s="85"/>
      <c r="H217" s="59">
        <f>'2015 Approved'!$O$15</f>
        <v>-9.4000000000000004E-3</v>
      </c>
      <c r="I217" s="42">
        <f t="shared" si="51"/>
        <v>-9.4</v>
      </c>
      <c r="J217" s="114">
        <f>'2016 Proposed'!$D$16</f>
        <v>0</v>
      </c>
      <c r="K217" s="7">
        <f t="shared" si="52"/>
        <v>0</v>
      </c>
      <c r="L217" s="85"/>
      <c r="M217" s="59"/>
      <c r="N217" s="42"/>
      <c r="O217" s="114"/>
      <c r="P217" s="7"/>
      <c r="Q217" s="85"/>
      <c r="R217" s="59">
        <f>'2015 Approved'!$Z$15</f>
        <v>0</v>
      </c>
      <c r="S217" s="42">
        <f t="shared" si="53"/>
        <v>0</v>
      </c>
      <c r="T217" s="114">
        <f>'2016 Proposed'!$D$16</f>
        <v>0</v>
      </c>
      <c r="U217" s="7">
        <f t="shared" si="54"/>
        <v>0</v>
      </c>
      <c r="V217" s="85"/>
    </row>
    <row r="218" spans="1:22" x14ac:dyDescent="0.25">
      <c r="A218" s="139">
        <f t="shared" si="42"/>
        <v>23</v>
      </c>
      <c r="B218" s="85" t="s">
        <v>101</v>
      </c>
      <c r="C218" s="59">
        <f>'2015 Approved'!$D$16</f>
        <v>0</v>
      </c>
      <c r="D218" s="42">
        <f t="shared" si="49"/>
        <v>0</v>
      </c>
      <c r="E218" s="114">
        <f>'2016 Proposed'!$D$17</f>
        <v>0</v>
      </c>
      <c r="F218" s="7">
        <f t="shared" si="50"/>
        <v>0</v>
      </c>
      <c r="G218" s="85"/>
      <c r="H218" s="59">
        <f>'2015 Approved'!$O$16</f>
        <v>0</v>
      </c>
      <c r="I218" s="42">
        <f t="shared" si="51"/>
        <v>0</v>
      </c>
      <c r="J218" s="114">
        <f>'2016 Proposed'!$D$17</f>
        <v>0</v>
      </c>
      <c r="K218" s="7">
        <f t="shared" si="52"/>
        <v>0</v>
      </c>
      <c r="L218" s="85"/>
      <c r="M218" s="59"/>
      <c r="N218" s="42"/>
      <c r="O218" s="114"/>
      <c r="P218" s="7"/>
      <c r="Q218" s="85"/>
      <c r="R218" s="59">
        <f>'2015 Approved'!$Z$16</f>
        <v>0.87029999999999996</v>
      </c>
      <c r="S218" s="42">
        <f t="shared" si="53"/>
        <v>870.3</v>
      </c>
      <c r="T218" s="114">
        <f>R218</f>
        <v>0.87029999999999996</v>
      </c>
      <c r="U218" s="7">
        <f t="shared" si="54"/>
        <v>870.3</v>
      </c>
      <c r="V218" s="85"/>
    </row>
    <row r="219" spans="1:22" x14ac:dyDescent="0.25">
      <c r="A219" s="139">
        <f t="shared" si="42"/>
        <v>24</v>
      </c>
      <c r="B219" s="85" t="s">
        <v>112</v>
      </c>
      <c r="C219" s="59">
        <f>'2015 Approved'!$D$17</f>
        <v>0.78900000000000003</v>
      </c>
      <c r="D219" s="42">
        <f t="shared" si="49"/>
        <v>789</v>
      </c>
      <c r="E219" s="114">
        <f>'2016 Proposed'!$D$18</f>
        <v>0</v>
      </c>
      <c r="F219" s="7">
        <f t="shared" si="50"/>
        <v>0</v>
      </c>
      <c r="G219" s="85"/>
      <c r="H219" s="59">
        <f>'2015 Approved'!$O$17</f>
        <v>0.49880000000000002</v>
      </c>
      <c r="I219" s="42">
        <f t="shared" si="51"/>
        <v>498.8</v>
      </c>
      <c r="J219" s="114">
        <f>'2016 Proposed'!$D$18</f>
        <v>0</v>
      </c>
      <c r="K219" s="7">
        <f t="shared" si="52"/>
        <v>0</v>
      </c>
      <c r="L219" s="85"/>
      <c r="M219" s="59"/>
      <c r="N219" s="42"/>
      <c r="O219" s="114"/>
      <c r="P219" s="7"/>
      <c r="Q219" s="85"/>
      <c r="R219" s="59">
        <f>'2015 Approved'!$Z$17</f>
        <v>1.679</v>
      </c>
      <c r="S219" s="42">
        <f t="shared" si="53"/>
        <v>1679</v>
      </c>
      <c r="T219" s="114">
        <f>'2016 Proposed'!$D$18</f>
        <v>0</v>
      </c>
      <c r="U219" s="7">
        <f t="shared" si="54"/>
        <v>0</v>
      </c>
      <c r="V219" s="85"/>
    </row>
    <row r="220" spans="1:22" x14ac:dyDescent="0.25">
      <c r="A220" s="139">
        <f t="shared" si="42"/>
        <v>25</v>
      </c>
      <c r="B220" s="85" t="s">
        <v>102</v>
      </c>
      <c r="C220" s="59">
        <f>'2015 Approved'!$D$18</f>
        <v>0</v>
      </c>
      <c r="D220" s="42">
        <f t="shared" si="49"/>
        <v>0</v>
      </c>
      <c r="E220" s="114">
        <f>'2016 Proposed'!$D$19</f>
        <v>0.58379999999999999</v>
      </c>
      <c r="F220" s="7">
        <f t="shared" si="50"/>
        <v>583.79999999999995</v>
      </c>
      <c r="G220" s="85"/>
      <c r="H220" s="59">
        <f>'2015 Approved'!$O$18</f>
        <v>0</v>
      </c>
      <c r="I220" s="42">
        <f t="shared" si="51"/>
        <v>0</v>
      </c>
      <c r="J220" s="114">
        <f>'2016 Proposed'!$D$19</f>
        <v>0.58379999999999999</v>
      </c>
      <c r="K220" s="7">
        <f t="shared" si="52"/>
        <v>583.79999999999995</v>
      </c>
      <c r="L220" s="85"/>
      <c r="M220" s="59"/>
      <c r="N220" s="42"/>
      <c r="O220" s="114"/>
      <c r="P220" s="7"/>
      <c r="Q220" s="85"/>
      <c r="R220" s="59">
        <f>'2015 Approved'!$Z$18</f>
        <v>0</v>
      </c>
      <c r="S220" s="42">
        <f t="shared" si="53"/>
        <v>0</v>
      </c>
      <c r="T220" s="114">
        <f>'2016 Proposed'!$D$19</f>
        <v>0.58379999999999999</v>
      </c>
      <c r="U220" s="7">
        <f t="shared" si="54"/>
        <v>583.79999999999995</v>
      </c>
      <c r="V220" s="85"/>
    </row>
    <row r="221" spans="1:22" x14ac:dyDescent="0.25">
      <c r="A221" s="139">
        <f t="shared" si="42"/>
        <v>26</v>
      </c>
      <c r="B221" s="85" t="s">
        <v>94</v>
      </c>
      <c r="C221" s="59">
        <f>'2015 Approved'!$D$19</f>
        <v>0</v>
      </c>
      <c r="D221" s="42">
        <f t="shared" si="49"/>
        <v>0</v>
      </c>
      <c r="E221" s="114">
        <f>'2016 Proposed'!$D$20</f>
        <v>0.2777</v>
      </c>
      <c r="F221" s="7">
        <f t="shared" si="50"/>
        <v>277.7</v>
      </c>
      <c r="G221" s="85"/>
      <c r="H221" s="59">
        <f>'2015 Approved'!$O$19</f>
        <v>0</v>
      </c>
      <c r="I221" s="42">
        <f t="shared" si="51"/>
        <v>0</v>
      </c>
      <c r="J221" s="114">
        <f>'2016 Proposed'!$D$20</f>
        <v>0.2777</v>
      </c>
      <c r="K221" s="7">
        <f t="shared" si="52"/>
        <v>277.7</v>
      </c>
      <c r="L221" s="85"/>
      <c r="M221" s="59"/>
      <c r="N221" s="42"/>
      <c r="O221" s="114"/>
      <c r="P221" s="7"/>
      <c r="Q221" s="85"/>
      <c r="R221" s="59">
        <f>'2015 Approved'!$Z$19</f>
        <v>0</v>
      </c>
      <c r="S221" s="42">
        <f t="shared" si="53"/>
        <v>0</v>
      </c>
      <c r="T221" s="114">
        <f>'2016 Proposed'!$D$20</f>
        <v>0.2777</v>
      </c>
      <c r="U221" s="7">
        <f t="shared" si="54"/>
        <v>277.7</v>
      </c>
      <c r="V221" s="85"/>
    </row>
    <row r="222" spans="1:22" x14ac:dyDescent="0.25">
      <c r="A222" s="139">
        <f t="shared" si="42"/>
        <v>27</v>
      </c>
      <c r="B222" s="85" t="s">
        <v>104</v>
      </c>
      <c r="C222" s="59">
        <f>'2015 Approved'!$D$20</f>
        <v>0</v>
      </c>
      <c r="D222" s="42">
        <f t="shared" si="49"/>
        <v>0</v>
      </c>
      <c r="E222" s="114">
        <f>'2016 Proposed'!$D$21</f>
        <v>-0.82540000000000002</v>
      </c>
      <c r="F222" s="7">
        <f t="shared" si="50"/>
        <v>-825.4</v>
      </c>
      <c r="G222" s="85"/>
      <c r="H222" s="59">
        <f>'2015 Approved'!$O$20</f>
        <v>0</v>
      </c>
      <c r="I222" s="42">
        <f t="shared" si="51"/>
        <v>0</v>
      </c>
      <c r="J222" s="114">
        <f>'2016 Proposed'!$D$21</f>
        <v>-0.82540000000000002</v>
      </c>
      <c r="K222" s="7">
        <f t="shared" si="52"/>
        <v>-825.4</v>
      </c>
      <c r="L222" s="85"/>
      <c r="M222" s="59"/>
      <c r="N222" s="42"/>
      <c r="O222" s="114"/>
      <c r="P222" s="7"/>
      <c r="Q222" s="85"/>
      <c r="R222" s="59">
        <f>'2015 Approved'!$Z$20</f>
        <v>0</v>
      </c>
      <c r="S222" s="42">
        <f t="shared" si="53"/>
        <v>0</v>
      </c>
      <c r="T222" s="114">
        <f>'2016 Proposed'!$D$21</f>
        <v>-0.82540000000000002</v>
      </c>
      <c r="U222" s="7">
        <f t="shared" si="54"/>
        <v>-825.4</v>
      </c>
      <c r="V222" s="85"/>
    </row>
    <row r="223" spans="1:22" x14ac:dyDescent="0.25">
      <c r="A223" s="142">
        <f t="shared" si="42"/>
        <v>28</v>
      </c>
      <c r="B223" s="143" t="s">
        <v>26</v>
      </c>
      <c r="C223" s="126"/>
      <c r="D223" s="96">
        <f>SUM(D207:D222)</f>
        <v>5955.2273999999998</v>
      </c>
      <c r="E223" s="110"/>
      <c r="F223" s="95">
        <f>SUM(F207:F222)</f>
        <v>5551.6160499999996</v>
      </c>
      <c r="G223" s="127">
        <f>F223-D223</f>
        <v>-403.61135000000013</v>
      </c>
      <c r="H223" s="126"/>
      <c r="I223" s="96">
        <f>SUM(I207:I222)</f>
        <v>4183.9364000000005</v>
      </c>
      <c r="J223" s="110"/>
      <c r="K223" s="95">
        <f>SUM(K207:K222)</f>
        <v>5551.6160499999996</v>
      </c>
      <c r="L223" s="127">
        <f>K223-I223</f>
        <v>1367.6796499999991</v>
      </c>
      <c r="M223" s="126"/>
      <c r="N223" s="96">
        <f>SUM(N207:N222)</f>
        <v>0</v>
      </c>
      <c r="O223" s="110"/>
      <c r="P223" s="95">
        <f>SUM(P207:P222)</f>
        <v>0</v>
      </c>
      <c r="Q223" s="127">
        <f>P223-N223</f>
        <v>0</v>
      </c>
      <c r="R223" s="126"/>
      <c r="S223" s="96">
        <f>SUM(S207:S222)</f>
        <v>7882.3589999999995</v>
      </c>
      <c r="T223" s="110"/>
      <c r="U223" s="95">
        <f>SUM(U207:U222)</f>
        <v>6421.9160499999998</v>
      </c>
      <c r="V223" s="127">
        <f>U223-S223</f>
        <v>-1460.4429499999997</v>
      </c>
    </row>
    <row r="224" spans="1:22" x14ac:dyDescent="0.25">
      <c r="A224" s="144">
        <f t="shared" si="42"/>
        <v>29</v>
      </c>
      <c r="B224" s="145" t="s">
        <v>118</v>
      </c>
      <c r="C224" s="128"/>
      <c r="D224" s="120"/>
      <c r="E224" s="111"/>
      <c r="F224" s="97"/>
      <c r="G224" s="129">
        <f>G223/D223</f>
        <v>-6.7774296914337839E-2</v>
      </c>
      <c r="H224" s="128"/>
      <c r="I224" s="120"/>
      <c r="J224" s="111"/>
      <c r="K224" s="97"/>
      <c r="L224" s="129">
        <f>L223/I223</f>
        <v>0.32688825050017467</v>
      </c>
      <c r="M224" s="128"/>
      <c r="N224" s="120"/>
      <c r="O224" s="111"/>
      <c r="P224" s="97"/>
      <c r="Q224" s="129" t="e">
        <f>Q223/N223</f>
        <v>#DIV/0!</v>
      </c>
      <c r="R224" s="128"/>
      <c r="S224" s="120"/>
      <c r="T224" s="111"/>
      <c r="U224" s="97"/>
      <c r="V224" s="129">
        <f>V223/S223</f>
        <v>-0.18527993332960346</v>
      </c>
    </row>
    <row r="225" spans="1:22" x14ac:dyDescent="0.25">
      <c r="A225" s="146">
        <f t="shared" si="42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42"/>
        <v>31</v>
      </c>
      <c r="B226" s="85" t="s">
        <v>68</v>
      </c>
      <c r="C226" s="59">
        <f>'2015 Approved'!$D$26</f>
        <v>2.7467999999999999</v>
      </c>
      <c r="D226" s="42">
        <f>C226*D$197</f>
        <v>2746.7999999999997</v>
      </c>
      <c r="E226" s="114">
        <f>'2016 Proposed'!$D$28</f>
        <v>2.7772999999999999</v>
      </c>
      <c r="F226" s="7">
        <f>E226*F$197</f>
        <v>2777.2999999999997</v>
      </c>
      <c r="G226" s="85"/>
      <c r="H226" s="59">
        <f>'2015 Approved'!$O$26</f>
        <v>2.6280000000000001</v>
      </c>
      <c r="I226" s="42">
        <f>H226*I$197</f>
        <v>2628</v>
      </c>
      <c r="J226" s="114">
        <f>'2016 Proposed'!$D$28</f>
        <v>2.7772999999999999</v>
      </c>
      <c r="K226" s="7">
        <f>J226*K$197</f>
        <v>2777.2999999999997</v>
      </c>
      <c r="L226" s="85"/>
      <c r="M226" s="59"/>
      <c r="N226" s="42"/>
      <c r="O226" s="114"/>
      <c r="P226" s="7"/>
      <c r="Q226" s="85"/>
      <c r="R226" s="59">
        <f>'2015 Approved'!$Z$26</f>
        <v>2.7835355586422796</v>
      </c>
      <c r="S226" s="42">
        <f>R226*S$197</f>
        <v>2783.5355586422797</v>
      </c>
      <c r="T226" s="114">
        <f>'2016 Proposed'!$D$28</f>
        <v>2.7772999999999999</v>
      </c>
      <c r="U226" s="7">
        <f>T226*U$197</f>
        <v>2777.2999999999997</v>
      </c>
      <c r="V226" s="85"/>
    </row>
    <row r="227" spans="1:22" x14ac:dyDescent="0.25">
      <c r="A227" s="139">
        <f t="shared" si="42"/>
        <v>32</v>
      </c>
      <c r="B227" s="85" t="s">
        <v>69</v>
      </c>
      <c r="C227" s="59">
        <f>'2015 Approved'!$D$27</f>
        <v>1.8887</v>
      </c>
      <c r="D227" s="42">
        <f>C227*D$197</f>
        <v>1888.7</v>
      </c>
      <c r="E227" s="114">
        <f>'2016 Proposed'!$D$29</f>
        <v>2.0087000000000002</v>
      </c>
      <c r="F227" s="7">
        <f>E227*F$197</f>
        <v>2008.7</v>
      </c>
      <c r="G227" s="85"/>
      <c r="H227" s="59">
        <f>'2015 Approved'!$O$27</f>
        <v>1.829</v>
      </c>
      <c r="I227" s="42">
        <f>H227*I$197</f>
        <v>1829</v>
      </c>
      <c r="J227" s="114">
        <f>'2016 Proposed'!$D$29</f>
        <v>2.0087000000000002</v>
      </c>
      <c r="K227" s="7">
        <f>J227*K$197</f>
        <v>2008.7</v>
      </c>
      <c r="L227" s="85"/>
      <c r="M227" s="59"/>
      <c r="N227" s="42"/>
      <c r="O227" s="114"/>
      <c r="P227" s="7"/>
      <c r="Q227" s="85"/>
      <c r="R227" s="59">
        <f>'2015 Approved'!$Z$27</f>
        <v>1.2831158880371321</v>
      </c>
      <c r="S227" s="42">
        <f>R227*S$197</f>
        <v>1283.115888037132</v>
      </c>
      <c r="T227" s="114">
        <f>'2016 Proposed'!$D$29</f>
        <v>2.0087000000000002</v>
      </c>
      <c r="U227" s="7">
        <f>T227*U$197</f>
        <v>2008.7</v>
      </c>
      <c r="V227" s="85"/>
    </row>
    <row r="228" spans="1:22" x14ac:dyDescent="0.25">
      <c r="A228" s="142">
        <f t="shared" si="42"/>
        <v>33</v>
      </c>
      <c r="B228" s="143" t="s">
        <v>26</v>
      </c>
      <c r="C228" s="126"/>
      <c r="D228" s="96">
        <f>SUM(D226:D227)</f>
        <v>4635.5</v>
      </c>
      <c r="E228" s="110"/>
      <c r="F228" s="95">
        <f>SUM(F226:F227)</f>
        <v>4786</v>
      </c>
      <c r="G228" s="127">
        <f>F228-D228</f>
        <v>150.5</v>
      </c>
      <c r="H228" s="126"/>
      <c r="I228" s="96">
        <f>SUM(I226:I227)</f>
        <v>4457</v>
      </c>
      <c r="J228" s="110"/>
      <c r="K228" s="95">
        <f>SUM(K226:K227)</f>
        <v>4786</v>
      </c>
      <c r="L228" s="127">
        <f>K228-I228</f>
        <v>329</v>
      </c>
      <c r="M228" s="126"/>
      <c r="N228" s="96">
        <f>SUM(N226:N227)</f>
        <v>0</v>
      </c>
      <c r="O228" s="110"/>
      <c r="P228" s="95">
        <f>SUM(P226:P227)</f>
        <v>0</v>
      </c>
      <c r="Q228" s="127">
        <f>P228-N228</f>
        <v>0</v>
      </c>
      <c r="R228" s="126"/>
      <c r="S228" s="96">
        <f>SUM(S226:S227)</f>
        <v>4066.6514466794115</v>
      </c>
      <c r="T228" s="110"/>
      <c r="U228" s="95">
        <f>SUM(U226:U227)</f>
        <v>4786</v>
      </c>
      <c r="V228" s="127">
        <f>U228-S228</f>
        <v>719.34855332058851</v>
      </c>
    </row>
    <row r="229" spans="1:22" x14ac:dyDescent="0.25">
      <c r="A229" s="144">
        <f t="shared" si="42"/>
        <v>34</v>
      </c>
      <c r="B229" s="145" t="s">
        <v>118</v>
      </c>
      <c r="C229" s="128"/>
      <c r="D229" s="120"/>
      <c r="E229" s="111"/>
      <c r="F229" s="97"/>
      <c r="G229" s="129">
        <f>G228/D228</f>
        <v>3.2466832056951785E-2</v>
      </c>
      <c r="H229" s="128"/>
      <c r="I229" s="120"/>
      <c r="J229" s="111"/>
      <c r="K229" s="97"/>
      <c r="L229" s="129">
        <f>L228/I228</f>
        <v>7.3816468476553737E-2</v>
      </c>
      <c r="M229" s="128"/>
      <c r="N229" s="120"/>
      <c r="O229" s="111"/>
      <c r="P229" s="97"/>
      <c r="Q229" s="129" t="e">
        <f>Q228/N228</f>
        <v>#DIV/0!</v>
      </c>
      <c r="R229" s="128"/>
      <c r="S229" s="120"/>
      <c r="T229" s="111"/>
      <c r="U229" s="97"/>
      <c r="V229" s="129">
        <f>V228/S228</f>
        <v>0.17688965055216774</v>
      </c>
    </row>
    <row r="230" spans="1:22" x14ac:dyDescent="0.25">
      <c r="A230" s="146">
        <f t="shared" si="42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42"/>
        <v>36</v>
      </c>
      <c r="B231" s="85" t="s">
        <v>66</v>
      </c>
      <c r="C231" s="59">
        <f>WMSR+RRRP</f>
        <v>5.7000000000000002E-3</v>
      </c>
      <c r="D231" s="42">
        <f>C231*D199</f>
        <v>1931.787</v>
      </c>
      <c r="E231" s="114">
        <f>WMSR+RRRP</f>
        <v>5.7000000000000002E-3</v>
      </c>
      <c r="F231" s="7">
        <f>E231*F199</f>
        <v>1932.34275</v>
      </c>
      <c r="G231" s="85"/>
      <c r="H231" s="59">
        <f>WMSR+RRRP</f>
        <v>5.7000000000000002E-3</v>
      </c>
      <c r="I231" s="42">
        <f>H231*I199</f>
        <v>1965.1320000000001</v>
      </c>
      <c r="J231" s="114">
        <f>WMSR+RRRP</f>
        <v>5.7000000000000002E-3</v>
      </c>
      <c r="K231" s="7">
        <f>J231*K199</f>
        <v>1932.34275</v>
      </c>
      <c r="L231" s="85"/>
      <c r="M231" s="59"/>
      <c r="N231" s="42"/>
      <c r="O231" s="114"/>
      <c r="P231" s="7"/>
      <c r="Q231" s="85"/>
      <c r="R231" s="59">
        <f>WMSR+RRRP</f>
        <v>5.7000000000000002E-3</v>
      </c>
      <c r="S231" s="42">
        <f>R231*S199</f>
        <v>1959.9450000000002</v>
      </c>
      <c r="T231" s="114">
        <f>WMSR+RRRP</f>
        <v>5.7000000000000002E-3</v>
      </c>
      <c r="U231" s="7">
        <f>T231*U199</f>
        <v>1932.34275</v>
      </c>
      <c r="V231" s="85"/>
    </row>
    <row r="232" spans="1:22" x14ac:dyDescent="0.25">
      <c r="A232" s="139">
        <f t="shared" si="42"/>
        <v>37</v>
      </c>
      <c r="B232" s="85" t="s">
        <v>67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/>
      <c r="N232" s="42"/>
      <c r="O232" s="114"/>
      <c r="P232" s="7"/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42"/>
        <v>38</v>
      </c>
      <c r="B233" s="85" t="s">
        <v>11</v>
      </c>
      <c r="C233" s="59">
        <v>7.0000000000000001E-3</v>
      </c>
      <c r="D233" s="42">
        <f>C233*D196</f>
        <v>2275</v>
      </c>
      <c r="E233" s="114">
        <v>7.0000000000000001E-3</v>
      </c>
      <c r="F233" s="7">
        <f>E233*F196</f>
        <v>2275</v>
      </c>
      <c r="G233" s="85"/>
      <c r="H233" s="59">
        <v>7.0000000000000001E-3</v>
      </c>
      <c r="I233" s="42">
        <f>H233*I196</f>
        <v>2275</v>
      </c>
      <c r="J233" s="114">
        <v>7.0000000000000001E-3</v>
      </c>
      <c r="K233" s="7">
        <f>J233*K196</f>
        <v>2275</v>
      </c>
      <c r="L233" s="85"/>
      <c r="M233" s="59"/>
      <c r="N233" s="42"/>
      <c r="O233" s="114"/>
      <c r="P233" s="7"/>
      <c r="Q233" s="85"/>
      <c r="R233" s="59">
        <v>7.0000000000000001E-3</v>
      </c>
      <c r="S233" s="42">
        <f>R233*S196</f>
        <v>2275</v>
      </c>
      <c r="T233" s="114">
        <v>7.0000000000000001E-3</v>
      </c>
      <c r="U233" s="7">
        <f>T233*U196</f>
        <v>2275</v>
      </c>
      <c r="V233" s="85"/>
    </row>
    <row r="234" spans="1:22" x14ac:dyDescent="0.25">
      <c r="A234" s="139">
        <f t="shared" si="42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/>
      <c r="N234" s="42"/>
      <c r="O234" s="106"/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42"/>
        <v>40</v>
      </c>
      <c r="B235" s="143" t="s">
        <v>12</v>
      </c>
      <c r="C235" s="126"/>
      <c r="D235" s="96">
        <f>SUM(D231:D234)</f>
        <v>4207.0370000000003</v>
      </c>
      <c r="E235" s="110"/>
      <c r="F235" s="95">
        <f>SUM(F231:F234)</f>
        <v>4207.5927499999998</v>
      </c>
      <c r="G235" s="127">
        <f>F235-D235</f>
        <v>0.55574999999953434</v>
      </c>
      <c r="H235" s="126"/>
      <c r="I235" s="96">
        <f>SUM(I231:I234)</f>
        <v>4240.3819999999996</v>
      </c>
      <c r="J235" s="110"/>
      <c r="K235" s="95">
        <f>SUM(K231:K234)</f>
        <v>4207.5927499999998</v>
      </c>
      <c r="L235" s="127">
        <f>K235-I235</f>
        <v>-32.789249999999811</v>
      </c>
      <c r="M235" s="126"/>
      <c r="N235" s="96">
        <f>SUM(N231:N234)</f>
        <v>0</v>
      </c>
      <c r="O235" s="110"/>
      <c r="P235" s="95">
        <f>SUM(P231:P234)</f>
        <v>0</v>
      </c>
      <c r="Q235" s="127">
        <f>P235-N235</f>
        <v>0</v>
      </c>
      <c r="R235" s="126"/>
      <c r="S235" s="96">
        <f>SUM(S231:S234)</f>
        <v>4235.1949999999997</v>
      </c>
      <c r="T235" s="110"/>
      <c r="U235" s="95">
        <f>SUM(U231:U234)</f>
        <v>4207.5927499999998</v>
      </c>
      <c r="V235" s="127">
        <f>U235-S235</f>
        <v>-27.602249999999913</v>
      </c>
    </row>
    <row r="236" spans="1:22" x14ac:dyDescent="0.25">
      <c r="A236" s="144">
        <f t="shared" si="42"/>
        <v>41</v>
      </c>
      <c r="B236" s="145" t="s">
        <v>118</v>
      </c>
      <c r="C236" s="128"/>
      <c r="D236" s="120"/>
      <c r="E236" s="111"/>
      <c r="F236" s="97"/>
      <c r="G236" s="129">
        <f>G235/D235</f>
        <v>1.3210009800235519E-4</v>
      </c>
      <c r="H236" s="128"/>
      <c r="I236" s="120"/>
      <c r="J236" s="111"/>
      <c r="K236" s="97"/>
      <c r="L236" s="129">
        <f>L235/I235</f>
        <v>-7.7326170142217876E-3</v>
      </c>
      <c r="M236" s="128"/>
      <c r="N236" s="120"/>
      <c r="O236" s="111"/>
      <c r="P236" s="97"/>
      <c r="Q236" s="129" t="e">
        <f>Q235/N235</f>
        <v>#DIV/0!</v>
      </c>
      <c r="R236" s="128"/>
      <c r="S236" s="120"/>
      <c r="T236" s="111"/>
      <c r="U236" s="97"/>
      <c r="V236" s="129">
        <f>V235/S235</f>
        <v>-6.5173504407707115E-3</v>
      </c>
    </row>
    <row r="237" spans="1:22" x14ac:dyDescent="0.25">
      <c r="A237" s="147">
        <f t="shared" si="42"/>
        <v>42</v>
      </c>
      <c r="B237" s="133" t="s">
        <v>129</v>
      </c>
      <c r="C237" s="132"/>
      <c r="D237" s="122">
        <f>D204+D223+D228+D235</f>
        <v>47993.2644</v>
      </c>
      <c r="E237" s="115"/>
      <c r="F237" s="102">
        <f>F204+F223+F228+F235</f>
        <v>47740.708799999993</v>
      </c>
      <c r="G237" s="133"/>
      <c r="H237" s="132"/>
      <c r="I237" s="122">
        <f>I204+I223+I228+I235</f>
        <v>46076.818399999996</v>
      </c>
      <c r="J237" s="115"/>
      <c r="K237" s="102">
        <f>K204+K223+K228+K235</f>
        <v>47740.708799999993</v>
      </c>
      <c r="L237" s="133"/>
      <c r="M237" s="132"/>
      <c r="N237" s="122">
        <f>N204+N223+N228+N235</f>
        <v>0</v>
      </c>
      <c r="O237" s="115"/>
      <c r="P237" s="102">
        <f>P204+P223+P228+P235</f>
        <v>0</v>
      </c>
      <c r="Q237" s="133"/>
      <c r="R237" s="132"/>
      <c r="S237" s="122">
        <f>S204+S223+S228+S235</f>
        <v>49379.705446679407</v>
      </c>
      <c r="T237" s="115"/>
      <c r="U237" s="102">
        <f>U204+U223+U228+U235</f>
        <v>48611.008799999996</v>
      </c>
      <c r="V237" s="133"/>
    </row>
    <row r="238" spans="1:22" x14ac:dyDescent="0.25">
      <c r="A238" s="148">
        <f t="shared" si="42"/>
        <v>43</v>
      </c>
      <c r="B238" s="134" t="s">
        <v>13</v>
      </c>
      <c r="C238" s="87"/>
      <c r="D238" s="43">
        <f>D237*0.13</f>
        <v>6239.1243720000002</v>
      </c>
      <c r="E238" s="116"/>
      <c r="F238" s="99">
        <f>F237*0.13</f>
        <v>6206.2921439999991</v>
      </c>
      <c r="G238" s="134"/>
      <c r="H238" s="87"/>
      <c r="I238" s="43">
        <f>I237*0.13</f>
        <v>5989.9863919999998</v>
      </c>
      <c r="J238" s="116"/>
      <c r="K238" s="99">
        <f>K237*0.13</f>
        <v>6206.2921439999991</v>
      </c>
      <c r="L238" s="134"/>
      <c r="M238" s="87"/>
      <c r="N238" s="43">
        <f>N237*0.13</f>
        <v>0</v>
      </c>
      <c r="O238" s="116"/>
      <c r="P238" s="99">
        <f>P237*0.13</f>
        <v>0</v>
      </c>
      <c r="Q238" s="134"/>
      <c r="R238" s="87"/>
      <c r="S238" s="43">
        <f>S237*0.13</f>
        <v>6419.3617080683234</v>
      </c>
      <c r="T238" s="116"/>
      <c r="U238" s="99">
        <f>U237*0.13</f>
        <v>6319.4311440000001</v>
      </c>
      <c r="V238" s="134"/>
    </row>
    <row r="239" spans="1:22" x14ac:dyDescent="0.25">
      <c r="A239" s="141">
        <f t="shared" si="42"/>
        <v>44</v>
      </c>
      <c r="B239" s="125" t="s">
        <v>14</v>
      </c>
      <c r="C239" s="88"/>
      <c r="D239" s="69">
        <f>SUM(D237:D238)*-0.1</f>
        <v>-5423.2388772000004</v>
      </c>
      <c r="E239" s="117"/>
      <c r="F239" s="70">
        <f>SUM(F237:F238)*-0.1</f>
        <v>-5394.7000943999992</v>
      </c>
      <c r="G239" s="125"/>
      <c r="H239" s="88"/>
      <c r="I239" s="69">
        <f>SUM(I237:I238)*-0.1</f>
        <v>-5206.6804792000003</v>
      </c>
      <c r="J239" s="117"/>
      <c r="K239" s="70">
        <f>SUM(K237:K238)*-0.1</f>
        <v>-5394.7000943999992</v>
      </c>
      <c r="L239" s="125"/>
      <c r="M239" s="88"/>
      <c r="N239" s="69">
        <f>SUM(N237:N238)*-0.1</f>
        <v>0</v>
      </c>
      <c r="O239" s="117"/>
      <c r="P239" s="70">
        <f>SUM(P237:P238)*-0.1</f>
        <v>0</v>
      </c>
      <c r="Q239" s="125"/>
      <c r="R239" s="88"/>
      <c r="S239" s="69">
        <f>SUM(S237:S238)*-0.1</f>
        <v>-5579.9067154747736</v>
      </c>
      <c r="T239" s="117"/>
      <c r="U239" s="70">
        <f>SUM(U237:U238)*-0.1</f>
        <v>-5493.0439944</v>
      </c>
      <c r="V239" s="125"/>
    </row>
    <row r="240" spans="1:22" x14ac:dyDescent="0.25">
      <c r="A240" s="149">
        <f t="shared" si="42"/>
        <v>45</v>
      </c>
      <c r="B240" s="150" t="s">
        <v>15</v>
      </c>
      <c r="C240" s="135"/>
      <c r="D240" s="104">
        <f>SUM(D237:D239)</f>
        <v>48809.149894800001</v>
      </c>
      <c r="E240" s="118"/>
      <c r="F240" s="103">
        <f>SUM(F237:F239)</f>
        <v>48552.300849599997</v>
      </c>
      <c r="G240" s="136">
        <f>F240-D240</f>
        <v>-256.84904520000418</v>
      </c>
      <c r="H240" s="135"/>
      <c r="I240" s="104">
        <f>SUM(I237:I239)</f>
        <v>46860.124312799991</v>
      </c>
      <c r="J240" s="118"/>
      <c r="K240" s="103">
        <f>SUM(K237:K239)</f>
        <v>48552.300849599997</v>
      </c>
      <c r="L240" s="136">
        <f>K240-I240</f>
        <v>1692.1765368000051</v>
      </c>
      <c r="M240" s="135"/>
      <c r="N240" s="104">
        <f>SUM(N237:N239)</f>
        <v>0</v>
      </c>
      <c r="O240" s="118"/>
      <c r="P240" s="103">
        <f>SUM(P237:P239)</f>
        <v>0</v>
      </c>
      <c r="Q240" s="136">
        <f>P240-N240</f>
        <v>0</v>
      </c>
      <c r="R240" s="135"/>
      <c r="S240" s="104">
        <f>SUM(S237:S239)</f>
        <v>50219.160439272957</v>
      </c>
      <c r="T240" s="118"/>
      <c r="U240" s="103">
        <f>SUM(U237:U239)</f>
        <v>49437.395949599995</v>
      </c>
      <c r="V240" s="136">
        <f>U240-S240</f>
        <v>-781.76448967296164</v>
      </c>
    </row>
    <row r="241" spans="1:22" x14ac:dyDescent="0.25">
      <c r="A241" s="151">
        <f t="shared" si="42"/>
        <v>46</v>
      </c>
      <c r="B241" s="152" t="s">
        <v>118</v>
      </c>
      <c r="C241" s="137"/>
      <c r="D241" s="123"/>
      <c r="E241" s="119"/>
      <c r="F241" s="105"/>
      <c r="G241" s="138">
        <f>G240/D240</f>
        <v>-5.26231343413273E-3</v>
      </c>
      <c r="H241" s="137"/>
      <c r="I241" s="123"/>
      <c r="J241" s="119"/>
      <c r="K241" s="105"/>
      <c r="L241" s="138">
        <f>L240/I240</f>
        <v>3.611122594349972E-2</v>
      </c>
      <c r="M241" s="137"/>
      <c r="N241" s="123"/>
      <c r="O241" s="119"/>
      <c r="P241" s="105"/>
      <c r="Q241" s="138" t="e">
        <f>Q240/N240</f>
        <v>#DIV/0!</v>
      </c>
      <c r="R241" s="137"/>
      <c r="S241" s="123"/>
      <c r="T241" s="119"/>
      <c r="U241" s="105"/>
      <c r="V241" s="138">
        <f>V240/S240</f>
        <v>-1.5567056136239134E-2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127</v>
      </c>
      <c r="C243" s="202">
        <f>'2015 Approved'!$D$23</f>
        <v>0</v>
      </c>
      <c r="D243" s="43">
        <f>C243*D197</f>
        <v>0</v>
      </c>
      <c r="E243" s="203">
        <f>C243</f>
        <v>0</v>
      </c>
      <c r="F243" s="99">
        <f>E243*F197</f>
        <v>0</v>
      </c>
      <c r="G243" s="134"/>
      <c r="H243" s="59">
        <f>'2015 Approved'!$O$23</f>
        <v>0</v>
      </c>
      <c r="I243" s="43">
        <f>H243*I$197</f>
        <v>0</v>
      </c>
      <c r="J243" s="203">
        <f>H243</f>
        <v>0</v>
      </c>
      <c r="K243" s="7">
        <f>J243*K$197</f>
        <v>0</v>
      </c>
      <c r="L243" s="134"/>
      <c r="M243" s="59"/>
      <c r="N243" s="43"/>
      <c r="O243" s="203"/>
      <c r="P243" s="7"/>
      <c r="Q243" s="134"/>
      <c r="R243" s="59">
        <f>'2015 Approved'!$Z$23</f>
        <v>1.1795</v>
      </c>
      <c r="S243" s="43">
        <f>R243*S197</f>
        <v>1179.5</v>
      </c>
      <c r="T243" s="203">
        <f>R243</f>
        <v>1.1795</v>
      </c>
      <c r="U243" s="7">
        <f>T243*U197</f>
        <v>1179.5</v>
      </c>
      <c r="V243" s="134"/>
    </row>
    <row r="244" spans="1:22" x14ac:dyDescent="0.25">
      <c r="A244" s="148">
        <f>A243+1</f>
        <v>49</v>
      </c>
      <c r="B244" s="85" t="s">
        <v>128</v>
      </c>
      <c r="C244" s="59">
        <f>'2015 Approved'!$D$24</f>
        <v>-0.99730000000000008</v>
      </c>
      <c r="D244" s="42">
        <f>C244*D197</f>
        <v>-997.30000000000007</v>
      </c>
      <c r="E244" s="203">
        <f>'2016 Proposed'!$D$26</f>
        <v>1.3655999999999999</v>
      </c>
      <c r="F244" s="7">
        <f>E244*F197</f>
        <v>1365.6</v>
      </c>
      <c r="G244" s="85"/>
      <c r="H244" s="59">
        <f>'2015 Approved'!$O$24</f>
        <v>-0.28370000000000001</v>
      </c>
      <c r="I244" s="43">
        <f>H244*I$197</f>
        <v>-283.7</v>
      </c>
      <c r="J244" s="114">
        <f>'2016 Proposed'!$D$26</f>
        <v>1.3655999999999999</v>
      </c>
      <c r="K244" s="7">
        <f>J244*K$197</f>
        <v>1365.6</v>
      </c>
      <c r="L244" s="85"/>
      <c r="M244" s="59"/>
      <c r="N244" s="42"/>
      <c r="O244" s="114"/>
      <c r="P244" s="7"/>
      <c r="Q244" s="85"/>
      <c r="R244" s="59">
        <f>'2015 Approved'!$Z$24</f>
        <v>-0.1012</v>
      </c>
      <c r="S244" s="42">
        <f>R244*S197</f>
        <v>-101.2</v>
      </c>
      <c r="T244" s="114">
        <f>'2016 Proposed'!$D$26</f>
        <v>1.3655999999999999</v>
      </c>
      <c r="U244" s="7">
        <f>T244*U197</f>
        <v>1365.6</v>
      </c>
      <c r="V244" s="85"/>
    </row>
    <row r="245" spans="1:22" x14ac:dyDescent="0.25">
      <c r="A245" s="139">
        <f t="shared" si="42"/>
        <v>50</v>
      </c>
      <c r="B245" s="85" t="s">
        <v>17</v>
      </c>
      <c r="C245" s="86"/>
      <c r="D245" s="42">
        <f>D237+SUM(D243:D244)</f>
        <v>46995.964399999997</v>
      </c>
      <c r="E245" s="106"/>
      <c r="F245" s="7">
        <f>F237+SUM(F243:F244)</f>
        <v>49106.308799999992</v>
      </c>
      <c r="G245" s="85"/>
      <c r="H245" s="86"/>
      <c r="I245" s="42">
        <f>I237+I244+I243</f>
        <v>45793.118399999999</v>
      </c>
      <c r="J245" s="106"/>
      <c r="K245" s="7">
        <f>K237+K244+K243</f>
        <v>49106.308799999992</v>
      </c>
      <c r="L245" s="85"/>
      <c r="M245" s="86"/>
      <c r="N245" s="42"/>
      <c r="O245" s="106"/>
      <c r="P245" s="7"/>
      <c r="Q245" s="85"/>
      <c r="R245" s="86"/>
      <c r="S245" s="42">
        <f>S237+S244+S243</f>
        <v>50458.00544667941</v>
      </c>
      <c r="T245" s="106"/>
      <c r="U245" s="7">
        <f>U237+U244+U243</f>
        <v>51156.108799999995</v>
      </c>
      <c r="V245" s="85"/>
    </row>
    <row r="246" spans="1:22" x14ac:dyDescent="0.25">
      <c r="A246" s="139">
        <f t="shared" si="42"/>
        <v>51</v>
      </c>
      <c r="B246" s="85" t="s">
        <v>13</v>
      </c>
      <c r="C246" s="86"/>
      <c r="D246" s="42">
        <f>D245*0.13</f>
        <v>6109.4753719999999</v>
      </c>
      <c r="E246" s="106"/>
      <c r="F246" s="7">
        <f>F245*0.13</f>
        <v>6383.8201439999993</v>
      </c>
      <c r="G246" s="85"/>
      <c r="H246" s="86"/>
      <c r="I246" s="42">
        <f>I245*0.13</f>
        <v>5953.1053920000004</v>
      </c>
      <c r="J246" s="106"/>
      <c r="K246" s="7">
        <f>K245*0.13</f>
        <v>6383.8201439999993</v>
      </c>
      <c r="L246" s="85"/>
      <c r="M246" s="86"/>
      <c r="N246" s="42"/>
      <c r="O246" s="106"/>
      <c r="P246" s="7"/>
      <c r="Q246" s="85"/>
      <c r="R246" s="86"/>
      <c r="S246" s="42">
        <f>S245*0.13</f>
        <v>6559.5407080683235</v>
      </c>
      <c r="T246" s="106"/>
      <c r="U246" s="7">
        <f>U245*0.13</f>
        <v>6650.2941439999995</v>
      </c>
      <c r="V246" s="85"/>
    </row>
    <row r="247" spans="1:22" x14ac:dyDescent="0.25">
      <c r="A247" s="139">
        <f t="shared" si="42"/>
        <v>52</v>
      </c>
      <c r="B247" s="85" t="s">
        <v>18</v>
      </c>
      <c r="C247" s="86"/>
      <c r="D247" s="42">
        <f>SUM(D245:D246)*-0.1</f>
        <v>-5310.5439772</v>
      </c>
      <c r="E247" s="106"/>
      <c r="F247" s="7">
        <f>SUM(F245:F246)*-0.1</f>
        <v>-5549.0128943999989</v>
      </c>
      <c r="G247" s="85"/>
      <c r="H247" s="86"/>
      <c r="I247" s="42">
        <f>SUM(I245:I246)*-0.1</f>
        <v>-5174.6223792000001</v>
      </c>
      <c r="J247" s="106"/>
      <c r="K247" s="7">
        <f>SUM(K245:K246)*-0.1</f>
        <v>-5549.0128943999989</v>
      </c>
      <c r="L247" s="85"/>
      <c r="M247" s="86"/>
      <c r="N247" s="42"/>
      <c r="O247" s="106"/>
      <c r="P247" s="7"/>
      <c r="Q247" s="85"/>
      <c r="R247" s="86"/>
      <c r="S247" s="42">
        <f>SUM(S245:S246)*-0.1</f>
        <v>-5701.7546154747733</v>
      </c>
      <c r="T247" s="106"/>
      <c r="U247" s="7">
        <f>SUM(U245:U246)*-0.1</f>
        <v>-5780.6402944000001</v>
      </c>
      <c r="V247" s="85"/>
    </row>
    <row r="248" spans="1:22" x14ac:dyDescent="0.25">
      <c r="A248" s="177">
        <f t="shared" si="42"/>
        <v>53</v>
      </c>
      <c r="B248" s="178" t="s">
        <v>15</v>
      </c>
      <c r="C248" s="179"/>
      <c r="D248" s="180">
        <f>SUM(D245:D247)</f>
        <v>47794.895794799995</v>
      </c>
      <c r="E248" s="181"/>
      <c r="F248" s="182">
        <f>SUM(F245:F247)</f>
        <v>49941.116049599994</v>
      </c>
      <c r="G248" s="183">
        <f>F248-D248</f>
        <v>2146.2202547999987</v>
      </c>
      <c r="H248" s="179"/>
      <c r="I248" s="180">
        <f>SUM(I245:I247)</f>
        <v>46571.601412799995</v>
      </c>
      <c r="J248" s="181"/>
      <c r="K248" s="182">
        <f>SUM(K245:K247)</f>
        <v>49941.116049599994</v>
      </c>
      <c r="L248" s="183">
        <f>K248-I248</f>
        <v>3369.5146367999987</v>
      </c>
      <c r="M248" s="179"/>
      <c r="N248" s="180">
        <f>SUM(N245:N247)</f>
        <v>0</v>
      </c>
      <c r="O248" s="181"/>
      <c r="P248" s="182">
        <f>SUM(P245:P247)</f>
        <v>0</v>
      </c>
      <c r="Q248" s="183">
        <f>P248-N248</f>
        <v>0</v>
      </c>
      <c r="R248" s="179"/>
      <c r="S248" s="180">
        <f>SUM(S245:S247)</f>
        <v>51315.791539272956</v>
      </c>
      <c r="T248" s="181"/>
      <c r="U248" s="182">
        <f>SUM(U245:U247)</f>
        <v>52025.762649599994</v>
      </c>
      <c r="V248" s="183">
        <f>U248-S248</f>
        <v>709.97111032703833</v>
      </c>
    </row>
    <row r="249" spans="1:22" ht="15.75" thickBot="1" x14ac:dyDescent="0.3">
      <c r="A249" s="184">
        <f>A248+1</f>
        <v>54</v>
      </c>
      <c r="B249" s="185" t="s">
        <v>118</v>
      </c>
      <c r="C249" s="186"/>
      <c r="D249" s="187"/>
      <c r="E249" s="188"/>
      <c r="F249" s="189"/>
      <c r="G249" s="190">
        <f>G248/D248</f>
        <v>4.4904800378987413E-2</v>
      </c>
      <c r="H249" s="186"/>
      <c r="I249" s="187"/>
      <c r="J249" s="188"/>
      <c r="K249" s="189"/>
      <c r="L249" s="190">
        <f>L248/I248</f>
        <v>7.2351272762415736E-2</v>
      </c>
      <c r="M249" s="186"/>
      <c r="N249" s="187"/>
      <c r="O249" s="188"/>
      <c r="P249" s="189"/>
      <c r="Q249" s="190" t="e">
        <f>Q248/N248</f>
        <v>#DIV/0!</v>
      </c>
      <c r="R249" s="186"/>
      <c r="S249" s="187"/>
      <c r="T249" s="188"/>
      <c r="U249" s="189"/>
      <c r="V249" s="190">
        <f>V248/S248</f>
        <v>1.3835333900748347E-2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120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103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103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103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103</v>
      </c>
    </row>
    <row r="252" spans="1:22" x14ac:dyDescent="0.25">
      <c r="A252" s="139">
        <f>A251+1</f>
        <v>56</v>
      </c>
      <c r="B252" s="85" t="s">
        <v>119</v>
      </c>
      <c r="C252" s="86"/>
      <c r="D252" s="42">
        <f>SUM(D207:D210)+D212+D213+D222</f>
        <v>5026.3274000000001</v>
      </c>
      <c r="E252" s="106"/>
      <c r="F252" s="7">
        <f>SUM(F207:F210)+F212+F213+F222</f>
        <v>3975.4160499999994</v>
      </c>
      <c r="G252" s="56">
        <f>F252-D252</f>
        <v>-1050.9113500000008</v>
      </c>
      <c r="H252" s="86"/>
      <c r="I252" s="42">
        <f>SUM(I207:I210)+I212+I213+I222</f>
        <v>3575.2364000000002</v>
      </c>
      <c r="J252" s="106"/>
      <c r="K252" s="7">
        <f>SUM(K207:K210)+K212+K213+K222</f>
        <v>3975.4160499999994</v>
      </c>
      <c r="L252" s="56">
        <f>K252-I252</f>
        <v>400.17964999999913</v>
      </c>
      <c r="M252" s="86"/>
      <c r="N252" s="42">
        <f>SUM(N207:N210)+N212+N213+N222</f>
        <v>0</v>
      </c>
      <c r="O252" s="106"/>
      <c r="P252" s="7">
        <f>SUM(P207:P210)+P212+P213+P222</f>
        <v>0</v>
      </c>
      <c r="Q252" s="56">
        <f>P252-N252</f>
        <v>0</v>
      </c>
      <c r="R252" s="86"/>
      <c r="S252" s="42">
        <f>SUM(S207:S210)+S212+S213+S222</f>
        <v>3606.9589999999998</v>
      </c>
      <c r="T252" s="106"/>
      <c r="U252" s="7">
        <f>SUM(U207:U210)+U212+U213+U222</f>
        <v>3975.4160499999994</v>
      </c>
      <c r="V252" s="56">
        <f>U252-S252</f>
        <v>368.45704999999953</v>
      </c>
    </row>
    <row r="253" spans="1:22" x14ac:dyDescent="0.25">
      <c r="A253" s="164">
        <f t="shared" ref="A253:A255" si="55">A252+1</f>
        <v>57</v>
      </c>
      <c r="B253" s="165" t="s">
        <v>118</v>
      </c>
      <c r="C253" s="166"/>
      <c r="D253" s="167"/>
      <c r="E253" s="168"/>
      <c r="F253" s="93"/>
      <c r="G253" s="169">
        <f>G252/SUM(D252:D255)</f>
        <v>-0.17646871889392515</v>
      </c>
      <c r="H253" s="166"/>
      <c r="I253" s="167"/>
      <c r="J253" s="168"/>
      <c r="K253" s="93"/>
      <c r="L253" s="169">
        <f>L252/SUM(I252:I255)</f>
        <v>9.5646685738339399E-2</v>
      </c>
      <c r="M253" s="166"/>
      <c r="N253" s="167"/>
      <c r="O253" s="168"/>
      <c r="P253" s="93"/>
      <c r="Q253" s="169" t="e">
        <f>Q252/SUM(N252:N255)</f>
        <v>#DIV/0!</v>
      </c>
      <c r="R253" s="166"/>
      <c r="S253" s="167"/>
      <c r="T253" s="168"/>
      <c r="U253" s="93"/>
      <c r="V253" s="169">
        <f>V252/SUM(S252:S255)</f>
        <v>4.6744515188917375E-2</v>
      </c>
    </row>
    <row r="254" spans="1:22" x14ac:dyDescent="0.25">
      <c r="A254" s="139">
        <f t="shared" si="55"/>
        <v>58</v>
      </c>
      <c r="B254" s="85" t="s">
        <v>121</v>
      </c>
      <c r="C254" s="86"/>
      <c r="D254" s="42">
        <f>D211+SUM(D214:D221)</f>
        <v>928.9</v>
      </c>
      <c r="E254" s="106"/>
      <c r="F254" s="7">
        <f>F211+SUM(F214:F221)</f>
        <v>1576.2</v>
      </c>
      <c r="G254" s="56">
        <f>F254-D254</f>
        <v>647.30000000000007</v>
      </c>
      <c r="H254" s="86"/>
      <c r="I254" s="42">
        <f>I211+SUM(I214:I221)</f>
        <v>608.70000000000005</v>
      </c>
      <c r="J254" s="106"/>
      <c r="K254" s="7">
        <f>K211+SUM(K214:K221)</f>
        <v>1576.2</v>
      </c>
      <c r="L254" s="56">
        <f>K254-I254</f>
        <v>967.5</v>
      </c>
      <c r="M254" s="86"/>
      <c r="N254" s="42">
        <f>N211+SUM(N214:N221)</f>
        <v>0</v>
      </c>
      <c r="O254" s="106"/>
      <c r="P254" s="7">
        <f>P211+SUM(P214:P221)</f>
        <v>0</v>
      </c>
      <c r="Q254" s="56">
        <f>P254-N254</f>
        <v>0</v>
      </c>
      <c r="R254" s="86"/>
      <c r="S254" s="42">
        <f>S211+SUM(S214:S221)</f>
        <v>4275.3999999999996</v>
      </c>
      <c r="T254" s="106"/>
      <c r="U254" s="7">
        <f>U211+SUM(U214:U221)</f>
        <v>2446.5</v>
      </c>
      <c r="V254" s="56">
        <f>U254-S254</f>
        <v>-1828.8999999999996</v>
      </c>
    </row>
    <row r="255" spans="1:22" ht="15.75" thickBot="1" x14ac:dyDescent="0.3">
      <c r="A255" s="170">
        <f t="shared" si="55"/>
        <v>59</v>
      </c>
      <c r="B255" s="171" t="s">
        <v>118</v>
      </c>
      <c r="C255" s="172"/>
      <c r="D255" s="173"/>
      <c r="E255" s="174"/>
      <c r="F255" s="175"/>
      <c r="G255" s="176">
        <f>G254/SUM(D252:D255)</f>
        <v>0.10869442197958723</v>
      </c>
      <c r="H255" s="172"/>
      <c r="I255" s="173"/>
      <c r="J255" s="174"/>
      <c r="K255" s="175"/>
      <c r="L255" s="176">
        <f>L254/SUM(I252:I255)</f>
        <v>0.23124156476183527</v>
      </c>
      <c r="M255" s="172"/>
      <c r="N255" s="173"/>
      <c r="O255" s="174"/>
      <c r="P255" s="175"/>
      <c r="Q255" s="176" t="e">
        <f>Q254/SUM(N252:N255)</f>
        <v>#DIV/0!</v>
      </c>
      <c r="R255" s="172"/>
      <c r="S255" s="173"/>
      <c r="T255" s="174"/>
      <c r="U255" s="175"/>
      <c r="V255" s="176">
        <f>V254/SUM(S252:S255)</f>
        <v>-0.23202444851852089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</mergeCells>
  <pageMargins left="0.25" right="0.25" top="0.25" bottom="0.4" header="0.3" footer="0.3"/>
  <pageSetup scale="51" fitToHeight="0" orientation="landscape" r:id="rId1"/>
  <headerFooter>
    <oddFooter>&amp;R&amp;8&amp;P/&amp;N</oddFooter>
  </headerFooter>
  <rowBreaks count="3" manualBreakCount="3">
    <brk id="67" max="21" man="1"/>
    <brk id="130" max="21" man="1"/>
    <brk id="193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110" zoomScaleNormal="11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</cols>
  <sheetData>
    <row r="1" spans="1:1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9.5" thickBot="1" x14ac:dyDescent="0.35">
      <c r="A3" s="163" t="s">
        <v>172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5.75" thickBot="1" x14ac:dyDescent="0.3"/>
    <row r="5" spans="1:1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</row>
    <row r="6" spans="1:1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</row>
    <row r="7" spans="1:12" x14ac:dyDescent="0.25">
      <c r="A7" s="139">
        <v>1</v>
      </c>
      <c r="B7" s="85" t="s">
        <v>91</v>
      </c>
      <c r="C7" s="86"/>
      <c r="D7" s="204">
        <f>33167215.0041416/12</f>
        <v>2763934.5836784667</v>
      </c>
      <c r="E7" s="106"/>
      <c r="F7" s="81">
        <f>D7</f>
        <v>2763934.5836784667</v>
      </c>
      <c r="G7" s="85"/>
      <c r="H7" s="86"/>
      <c r="I7" s="204">
        <f>31573402.0029866/12</f>
        <v>2631116.8335822164</v>
      </c>
      <c r="J7" s="106"/>
      <c r="K7" s="81">
        <f>I7</f>
        <v>2631116.8335822164</v>
      </c>
      <c r="L7" s="85"/>
    </row>
    <row r="8" spans="1:12" x14ac:dyDescent="0.25">
      <c r="A8" s="139">
        <f>A7+1</f>
        <v>2</v>
      </c>
      <c r="B8" s="85" t="s">
        <v>92</v>
      </c>
      <c r="C8" s="86"/>
      <c r="D8" s="204">
        <v>7200</v>
      </c>
      <c r="E8" s="106"/>
      <c r="F8" s="81">
        <f>D8</f>
        <v>7200</v>
      </c>
      <c r="G8" s="85"/>
      <c r="H8" s="86"/>
      <c r="I8" s="204">
        <f>65619/12+32</f>
        <v>5500.25</v>
      </c>
      <c r="J8" s="106"/>
      <c r="K8" s="81">
        <f>I8</f>
        <v>5500.25</v>
      </c>
      <c r="L8" s="85"/>
    </row>
    <row r="9" spans="1:12" x14ac:dyDescent="0.25">
      <c r="A9" s="139">
        <f t="shared" ref="A9:A60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</row>
    <row r="10" spans="1:12" x14ac:dyDescent="0.25">
      <c r="A10" s="139">
        <f t="shared" si="0"/>
        <v>4</v>
      </c>
      <c r="B10" s="85" t="s">
        <v>93</v>
      </c>
      <c r="C10" s="86"/>
      <c r="D10" s="80">
        <f>D7*D9</f>
        <v>2882230.983859905</v>
      </c>
      <c r="E10" s="106"/>
      <c r="F10" s="81">
        <f>F7*F9</f>
        <v>2883060.1642350084</v>
      </c>
      <c r="G10" s="85"/>
      <c r="H10" s="86"/>
      <c r="I10" s="80">
        <f>I7*I9</f>
        <v>2791088.7370640151</v>
      </c>
      <c r="J10" s="106"/>
      <c r="K10" s="81">
        <f>K7*K9</f>
        <v>2744517.9691096097</v>
      </c>
      <c r="L10" s="85"/>
    </row>
    <row r="11" spans="1:1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</row>
    <row r="12" spans="1:1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141513.4506843375</v>
      </c>
      <c r="E12" s="108">
        <f>'General Input'!$B$11</f>
        <v>0.08</v>
      </c>
      <c r="F12" s="7">
        <f>F$7*E12*TOU_OFF</f>
        <v>141513.4506843375</v>
      </c>
      <c r="G12" s="85"/>
      <c r="H12" s="84">
        <f>'General Input'!$B$11</f>
        <v>0.08</v>
      </c>
      <c r="I12" s="42">
        <f>I$7*H12*TOU_OFF</f>
        <v>134713.18187940947</v>
      </c>
      <c r="J12" s="108">
        <f>'General Input'!$B$11</f>
        <v>0.08</v>
      </c>
      <c r="K12" s="7">
        <f>K$7*J12*TOU_OFF</f>
        <v>134713.18187940947</v>
      </c>
      <c r="L12" s="85"/>
    </row>
    <row r="13" spans="1:1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60696.003457579121</v>
      </c>
      <c r="E13" s="108">
        <f>'General Input'!$B$12</f>
        <v>0.122</v>
      </c>
      <c r="F13" s="7">
        <f>F$7*E13*TOU_MID</f>
        <v>60696.003457579121</v>
      </c>
      <c r="G13" s="85"/>
      <c r="H13" s="84">
        <f>'General Input'!$B$12</f>
        <v>0.122</v>
      </c>
      <c r="I13" s="42">
        <f>I$7*H13*TOU_MID</f>
        <v>57779.325665465476</v>
      </c>
      <c r="J13" s="108">
        <f>'General Input'!$B$12</f>
        <v>0.122</v>
      </c>
      <c r="K13" s="7">
        <f>K$7*J13*TOU_MID</f>
        <v>57779.325665465476</v>
      </c>
      <c r="L13" s="85"/>
    </row>
    <row r="14" spans="1:1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80098.824235001957</v>
      </c>
      <c r="E14" s="109">
        <f>'General Input'!$B$13</f>
        <v>0.161</v>
      </c>
      <c r="F14" s="70">
        <f>F$7*E14*TOU_ON</f>
        <v>80098.824235001957</v>
      </c>
      <c r="G14" s="125"/>
      <c r="H14" s="124">
        <f>'General Input'!$B$13</f>
        <v>0.161</v>
      </c>
      <c r="I14" s="69">
        <f>I$7*H14*TOU_ON</f>
        <v>76249.765837212632</v>
      </c>
      <c r="J14" s="109">
        <f>'General Input'!$B$13</f>
        <v>0.161</v>
      </c>
      <c r="K14" s="70">
        <f>K$7*J14*TOU_ON</f>
        <v>76249.765837212632</v>
      </c>
      <c r="L14" s="125"/>
    </row>
    <row r="15" spans="1:12" x14ac:dyDescent="0.25">
      <c r="A15" s="142">
        <f t="shared" si="0"/>
        <v>9</v>
      </c>
      <c r="B15" s="143" t="s">
        <v>26</v>
      </c>
      <c r="C15" s="126"/>
      <c r="D15" s="96">
        <f>SUM(D12:D14)</f>
        <v>282308.27837691858</v>
      </c>
      <c r="E15" s="110"/>
      <c r="F15" s="95">
        <f>SUM(F12:F14)</f>
        <v>282308.27837691858</v>
      </c>
      <c r="G15" s="127">
        <f>D15-F15</f>
        <v>0</v>
      </c>
      <c r="H15" s="126"/>
      <c r="I15" s="96">
        <f>SUM(I12:I14)</f>
        <v>268742.27338208759</v>
      </c>
      <c r="J15" s="110"/>
      <c r="K15" s="95">
        <f>SUM(K12:K14)</f>
        <v>268742.27338208759</v>
      </c>
      <c r="L15" s="127">
        <f>I15-K15</f>
        <v>0</v>
      </c>
    </row>
    <row r="16" spans="1:1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</row>
    <row r="17" spans="1:1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</row>
    <row r="18" spans="1:12" x14ac:dyDescent="0.25">
      <c r="A18" s="139">
        <f t="shared" si="0"/>
        <v>12</v>
      </c>
      <c r="B18" s="85" t="s">
        <v>5</v>
      </c>
      <c r="C18" s="55">
        <f>'2015 Approved'!$H$4</f>
        <v>1385.39</v>
      </c>
      <c r="D18" s="42">
        <f>C18</f>
        <v>1385.39</v>
      </c>
      <c r="E18" s="113">
        <f>'2016 Proposed'!$E$3</f>
        <v>1484.36</v>
      </c>
      <c r="F18" s="7">
        <f>E18</f>
        <v>1484.36</v>
      </c>
      <c r="G18" s="85"/>
      <c r="H18" s="55">
        <f>'2015 Approved'!$P$4</f>
        <v>3845.43</v>
      </c>
      <c r="I18" s="42">
        <f>H18</f>
        <v>3845.43</v>
      </c>
      <c r="J18" s="113">
        <f>'2016 Proposed'!$E$4</f>
        <v>1484.36</v>
      </c>
      <c r="K18" s="7">
        <f>J18</f>
        <v>1484.36</v>
      </c>
      <c r="L18" s="85"/>
    </row>
    <row r="19" spans="1:12" x14ac:dyDescent="0.25">
      <c r="A19" s="139">
        <f t="shared" si="0"/>
        <v>13</v>
      </c>
      <c r="B19" s="85" t="s">
        <v>86</v>
      </c>
      <c r="C19" s="55">
        <f>'2015 Approved'!$H$5</f>
        <v>0</v>
      </c>
      <c r="D19" s="42">
        <f t="shared" ref="D19:D22" si="1">C19</f>
        <v>0</v>
      </c>
      <c r="E19" s="113">
        <f>'2016 Proposed'!$E$5</f>
        <v>0</v>
      </c>
      <c r="F19" s="7">
        <f t="shared" ref="F19:F22" si="2">E19</f>
        <v>0</v>
      </c>
      <c r="G19" s="85"/>
      <c r="H19" s="55">
        <f>'2015 Approved'!$P$5</f>
        <v>1.23</v>
      </c>
      <c r="I19" s="42">
        <f t="shared" ref="I19:I22" si="3">H19</f>
        <v>1.23</v>
      </c>
      <c r="J19" s="113">
        <f>'2016 Proposed'!$E$5</f>
        <v>0</v>
      </c>
      <c r="K19" s="7">
        <f t="shared" ref="K19:K22" si="4">J19</f>
        <v>0</v>
      </c>
      <c r="L19" s="85"/>
    </row>
    <row r="20" spans="1:12" x14ac:dyDescent="0.25">
      <c r="A20" s="139">
        <f t="shared" si="0"/>
        <v>14</v>
      </c>
      <c r="B20" s="85" t="s">
        <v>86</v>
      </c>
      <c r="C20" s="55">
        <f>'2015 Approved'!$H$6</f>
        <v>0</v>
      </c>
      <c r="D20" s="42">
        <f t="shared" si="1"/>
        <v>0</v>
      </c>
      <c r="E20" s="113">
        <f>'2016 Proposed'!$E$6</f>
        <v>0</v>
      </c>
      <c r="F20" s="7">
        <f t="shared" si="2"/>
        <v>0</v>
      </c>
      <c r="G20" s="85"/>
      <c r="H20" s="55">
        <f>'2015 Approved'!$P$6</f>
        <v>0.77</v>
      </c>
      <c r="I20" s="42">
        <f t="shared" si="3"/>
        <v>0.77</v>
      </c>
      <c r="J20" s="113">
        <f>'2016 Proposed'!$E$6</f>
        <v>0</v>
      </c>
      <c r="K20" s="7">
        <f t="shared" si="4"/>
        <v>0</v>
      </c>
      <c r="L20" s="85"/>
    </row>
    <row r="21" spans="1:12" x14ac:dyDescent="0.25">
      <c r="A21" s="139">
        <f t="shared" si="0"/>
        <v>15</v>
      </c>
      <c r="B21" s="85" t="s">
        <v>6</v>
      </c>
      <c r="C21" s="55">
        <f>'2015 Approved'!$H$7</f>
        <v>0</v>
      </c>
      <c r="D21" s="42">
        <f t="shared" si="1"/>
        <v>0</v>
      </c>
      <c r="E21" s="113">
        <f>'2016 Proposed'!$E$7</f>
        <v>0</v>
      </c>
      <c r="F21" s="7">
        <f t="shared" si="2"/>
        <v>0</v>
      </c>
      <c r="G21" s="85"/>
      <c r="H21" s="55">
        <f>'2015 Approved'!$P$7</f>
        <v>0</v>
      </c>
      <c r="I21" s="42">
        <f t="shared" si="3"/>
        <v>0</v>
      </c>
      <c r="J21" s="113">
        <f>'2016 Proposed'!$E$8</f>
        <v>0</v>
      </c>
      <c r="K21" s="7">
        <f t="shared" si="4"/>
        <v>0</v>
      </c>
      <c r="L21" s="85"/>
    </row>
    <row r="22" spans="1:12" x14ac:dyDescent="0.25">
      <c r="A22" s="139">
        <f t="shared" si="0"/>
        <v>16</v>
      </c>
      <c r="B22" s="85" t="s">
        <v>95</v>
      </c>
      <c r="C22" s="55">
        <f>'2015 Approved'!$H$8</f>
        <v>0</v>
      </c>
      <c r="D22" s="42">
        <f t="shared" si="1"/>
        <v>0</v>
      </c>
      <c r="E22" s="113">
        <f>'2016 Proposed'!$E$8</f>
        <v>0</v>
      </c>
      <c r="F22" s="7">
        <f t="shared" si="2"/>
        <v>0</v>
      </c>
      <c r="G22" s="85"/>
      <c r="H22" s="55">
        <f>'2015 Approved'!$P$8</f>
        <v>0</v>
      </c>
      <c r="I22" s="42">
        <f t="shared" si="3"/>
        <v>0</v>
      </c>
      <c r="J22" s="113">
        <f>'2016 Proposed'!$E$8</f>
        <v>0</v>
      </c>
      <c r="K22" s="7">
        <f t="shared" si="4"/>
        <v>0</v>
      </c>
      <c r="L22" s="85"/>
    </row>
    <row r="23" spans="1:1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12082.794314532108</v>
      </c>
      <c r="E23" s="114">
        <f>F15/$F$7</f>
        <v>0.10213999999999999</v>
      </c>
      <c r="F23" s="7">
        <f>(F10-F7)*E23</f>
        <v>12167.486798045167</v>
      </c>
      <c r="G23" s="85"/>
      <c r="H23" s="59">
        <f>I15/I7</f>
        <v>0.10213999999999999</v>
      </c>
      <c r="I23" s="42">
        <f>(I10-I7)*H23</f>
        <v>16339.530221630919</v>
      </c>
      <c r="J23" s="114">
        <f>K15/$F$7</f>
        <v>9.7231777831884761E-2</v>
      </c>
      <c r="K23" s="7">
        <f>(K10-K7)*J23</f>
        <v>11026.194015482961</v>
      </c>
      <c r="L23" s="85"/>
    </row>
    <row r="24" spans="1:12" x14ac:dyDescent="0.25">
      <c r="A24" s="139">
        <f t="shared" si="0"/>
        <v>18</v>
      </c>
      <c r="B24" s="85" t="s">
        <v>90</v>
      </c>
      <c r="C24" s="59">
        <f>'2015 Approved'!$H$11</f>
        <v>3.4954000000000001</v>
      </c>
      <c r="D24" s="42">
        <f>C24*D$8</f>
        <v>25166.880000000001</v>
      </c>
      <c r="E24" s="114">
        <f>'2016 Proposed'!$E$11</f>
        <v>2.9331</v>
      </c>
      <c r="F24" s="7">
        <f>E24*F$8</f>
        <v>21118.32</v>
      </c>
      <c r="G24" s="85"/>
      <c r="H24" s="59">
        <f>'2015 Approved'!$P$11</f>
        <v>5.67E-2</v>
      </c>
      <c r="I24" s="42">
        <f t="shared" ref="I24:I34" si="5">H24*I$8</f>
        <v>311.86417499999999</v>
      </c>
      <c r="J24" s="114">
        <f>'2016 Proposed'!$E$12</f>
        <v>1.2151000000000001</v>
      </c>
      <c r="K24" s="7">
        <f t="shared" ref="K24:K34" si="6">J24*K$8</f>
        <v>6683.3537750000005</v>
      </c>
      <c r="L24" s="85"/>
    </row>
    <row r="25" spans="1:12" x14ac:dyDescent="0.25">
      <c r="A25" s="139">
        <f t="shared" si="0"/>
        <v>19</v>
      </c>
      <c r="B25" s="85" t="s">
        <v>143</v>
      </c>
      <c r="C25" s="59">
        <v>-0.6</v>
      </c>
      <c r="D25" s="42">
        <f>C25*D$8</f>
        <v>-4320</v>
      </c>
      <c r="E25" s="114">
        <v>-0.6</v>
      </c>
      <c r="F25" s="7">
        <f>E25*F$8</f>
        <v>-4320</v>
      </c>
      <c r="G25" s="85"/>
      <c r="H25" s="59">
        <v>-0.6</v>
      </c>
      <c r="I25" s="42">
        <f t="shared" si="5"/>
        <v>-3300.15</v>
      </c>
      <c r="J25" s="114">
        <v>-0.6</v>
      </c>
      <c r="K25" s="7">
        <f t="shared" si="6"/>
        <v>-3300.15</v>
      </c>
      <c r="L25" s="85"/>
    </row>
    <row r="26" spans="1:12" x14ac:dyDescent="0.25">
      <c r="A26" s="139">
        <f t="shared" si="0"/>
        <v>20</v>
      </c>
      <c r="B26" s="85" t="s">
        <v>8</v>
      </c>
      <c r="C26" s="59">
        <f>'2015 Approved'!$H$12</f>
        <v>0.1416</v>
      </c>
      <c r="D26" s="42">
        <f t="shared" ref="D26:D34" si="7">C26*D$8</f>
        <v>1019.52</v>
      </c>
      <c r="E26" s="114">
        <f>'2016 Proposed'!$E$13</f>
        <v>0.71589999999999998</v>
      </c>
      <c r="F26" s="7">
        <f t="shared" ref="F26:F34" si="8">E26*F$8</f>
        <v>5154.4799999999996</v>
      </c>
      <c r="G26" s="85"/>
      <c r="H26" s="59">
        <f>'2015 Approved'!$P$12</f>
        <v>0.12970000000000001</v>
      </c>
      <c r="I26" s="42">
        <f t="shared" si="5"/>
        <v>713.38242500000001</v>
      </c>
      <c r="J26" s="114">
        <f>'2016 Proposed'!$E$13</f>
        <v>0.71589999999999998</v>
      </c>
      <c r="K26" s="7">
        <f t="shared" si="6"/>
        <v>3937.6289750000001</v>
      </c>
      <c r="L26" s="85"/>
    </row>
    <row r="27" spans="1:12" x14ac:dyDescent="0.25">
      <c r="A27" s="139">
        <f t="shared" si="0"/>
        <v>21</v>
      </c>
      <c r="B27" s="85" t="s">
        <v>87</v>
      </c>
      <c r="C27" s="59">
        <f>'2015 Approved'!$H$13</f>
        <v>0</v>
      </c>
      <c r="D27" s="42">
        <f t="shared" si="7"/>
        <v>0</v>
      </c>
      <c r="E27" s="114">
        <f>'2016 Proposed'!$E$14</f>
        <v>0</v>
      </c>
      <c r="F27" s="7">
        <f t="shared" si="8"/>
        <v>0</v>
      </c>
      <c r="G27" s="85"/>
      <c r="H27" s="59">
        <f>'2015 Approved'!$P$13</f>
        <v>0</v>
      </c>
      <c r="I27" s="42">
        <f t="shared" si="5"/>
        <v>0</v>
      </c>
      <c r="J27" s="114">
        <f>'2016 Proposed'!$E$14</f>
        <v>0</v>
      </c>
      <c r="K27" s="7">
        <f t="shared" si="6"/>
        <v>0</v>
      </c>
      <c r="L27" s="85"/>
    </row>
    <row r="28" spans="1:12" x14ac:dyDescent="0.25">
      <c r="A28" s="139">
        <f t="shared" si="0"/>
        <v>22</v>
      </c>
      <c r="B28" s="85" t="s">
        <v>9</v>
      </c>
      <c r="C28" s="59">
        <f>'2015 Approved'!$H$14</f>
        <v>4.8300000000000003E-2</v>
      </c>
      <c r="D28" s="42">
        <f t="shared" si="7"/>
        <v>347.76</v>
      </c>
      <c r="E28" s="114">
        <f>'2016 Proposed'!$E$15</f>
        <v>0.318</v>
      </c>
      <c r="F28" s="7">
        <f t="shared" si="8"/>
        <v>2289.6</v>
      </c>
      <c r="G28" s="85"/>
      <c r="H28" s="59">
        <f>'2015 Approved'!$P$14</f>
        <v>5.9999999999999995E-4</v>
      </c>
      <c r="I28" s="42">
        <f t="shared" si="5"/>
        <v>3.3001499999999999</v>
      </c>
      <c r="J28" s="114">
        <f>'2016 Proposed'!$E$15</f>
        <v>0.318</v>
      </c>
      <c r="K28" s="7">
        <f t="shared" si="6"/>
        <v>1749.0795000000001</v>
      </c>
      <c r="L28" s="85"/>
    </row>
    <row r="29" spans="1:12" x14ac:dyDescent="0.25">
      <c r="A29" s="139">
        <f t="shared" si="0"/>
        <v>23</v>
      </c>
      <c r="B29" s="85" t="s">
        <v>10</v>
      </c>
      <c r="C29" s="59">
        <f>'2015 Approved'!$H$15</f>
        <v>-2.0199999999999999E-2</v>
      </c>
      <c r="D29" s="42">
        <f t="shared" si="7"/>
        <v>-145.44</v>
      </c>
      <c r="E29" s="114">
        <f>'2016 Proposed'!$E$16</f>
        <v>0</v>
      </c>
      <c r="F29" s="7">
        <f t="shared" si="8"/>
        <v>0</v>
      </c>
      <c r="G29" s="85"/>
      <c r="H29" s="59">
        <f>'2015 Approved'!$P$15</f>
        <v>-4.0000000000000001E-3</v>
      </c>
      <c r="I29" s="42">
        <f t="shared" si="5"/>
        <v>-22.001000000000001</v>
      </c>
      <c r="J29" s="114">
        <f>'2016 Proposed'!$E$16</f>
        <v>0</v>
      </c>
      <c r="K29" s="7">
        <f t="shared" si="6"/>
        <v>0</v>
      </c>
      <c r="L29" s="85"/>
    </row>
    <row r="30" spans="1:12" x14ac:dyDescent="0.25">
      <c r="A30" s="139">
        <f t="shared" si="0"/>
        <v>24</v>
      </c>
      <c r="B30" s="85" t="s">
        <v>101</v>
      </c>
      <c r="C30" s="59">
        <f>'2015 Approved'!$H$16</f>
        <v>0</v>
      </c>
      <c r="D30" s="42">
        <f t="shared" si="7"/>
        <v>0</v>
      </c>
      <c r="E30" s="114">
        <f>'2016 Proposed'!$E$17</f>
        <v>0</v>
      </c>
      <c r="F30" s="7">
        <f t="shared" si="8"/>
        <v>0</v>
      </c>
      <c r="G30" s="85"/>
      <c r="H30" s="59">
        <f>'2015 Approved'!$P$16</f>
        <v>0</v>
      </c>
      <c r="I30" s="42">
        <f t="shared" si="5"/>
        <v>0</v>
      </c>
      <c r="J30" s="114">
        <f>'2016 Proposed'!$E$17</f>
        <v>0</v>
      </c>
      <c r="K30" s="7">
        <f t="shared" si="6"/>
        <v>0</v>
      </c>
      <c r="L30" s="85"/>
    </row>
    <row r="31" spans="1:12" x14ac:dyDescent="0.25">
      <c r="A31" s="139">
        <f t="shared" si="0"/>
        <v>25</v>
      </c>
      <c r="B31" s="85" t="s">
        <v>112</v>
      </c>
      <c r="C31" s="59">
        <f>'2015 Approved'!$H$17</f>
        <v>0.96260000000000001</v>
      </c>
      <c r="D31" s="42">
        <f t="shared" si="7"/>
        <v>6930.72</v>
      </c>
      <c r="E31" s="114">
        <f>'2016 Proposed'!$E$18</f>
        <v>0</v>
      </c>
      <c r="F31" s="7">
        <f t="shared" si="8"/>
        <v>0</v>
      </c>
      <c r="G31" s="85"/>
      <c r="H31" s="59">
        <f>'2015 Approved'!$P$17</f>
        <v>0.67249999999999999</v>
      </c>
      <c r="I31" s="42">
        <f t="shared" si="5"/>
        <v>3698.9181250000001</v>
      </c>
      <c r="J31" s="114">
        <f>'2016 Proposed'!$E$18</f>
        <v>0</v>
      </c>
      <c r="K31" s="7">
        <f t="shared" si="6"/>
        <v>0</v>
      </c>
      <c r="L31" s="85"/>
    </row>
    <row r="32" spans="1:12" x14ac:dyDescent="0.25">
      <c r="A32" s="139">
        <f t="shared" si="0"/>
        <v>26</v>
      </c>
      <c r="B32" s="85" t="s">
        <v>102</v>
      </c>
      <c r="C32" s="59">
        <f>'2015 Approved'!$H$18</f>
        <v>0</v>
      </c>
      <c r="D32" s="42">
        <f t="shared" si="7"/>
        <v>0</v>
      </c>
      <c r="E32" s="114">
        <f>'2016 Proposed'!$E$19</f>
        <v>0.66500000000000004</v>
      </c>
      <c r="F32" s="7">
        <f t="shared" si="8"/>
        <v>4788</v>
      </c>
      <c r="G32" s="85"/>
      <c r="H32" s="59">
        <f>'2015 Approved'!$P$18</f>
        <v>0</v>
      </c>
      <c r="I32" s="42">
        <f t="shared" si="5"/>
        <v>0</v>
      </c>
      <c r="J32" s="114">
        <f>'2016 Proposed'!$E$19</f>
        <v>0.66500000000000004</v>
      </c>
      <c r="K32" s="7">
        <f t="shared" si="6"/>
        <v>3657.6662500000002</v>
      </c>
      <c r="L32" s="85"/>
    </row>
    <row r="33" spans="1:12" x14ac:dyDescent="0.25">
      <c r="A33" s="139">
        <f t="shared" si="0"/>
        <v>27</v>
      </c>
      <c r="B33" s="85" t="s">
        <v>94</v>
      </c>
      <c r="C33" s="59">
        <f>'2015 Approved'!$H$19</f>
        <v>0</v>
      </c>
      <c r="D33" s="42">
        <f t="shared" si="7"/>
        <v>0</v>
      </c>
      <c r="E33" s="114">
        <f>'2016 Proposed'!$E$20</f>
        <v>0.316</v>
      </c>
      <c r="F33" s="7">
        <f t="shared" si="8"/>
        <v>2275.1999999999998</v>
      </c>
      <c r="G33" s="85"/>
      <c r="H33" s="59">
        <f>'2015 Approved'!$P$19</f>
        <v>0</v>
      </c>
      <c r="I33" s="42">
        <f t="shared" si="5"/>
        <v>0</v>
      </c>
      <c r="J33" s="114">
        <f>'2016 Proposed'!$E$20</f>
        <v>0.316</v>
      </c>
      <c r="K33" s="7">
        <f t="shared" si="6"/>
        <v>1738.079</v>
      </c>
      <c r="L33" s="85"/>
    </row>
    <row r="34" spans="1:12" x14ac:dyDescent="0.25">
      <c r="A34" s="139">
        <f t="shared" si="0"/>
        <v>28</v>
      </c>
      <c r="B34" s="85" t="s">
        <v>104</v>
      </c>
      <c r="C34" s="59">
        <f>'2015 Approved'!$H$20</f>
        <v>0</v>
      </c>
      <c r="D34" s="42">
        <f t="shared" si="7"/>
        <v>0</v>
      </c>
      <c r="E34" s="114">
        <f>'2016 Proposed'!$E$21</f>
        <v>-0.93930000000000002</v>
      </c>
      <c r="F34" s="7">
        <f t="shared" si="8"/>
        <v>-6762.96</v>
      </c>
      <c r="G34" s="85"/>
      <c r="H34" s="59">
        <f>'2015 Approved'!$P$20</f>
        <v>0</v>
      </c>
      <c r="I34" s="42">
        <f t="shared" si="5"/>
        <v>0</v>
      </c>
      <c r="J34" s="114">
        <f>'2016 Proposed'!$E$21</f>
        <v>-0.93930000000000002</v>
      </c>
      <c r="K34" s="7">
        <f t="shared" si="6"/>
        <v>-5166.3848250000001</v>
      </c>
      <c r="L34" s="85"/>
    </row>
    <row r="35" spans="1:12" x14ac:dyDescent="0.25">
      <c r="A35" s="142">
        <f t="shared" si="0"/>
        <v>29</v>
      </c>
      <c r="B35" s="143" t="s">
        <v>26</v>
      </c>
      <c r="C35" s="126"/>
      <c r="D35" s="96">
        <f>SUM(D18:D34)</f>
        <v>42467.624314532106</v>
      </c>
      <c r="E35" s="110"/>
      <c r="F35" s="95">
        <f>SUM(F18:F34)</f>
        <v>38194.486798045167</v>
      </c>
      <c r="G35" s="127">
        <f>F35-D35</f>
        <v>-4273.1375164869387</v>
      </c>
      <c r="H35" s="126"/>
      <c r="I35" s="96">
        <f>SUM(I18:I34)</f>
        <v>21592.274096630914</v>
      </c>
      <c r="J35" s="110"/>
      <c r="K35" s="95">
        <f>SUM(K18:K34)</f>
        <v>21809.826690482962</v>
      </c>
      <c r="L35" s="127">
        <f>K35-I35</f>
        <v>217.55259385204772</v>
      </c>
    </row>
    <row r="36" spans="1:12" x14ac:dyDescent="0.25">
      <c r="A36" s="144">
        <f t="shared" si="0"/>
        <v>30</v>
      </c>
      <c r="B36" s="145" t="s">
        <v>118</v>
      </c>
      <c r="C36" s="128"/>
      <c r="D36" s="120"/>
      <c r="E36" s="111"/>
      <c r="F36" s="97"/>
      <c r="G36" s="129">
        <f>G35/D35</f>
        <v>-0.10062106335024497</v>
      </c>
      <c r="H36" s="128"/>
      <c r="I36" s="120"/>
      <c r="J36" s="111"/>
      <c r="K36" s="97"/>
      <c r="L36" s="129">
        <f>L35/I35</f>
        <v>1.0075483150984679E-2</v>
      </c>
    </row>
    <row r="37" spans="1:12" x14ac:dyDescent="0.25">
      <c r="A37" s="146">
        <f t="shared" si="0"/>
        <v>31</v>
      </c>
      <c r="B37" s="131" t="s">
        <v>29</v>
      </c>
      <c r="C37" s="130"/>
      <c r="D37" s="121"/>
      <c r="E37" s="112"/>
      <c r="F37" s="94"/>
      <c r="G37" s="131"/>
      <c r="H37" s="130"/>
      <c r="I37" s="121"/>
      <c r="J37" s="112"/>
      <c r="K37" s="94"/>
      <c r="L37" s="131"/>
    </row>
    <row r="38" spans="1:12" x14ac:dyDescent="0.25">
      <c r="A38" s="139">
        <f t="shared" si="0"/>
        <v>32</v>
      </c>
      <c r="B38" s="85" t="s">
        <v>68</v>
      </c>
      <c r="C38" s="59">
        <f>'2015 Approved'!$H$26</f>
        <v>2.927</v>
      </c>
      <c r="D38" s="42">
        <f>C38*D$8</f>
        <v>21074.400000000001</v>
      </c>
      <c r="E38" s="114">
        <f>'2016 Proposed'!$E$28</f>
        <v>2.9468999999999999</v>
      </c>
      <c r="F38" s="7">
        <f>E38*F$8</f>
        <v>21217.68</v>
      </c>
      <c r="G38" s="85"/>
      <c r="H38" s="59">
        <f>'2015 Approved'!$P$26</f>
        <v>3.0907</v>
      </c>
      <c r="I38" s="42">
        <f>H38*I$8</f>
        <v>16999.622674999999</v>
      </c>
      <c r="J38" s="114">
        <f>'2016 Proposed'!$E$28</f>
        <v>2.9468999999999999</v>
      </c>
      <c r="K38" s="7">
        <f>J38*K$8</f>
        <v>16208.686725</v>
      </c>
      <c r="L38" s="85"/>
    </row>
    <row r="39" spans="1:12" x14ac:dyDescent="0.25">
      <c r="A39" s="139">
        <f t="shared" si="0"/>
        <v>33</v>
      </c>
      <c r="B39" s="85" t="s">
        <v>69</v>
      </c>
      <c r="C39" s="59">
        <f>'2015 Approved'!$H$27</f>
        <v>2.0684999999999998</v>
      </c>
      <c r="D39" s="42">
        <f>C39*D$8</f>
        <v>14893.199999999999</v>
      </c>
      <c r="E39" s="114">
        <f>'2016 Proposed'!$E$29</f>
        <v>2.2082999999999999</v>
      </c>
      <c r="F39" s="7">
        <f>E39*F$8</f>
        <v>15899.76</v>
      </c>
      <c r="G39" s="85"/>
      <c r="H39" s="59">
        <f>'2015 Approved'!$P$27</f>
        <v>2.2930000000000001</v>
      </c>
      <c r="I39" s="42">
        <f>H39*I$8</f>
        <v>12612.073250000001</v>
      </c>
      <c r="J39" s="114">
        <f>'2016 Proposed'!$E$29</f>
        <v>2.2082999999999999</v>
      </c>
      <c r="K39" s="7">
        <f>J39*K$8</f>
        <v>12146.202074999999</v>
      </c>
      <c r="L39" s="85"/>
    </row>
    <row r="40" spans="1:12" x14ac:dyDescent="0.25">
      <c r="A40" s="142">
        <f t="shared" si="0"/>
        <v>34</v>
      </c>
      <c r="B40" s="143" t="s">
        <v>26</v>
      </c>
      <c r="C40" s="126"/>
      <c r="D40" s="96">
        <f>SUM(D38:D39)</f>
        <v>35967.599999999999</v>
      </c>
      <c r="E40" s="110"/>
      <c r="F40" s="95">
        <f>SUM(F38:F39)</f>
        <v>37117.440000000002</v>
      </c>
      <c r="G40" s="127">
        <f>F40-D40</f>
        <v>1149.8400000000038</v>
      </c>
      <c r="H40" s="126"/>
      <c r="I40" s="96">
        <f>SUM(I38:I39)</f>
        <v>29611.695925</v>
      </c>
      <c r="J40" s="110"/>
      <c r="K40" s="95">
        <f>SUM(K38:K39)</f>
        <v>28354.888800000001</v>
      </c>
      <c r="L40" s="127">
        <f>K40-I40</f>
        <v>-1256.8071249999994</v>
      </c>
    </row>
    <row r="41" spans="1:12" x14ac:dyDescent="0.25">
      <c r="A41" s="144">
        <f t="shared" si="0"/>
        <v>35</v>
      </c>
      <c r="B41" s="145" t="s">
        <v>118</v>
      </c>
      <c r="C41" s="128"/>
      <c r="D41" s="120"/>
      <c r="E41" s="111"/>
      <c r="F41" s="97"/>
      <c r="G41" s="129">
        <f>G40/D40</f>
        <v>3.1968771894705345E-2</v>
      </c>
      <c r="H41" s="128"/>
      <c r="I41" s="120"/>
      <c r="J41" s="111"/>
      <c r="K41" s="97"/>
      <c r="L41" s="129">
        <f>L40/I40</f>
        <v>-4.2442929583743502E-2</v>
      </c>
    </row>
    <row r="42" spans="1:12" x14ac:dyDescent="0.25">
      <c r="A42" s="146">
        <f t="shared" si="0"/>
        <v>36</v>
      </c>
      <c r="B42" s="131" t="s">
        <v>30</v>
      </c>
      <c r="C42" s="130"/>
      <c r="D42" s="121"/>
      <c r="E42" s="112"/>
      <c r="F42" s="94"/>
      <c r="G42" s="131"/>
      <c r="H42" s="130"/>
      <c r="I42" s="121"/>
      <c r="J42" s="112"/>
      <c r="K42" s="94"/>
      <c r="L42" s="131"/>
    </row>
    <row r="43" spans="1:12" x14ac:dyDescent="0.25">
      <c r="A43" s="139">
        <f t="shared" si="0"/>
        <v>37</v>
      </c>
      <c r="B43" s="85" t="s">
        <v>66</v>
      </c>
      <c r="C43" s="59">
        <f>WMSR+RRRP</f>
        <v>5.7000000000000002E-3</v>
      </c>
      <c r="D43" s="42">
        <f>C43*D10</f>
        <v>16428.716608001458</v>
      </c>
      <c r="E43" s="114">
        <f>WMSR+RRRP</f>
        <v>5.7000000000000002E-3</v>
      </c>
      <c r="F43" s="7">
        <f>E43*F10</f>
        <v>16433.442936139549</v>
      </c>
      <c r="G43" s="85"/>
      <c r="H43" s="59">
        <f>WMSR+RRRP</f>
        <v>5.7000000000000002E-3</v>
      </c>
      <c r="I43" s="42">
        <f>H43*I10</f>
        <v>15909.205801264887</v>
      </c>
      <c r="J43" s="114">
        <f>WMSR+RRRP</f>
        <v>5.7000000000000002E-3</v>
      </c>
      <c r="K43" s="7">
        <f>J43*K10</f>
        <v>15643.752423924776</v>
      </c>
      <c r="L43" s="85"/>
    </row>
    <row r="44" spans="1:12" x14ac:dyDescent="0.25">
      <c r="A44" s="139">
        <f t="shared" si="0"/>
        <v>38</v>
      </c>
      <c r="B44" s="85" t="s">
        <v>67</v>
      </c>
      <c r="C44" s="59">
        <f>SSS</f>
        <v>0.25</v>
      </c>
      <c r="D44" s="42">
        <f>C44</f>
        <v>0.25</v>
      </c>
      <c r="E44" s="114">
        <f>SSS</f>
        <v>0.25</v>
      </c>
      <c r="F44" s="7">
        <f>E44</f>
        <v>0.25</v>
      </c>
      <c r="G44" s="85"/>
      <c r="H44" s="59">
        <f>SSS</f>
        <v>0.25</v>
      </c>
      <c r="I44" s="42">
        <f>H44</f>
        <v>0.25</v>
      </c>
      <c r="J44" s="114">
        <f>SSS</f>
        <v>0.25</v>
      </c>
      <c r="K44" s="7">
        <f>J44</f>
        <v>0.25</v>
      </c>
      <c r="L44" s="85"/>
    </row>
    <row r="45" spans="1:12" x14ac:dyDescent="0.25">
      <c r="A45" s="139">
        <f t="shared" si="0"/>
        <v>39</v>
      </c>
      <c r="B45" s="85" t="s">
        <v>11</v>
      </c>
      <c r="C45" s="59">
        <v>7.0000000000000001E-3</v>
      </c>
      <c r="D45" s="42">
        <f>C45*D7</f>
        <v>19347.542085749268</v>
      </c>
      <c r="E45" s="114">
        <v>7.0000000000000001E-3</v>
      </c>
      <c r="F45" s="7">
        <f>E45*F7</f>
        <v>19347.542085749268</v>
      </c>
      <c r="G45" s="85"/>
      <c r="H45" s="59">
        <v>7.0000000000000001E-3</v>
      </c>
      <c r="I45" s="42">
        <f>H45*I7</f>
        <v>18417.817835075515</v>
      </c>
      <c r="J45" s="114">
        <v>7.0000000000000001E-3</v>
      </c>
      <c r="K45" s="7">
        <f>J45*K7</f>
        <v>18417.817835075515</v>
      </c>
      <c r="L45" s="85"/>
    </row>
    <row r="46" spans="1:12" x14ac:dyDescent="0.25">
      <c r="A46" s="139">
        <f t="shared" si="0"/>
        <v>40</v>
      </c>
      <c r="B46" s="85" t="s">
        <v>31</v>
      </c>
      <c r="C46" s="86">
        <v>0</v>
      </c>
      <c r="D46" s="42"/>
      <c r="E46" s="106">
        <v>0</v>
      </c>
      <c r="F46" s="7"/>
      <c r="G46" s="85"/>
      <c r="H46" s="86">
        <v>0</v>
      </c>
      <c r="I46" s="42"/>
      <c r="J46" s="106">
        <v>0</v>
      </c>
      <c r="K46" s="7"/>
      <c r="L46" s="85"/>
    </row>
    <row r="47" spans="1:12" x14ac:dyDescent="0.25">
      <c r="A47" s="142">
        <f t="shared" si="0"/>
        <v>41</v>
      </c>
      <c r="B47" s="143" t="s">
        <v>12</v>
      </c>
      <c r="C47" s="126"/>
      <c r="D47" s="96">
        <f>SUM(D43:D46)</f>
        <v>35776.508693750729</v>
      </c>
      <c r="E47" s="110"/>
      <c r="F47" s="95">
        <f>SUM(F43:F46)</f>
        <v>35781.235021888817</v>
      </c>
      <c r="G47" s="127">
        <f>F47-D47</f>
        <v>4.7263281380874105</v>
      </c>
      <c r="H47" s="126"/>
      <c r="I47" s="96">
        <f>SUM(I43:I46)</f>
        <v>34327.273636340404</v>
      </c>
      <c r="J47" s="110"/>
      <c r="K47" s="95">
        <f>SUM(K43:K46)</f>
        <v>34061.820259000291</v>
      </c>
      <c r="L47" s="127">
        <f>K47-I47</f>
        <v>-265.45337734011264</v>
      </c>
    </row>
    <row r="48" spans="1:12" x14ac:dyDescent="0.25">
      <c r="A48" s="144">
        <f t="shared" si="0"/>
        <v>42</v>
      </c>
      <c r="B48" s="145" t="s">
        <v>118</v>
      </c>
      <c r="C48" s="128"/>
      <c r="D48" s="120"/>
      <c r="E48" s="111"/>
      <c r="F48" s="97"/>
      <c r="G48" s="129">
        <f>G47/D47</f>
        <v>1.3210702527027135E-4</v>
      </c>
      <c r="H48" s="128"/>
      <c r="I48" s="120"/>
      <c r="J48" s="111"/>
      <c r="K48" s="97"/>
      <c r="L48" s="129">
        <f>L47/I47</f>
        <v>-7.7330166139116764E-3</v>
      </c>
    </row>
    <row r="49" spans="1:12" x14ac:dyDescent="0.25">
      <c r="A49" s="147">
        <f t="shared" si="0"/>
        <v>43</v>
      </c>
      <c r="B49" s="133" t="s">
        <v>129</v>
      </c>
      <c r="C49" s="132"/>
      <c r="D49" s="122">
        <f>D15+D35+D40+D47</f>
        <v>396520.01138520136</v>
      </c>
      <c r="E49" s="115"/>
      <c r="F49" s="102">
        <f>F15+F35+F40+F47</f>
        <v>393401.44019685255</v>
      </c>
      <c r="G49" s="133"/>
      <c r="H49" s="132"/>
      <c r="I49" s="122">
        <f>I15+I35+I40+I47</f>
        <v>354273.51704005891</v>
      </c>
      <c r="J49" s="115"/>
      <c r="K49" s="102">
        <f>K15+K35+K40+K47</f>
        <v>352968.80913157086</v>
      </c>
      <c r="L49" s="133"/>
    </row>
    <row r="50" spans="1:12" hidden="1" x14ac:dyDescent="0.25">
      <c r="A50" s="148">
        <f t="shared" si="0"/>
        <v>44</v>
      </c>
      <c r="B50" s="134" t="s">
        <v>13</v>
      </c>
      <c r="C50" s="87"/>
      <c r="D50" s="43">
        <f>D49*0.13</f>
        <v>51547.601480076177</v>
      </c>
      <c r="E50" s="116"/>
      <c r="F50" s="99">
        <f>F49*0.13</f>
        <v>51142.187225590831</v>
      </c>
      <c r="G50" s="134"/>
      <c r="H50" s="87"/>
      <c r="I50" s="43">
        <f>I49*0.13</f>
        <v>46055.557215207657</v>
      </c>
      <c r="J50" s="116"/>
      <c r="K50" s="99">
        <f>K49*0.13</f>
        <v>45885.945187104211</v>
      </c>
      <c r="L50" s="134"/>
    </row>
    <row r="51" spans="1:12" hidden="1" x14ac:dyDescent="0.25">
      <c r="A51" s="141">
        <f t="shared" si="0"/>
        <v>45</v>
      </c>
      <c r="B51" s="125" t="s">
        <v>14</v>
      </c>
      <c r="C51" s="88"/>
      <c r="D51" s="69">
        <f>SUM(D49:D50)*-0.1</f>
        <v>-44806.761286527762</v>
      </c>
      <c r="E51" s="117"/>
      <c r="F51" s="70">
        <f>SUM(F49:F50)*-0.1</f>
        <v>-44454.362742244339</v>
      </c>
      <c r="G51" s="125"/>
      <c r="H51" s="88"/>
      <c r="I51" s="69">
        <f>SUM(I49:I50)*-0.1</f>
        <v>-40032.907425526661</v>
      </c>
      <c r="J51" s="117"/>
      <c r="K51" s="70">
        <f>SUM(K49:K50)*-0.1</f>
        <v>-39885.475431867511</v>
      </c>
      <c r="L51" s="125"/>
    </row>
    <row r="52" spans="1:12" hidden="1" x14ac:dyDescent="0.25">
      <c r="A52" s="149">
        <f t="shared" si="0"/>
        <v>46</v>
      </c>
      <c r="B52" s="150" t="s">
        <v>15</v>
      </c>
      <c r="C52" s="135"/>
      <c r="D52" s="104">
        <f>SUM(D49:D51)</f>
        <v>403260.85157874983</v>
      </c>
      <c r="E52" s="118"/>
      <c r="F52" s="103">
        <f>SUM(F49:F51)</f>
        <v>400089.26468019903</v>
      </c>
      <c r="G52" s="136">
        <f>F52-D52</f>
        <v>-3171.5868985507987</v>
      </c>
      <c r="H52" s="135"/>
      <c r="I52" s="104">
        <f>SUM(I49:I51)</f>
        <v>360296.16682973993</v>
      </c>
      <c r="J52" s="118"/>
      <c r="K52" s="103">
        <f>SUM(K49:K51)</f>
        <v>358969.27888680756</v>
      </c>
      <c r="L52" s="136">
        <f>K52-I52</f>
        <v>-1326.8879429323715</v>
      </c>
    </row>
    <row r="53" spans="1:12" hidden="1" x14ac:dyDescent="0.25">
      <c r="A53" s="151">
        <f t="shared" si="0"/>
        <v>47</v>
      </c>
      <c r="B53" s="152" t="s">
        <v>118</v>
      </c>
      <c r="C53" s="137"/>
      <c r="D53" s="123"/>
      <c r="E53" s="119"/>
      <c r="F53" s="105"/>
      <c r="G53" s="138">
        <f>G52/D52</f>
        <v>-7.8648519590586718E-3</v>
      </c>
      <c r="H53" s="137"/>
      <c r="I53" s="123"/>
      <c r="J53" s="119"/>
      <c r="K53" s="105"/>
      <c r="L53" s="138">
        <f>L52/I52</f>
        <v>-3.6827700794257968E-3</v>
      </c>
    </row>
    <row r="54" spans="1:12" s="197" customFormat="1" ht="22.5" customHeight="1" x14ac:dyDescent="0.25">
      <c r="A54" s="302">
        <f>A53+1</f>
        <v>48</v>
      </c>
      <c r="B54" s="303" t="s">
        <v>16</v>
      </c>
      <c r="C54" s="304"/>
      <c r="D54" s="305"/>
      <c r="E54" s="306"/>
      <c r="F54" s="307"/>
      <c r="G54" s="303"/>
      <c r="H54" s="304"/>
      <c r="I54" s="305"/>
      <c r="J54" s="306"/>
      <c r="K54" s="307"/>
      <c r="L54" s="303"/>
    </row>
    <row r="55" spans="1:12" x14ac:dyDescent="0.25">
      <c r="A55" s="148">
        <f>A54+1</f>
        <v>49</v>
      </c>
      <c r="B55" s="134" t="s">
        <v>127</v>
      </c>
      <c r="C55" s="202">
        <f>'2015 Approved'!$H$23</f>
        <v>0</v>
      </c>
      <c r="D55" s="43">
        <f>C55*D8</f>
        <v>0</v>
      </c>
      <c r="E55" s="203">
        <f>C55</f>
        <v>0</v>
      </c>
      <c r="F55" s="99">
        <f>E55*F8</f>
        <v>0</v>
      </c>
      <c r="G55" s="134"/>
      <c r="H55" s="59">
        <f>'2015 Approved'!$P$23</f>
        <v>0</v>
      </c>
      <c r="I55" s="43">
        <f>H55*I$8</f>
        <v>0</v>
      </c>
      <c r="J55" s="203">
        <f>H55</f>
        <v>0</v>
      </c>
      <c r="K55" s="7">
        <f>J55*K$8</f>
        <v>0</v>
      </c>
      <c r="L55" s="134"/>
    </row>
    <row r="56" spans="1:12" x14ac:dyDescent="0.25">
      <c r="A56" s="148">
        <f>A55+1</f>
        <v>50</v>
      </c>
      <c r="B56" s="85" t="s">
        <v>128</v>
      </c>
      <c r="C56" s="59">
        <f>'2015 Approved'!$H$24</f>
        <v>0.37769999999999998</v>
      </c>
      <c r="D56" s="42">
        <f>C56*D8</f>
        <v>2719.44</v>
      </c>
      <c r="E56" s="203">
        <f>'2016 Proposed'!$E$26</f>
        <v>-8.2699999999999996E-2</v>
      </c>
      <c r="F56" s="7">
        <f>E56*F8</f>
        <v>-595.43999999999994</v>
      </c>
      <c r="G56" s="85"/>
      <c r="H56" s="59">
        <f>'2015 Approved'!$P$24</f>
        <v>0</v>
      </c>
      <c r="I56" s="43">
        <f>H56*I$8</f>
        <v>0</v>
      </c>
      <c r="J56" s="114">
        <f>'2016 Proposed'!$E$26</f>
        <v>-8.2699999999999996E-2</v>
      </c>
      <c r="K56" s="7">
        <f>J56*K$8</f>
        <v>-454.87067499999995</v>
      </c>
      <c r="L56" s="85"/>
    </row>
    <row r="57" spans="1:12" x14ac:dyDescent="0.25">
      <c r="A57" s="139">
        <f t="shared" si="0"/>
        <v>51</v>
      </c>
      <c r="B57" s="85" t="s">
        <v>17</v>
      </c>
      <c r="C57" s="86"/>
      <c r="D57" s="42">
        <f>D49+SUM(D55:D56)</f>
        <v>399239.45138520136</v>
      </c>
      <c r="E57" s="106"/>
      <c r="F57" s="7">
        <f>F49+SUM(F55:F56)</f>
        <v>392806.00019685255</v>
      </c>
      <c r="G57" s="85"/>
      <c r="H57" s="86"/>
      <c r="I57" s="42">
        <f>I49+I56+I55</f>
        <v>354273.51704005891</v>
      </c>
      <c r="J57" s="106"/>
      <c r="K57" s="7">
        <f>K49+K56+K55</f>
        <v>352513.93845657085</v>
      </c>
      <c r="L57" s="85"/>
    </row>
    <row r="58" spans="1:12" x14ac:dyDescent="0.25">
      <c r="A58" s="139">
        <f t="shared" si="0"/>
        <v>52</v>
      </c>
      <c r="B58" s="85" t="s">
        <v>13</v>
      </c>
      <c r="C58" s="86"/>
      <c r="D58" s="42">
        <f>D57*0.13</f>
        <v>51901.128680076181</v>
      </c>
      <c r="E58" s="106"/>
      <c r="F58" s="7">
        <f>F57*0.13</f>
        <v>51064.78002559083</v>
      </c>
      <c r="G58" s="85"/>
      <c r="H58" s="86"/>
      <c r="I58" s="42">
        <f>I57*0.13</f>
        <v>46055.557215207657</v>
      </c>
      <c r="J58" s="106"/>
      <c r="K58" s="7">
        <f>K57*0.13</f>
        <v>45826.811999354213</v>
      </c>
      <c r="L58" s="85"/>
    </row>
    <row r="59" spans="1:12" x14ac:dyDescent="0.25">
      <c r="A59" s="139">
        <f t="shared" si="0"/>
        <v>53</v>
      </c>
      <c r="B59" s="85" t="s">
        <v>18</v>
      </c>
      <c r="C59" s="86"/>
      <c r="D59" s="42">
        <f>SUM(D57:D58)*-0.1</f>
        <v>-45114.058006527754</v>
      </c>
      <c r="E59" s="106"/>
      <c r="F59" s="7">
        <f>SUM(F57:F58)*-0.1</f>
        <v>-44387.078022244343</v>
      </c>
      <c r="G59" s="85"/>
      <c r="H59" s="86"/>
      <c r="I59" s="42">
        <f>SUM(I57:I58)*-0.1</f>
        <v>-40032.907425526661</v>
      </c>
      <c r="J59" s="106"/>
      <c r="K59" s="7">
        <f>SUM(K57:K58)*-0.1</f>
        <v>-39834.075045592508</v>
      </c>
      <c r="L59" s="85"/>
    </row>
    <row r="60" spans="1:12" x14ac:dyDescent="0.25">
      <c r="A60" s="177">
        <f t="shared" si="0"/>
        <v>54</v>
      </c>
      <c r="B60" s="178" t="s">
        <v>15</v>
      </c>
      <c r="C60" s="179"/>
      <c r="D60" s="180">
        <f>SUM(D57:D59)</f>
        <v>406026.52205874975</v>
      </c>
      <c r="E60" s="181"/>
      <c r="F60" s="182">
        <f>SUM(F57:F59)</f>
        <v>399483.70220019907</v>
      </c>
      <c r="G60" s="183">
        <f>F60-D60</f>
        <v>-6542.8198585506761</v>
      </c>
      <c r="H60" s="179"/>
      <c r="I60" s="180">
        <f>SUM(I57:I59)</f>
        <v>360296.16682973993</v>
      </c>
      <c r="J60" s="181"/>
      <c r="K60" s="182">
        <f>SUM(K57:K59)</f>
        <v>358506.67541033257</v>
      </c>
      <c r="L60" s="183">
        <f>K60-I60</f>
        <v>-1789.4914194073644</v>
      </c>
    </row>
    <row r="61" spans="1:12" ht="15.75" thickBot="1" x14ac:dyDescent="0.3">
      <c r="A61" s="184">
        <f>A60+1</f>
        <v>55</v>
      </c>
      <c r="B61" s="185" t="s">
        <v>118</v>
      </c>
      <c r="C61" s="186"/>
      <c r="D61" s="187"/>
      <c r="E61" s="188"/>
      <c r="F61" s="189"/>
      <c r="G61" s="190">
        <f>G60/D60</f>
        <v>-1.6114267179827151E-2</v>
      </c>
      <c r="H61" s="186"/>
      <c r="I61" s="187"/>
      <c r="J61" s="188"/>
      <c r="K61" s="189"/>
      <c r="L61" s="190">
        <f>L60/I60</f>
        <v>-4.9667234463057694E-3</v>
      </c>
    </row>
    <row r="62" spans="1:12" ht="15.75" thickBot="1" x14ac:dyDescent="0.3"/>
    <row r="63" spans="1:12" x14ac:dyDescent="0.25">
      <c r="A63" s="153">
        <f>A61+1</f>
        <v>56</v>
      </c>
      <c r="B63" s="154" t="s">
        <v>120</v>
      </c>
      <c r="C63" s="153" t="s">
        <v>2</v>
      </c>
      <c r="D63" s="198" t="s">
        <v>3</v>
      </c>
      <c r="E63" s="199" t="s">
        <v>2</v>
      </c>
      <c r="F63" s="200" t="s">
        <v>3</v>
      </c>
      <c r="G63" s="201" t="s">
        <v>103</v>
      </c>
      <c r="H63" s="153" t="s">
        <v>2</v>
      </c>
      <c r="I63" s="198" t="s">
        <v>3</v>
      </c>
      <c r="J63" s="199" t="s">
        <v>2</v>
      </c>
      <c r="K63" s="200" t="s">
        <v>3</v>
      </c>
      <c r="L63" s="201" t="s">
        <v>103</v>
      </c>
    </row>
    <row r="64" spans="1:12" x14ac:dyDescent="0.25">
      <c r="A64" s="139">
        <f>A63+1</f>
        <v>57</v>
      </c>
      <c r="B64" s="85" t="s">
        <v>119</v>
      </c>
      <c r="C64" s="86"/>
      <c r="D64" s="42">
        <f>SUM(D18:D21)+D23+D24+D34</f>
        <v>38635.064314532108</v>
      </c>
      <c r="E64" s="106"/>
      <c r="F64" s="7">
        <f>SUM(F18:F21)+F23+F24+F34</f>
        <v>28007.206798045168</v>
      </c>
      <c r="G64" s="56">
        <f>F64-D64</f>
        <v>-10627.85751648694</v>
      </c>
      <c r="H64" s="86"/>
      <c r="I64" s="42">
        <f>SUM(I18:I21)+I23+I24+I34</f>
        <v>20498.824396630916</v>
      </c>
      <c r="J64" s="106"/>
      <c r="K64" s="7">
        <f>SUM(K18:K21)+K23+K24+K34</f>
        <v>14027.52296548296</v>
      </c>
      <c r="L64" s="56">
        <f>K64-I64</f>
        <v>-6471.3014311479565</v>
      </c>
    </row>
    <row r="65" spans="1:12" x14ac:dyDescent="0.25">
      <c r="A65" s="164">
        <f t="shared" ref="A65:A67" si="9">A64+1</f>
        <v>58</v>
      </c>
      <c r="B65" s="165" t="s">
        <v>118</v>
      </c>
      <c r="C65" s="166"/>
      <c r="D65" s="167"/>
      <c r="E65" s="168"/>
      <c r="F65" s="93"/>
      <c r="G65" s="169">
        <f>G64/SUM(D64:D67)</f>
        <v>-0.22715103987842267</v>
      </c>
      <c r="H65" s="166"/>
      <c r="I65" s="167"/>
      <c r="J65" s="168"/>
      <c r="K65" s="93"/>
      <c r="L65" s="169">
        <f>L64/SUM(I64:I67)</f>
        <v>-0.25997072065085941</v>
      </c>
    </row>
    <row r="66" spans="1:12" x14ac:dyDescent="0.25">
      <c r="A66" s="139">
        <f t="shared" si="9"/>
        <v>59</v>
      </c>
      <c r="B66" s="85" t="s">
        <v>121</v>
      </c>
      <c r="C66" s="86"/>
      <c r="D66" s="42">
        <f>D22+SUM(D26:D33)</f>
        <v>8152.56</v>
      </c>
      <c r="E66" s="106"/>
      <c r="F66" s="7">
        <f>F22+SUM(F26:F33)</f>
        <v>14507.279999999999</v>
      </c>
      <c r="G66" s="56">
        <f>F66-D66</f>
        <v>6354.7199999999984</v>
      </c>
      <c r="H66" s="86"/>
      <c r="I66" s="42">
        <f>I22+SUM(I26:I33)</f>
        <v>4393.5997000000007</v>
      </c>
      <c r="J66" s="106"/>
      <c r="K66" s="7">
        <f>K22+SUM(K26:K33)</f>
        <v>11082.453725000001</v>
      </c>
      <c r="L66" s="56">
        <f>K66-I66</f>
        <v>6688.8540250000005</v>
      </c>
    </row>
    <row r="67" spans="1:12" ht="15.75" thickBot="1" x14ac:dyDescent="0.3">
      <c r="A67" s="170">
        <f t="shared" si="9"/>
        <v>60</v>
      </c>
      <c r="B67" s="171" t="s">
        <v>118</v>
      </c>
      <c r="C67" s="172"/>
      <c r="D67" s="173"/>
      <c r="E67" s="174"/>
      <c r="F67" s="175"/>
      <c r="G67" s="176">
        <f>G66/SUM(D64:D67)</f>
        <v>0.13582053145678183</v>
      </c>
      <c r="H67" s="172"/>
      <c r="I67" s="173"/>
      <c r="J67" s="174"/>
      <c r="K67" s="175"/>
      <c r="L67" s="176">
        <f>L66/SUM(I64:I67)</f>
        <v>0.26871043169738174</v>
      </c>
    </row>
    <row r="69" spans="1:12" x14ac:dyDescent="0.25">
      <c r="F69" s="35">
        <f>F18+F24+F25</f>
        <v>18282.68</v>
      </c>
      <c r="K69" s="35">
        <f>K18+K24+K25</f>
        <v>4867.5637750000005</v>
      </c>
    </row>
    <row r="70" spans="1:12" x14ac:dyDescent="0.25">
      <c r="F70" s="35">
        <f>F69*12</f>
        <v>219392.16</v>
      </c>
      <c r="K70" s="35">
        <f>K69*12</f>
        <v>58410.765300000006</v>
      </c>
    </row>
    <row r="71" spans="1:12" x14ac:dyDescent="0.25">
      <c r="K71" s="35">
        <f>K70+F70</f>
        <v>277802.9253</v>
      </c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5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22" width="9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204">
        <v>0</v>
      </c>
      <c r="E8" s="106"/>
      <c r="F8" s="81">
        <f>D8</f>
        <v>0</v>
      </c>
      <c r="G8" s="85"/>
      <c r="H8" s="86"/>
      <c r="I8" s="204">
        <v>0</v>
      </c>
      <c r="J8" s="106"/>
      <c r="K8" s="81">
        <f>I8</f>
        <v>0</v>
      </c>
      <c r="L8" s="85"/>
      <c r="M8" s="86"/>
      <c r="N8" s="204"/>
      <c r="O8" s="106"/>
      <c r="P8" s="81">
        <f>N8</f>
        <v>0</v>
      </c>
      <c r="Q8" s="85"/>
      <c r="R8" s="86"/>
      <c r="S8" s="204"/>
      <c r="T8" s="106"/>
      <c r="U8" s="8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/>
      <c r="N12" s="42"/>
      <c r="O12" s="108"/>
      <c r="P12" s="7"/>
      <c r="Q12" s="85"/>
      <c r="R12" s="84"/>
      <c r="S12" s="42"/>
      <c r="T12" s="108"/>
      <c r="U12" s="7"/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/>
      <c r="N13" s="42"/>
      <c r="O13" s="108"/>
      <c r="P13" s="7"/>
      <c r="Q13" s="85"/>
      <c r="R13" s="84"/>
      <c r="S13" s="42"/>
      <c r="T13" s="108"/>
      <c r="U13" s="7"/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/>
      <c r="N14" s="69"/>
      <c r="O14" s="109"/>
      <c r="P14" s="70"/>
      <c r="Q14" s="125"/>
      <c r="R14" s="124"/>
      <c r="S14" s="69"/>
      <c r="T14" s="109"/>
      <c r="U14" s="70"/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0</v>
      </c>
      <c r="T15" s="110"/>
      <c r="U15" s="95">
        <f>SUM(U12:U14)</f>
        <v>0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 t="e">
        <f>V15/S15</f>
        <v>#DIV/0!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Approved'!$I$4</f>
        <v>11.06</v>
      </c>
      <c r="D18" s="42">
        <f>C18</f>
        <v>11.06</v>
      </c>
      <c r="E18" s="113">
        <f>'2016 Proposed'!$F$3</f>
        <v>8.06</v>
      </c>
      <c r="F18" s="7">
        <f>E18</f>
        <v>8.06</v>
      </c>
      <c r="G18" s="85"/>
      <c r="H18" s="55">
        <f>'2015 Approved'!$Q$4</f>
        <v>9.5399999999999991</v>
      </c>
      <c r="I18" s="42">
        <f>H18</f>
        <v>9.5399999999999991</v>
      </c>
      <c r="J18" s="113">
        <f>'2016 Proposed'!$F$3</f>
        <v>8.06</v>
      </c>
      <c r="K18" s="7">
        <f>J18</f>
        <v>8.06</v>
      </c>
      <c r="L18" s="85"/>
      <c r="M18" s="55"/>
      <c r="N18" s="42"/>
      <c r="O18" s="113"/>
      <c r="P18" s="7"/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Approved'!$I$5</f>
        <v>0</v>
      </c>
      <c r="D19" s="42">
        <f t="shared" ref="D19:D22" si="1">C19</f>
        <v>0</v>
      </c>
      <c r="E19" s="113">
        <f>'2016 Proposed'!$F$5</f>
        <v>0</v>
      </c>
      <c r="F19" s="7">
        <f t="shared" ref="F19:F22" si="2">E19</f>
        <v>0</v>
      </c>
      <c r="G19" s="85"/>
      <c r="H19" s="55">
        <f>'2015 Approved'!$Q$5</f>
        <v>0</v>
      </c>
      <c r="I19" s="42">
        <f t="shared" ref="I19:I22" si="3">H19</f>
        <v>0</v>
      </c>
      <c r="J19" s="113">
        <f>'2016 Proposed'!$F$5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Approved'!$I$6</f>
        <v>0</v>
      </c>
      <c r="D20" s="42">
        <f t="shared" si="1"/>
        <v>0</v>
      </c>
      <c r="E20" s="113">
        <f>'2016 Proposed'!$F$6</f>
        <v>0</v>
      </c>
      <c r="F20" s="7">
        <f t="shared" si="2"/>
        <v>0</v>
      </c>
      <c r="G20" s="85"/>
      <c r="H20" s="55">
        <f>'2015 Approved'!$Q$6</f>
        <v>0</v>
      </c>
      <c r="I20" s="42">
        <f t="shared" si="3"/>
        <v>0</v>
      </c>
      <c r="J20" s="113">
        <f>'2016 Proposed'!$F$6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Approved'!$I$7</f>
        <v>0</v>
      </c>
      <c r="D21" s="42">
        <f t="shared" si="1"/>
        <v>0</v>
      </c>
      <c r="E21" s="113">
        <f>'2016 Proposed'!$F$7</f>
        <v>0</v>
      </c>
      <c r="F21" s="7">
        <f t="shared" si="2"/>
        <v>0</v>
      </c>
      <c r="G21" s="85"/>
      <c r="H21" s="55">
        <f>'2015 Approved'!$Q$7</f>
        <v>0</v>
      </c>
      <c r="I21" s="42">
        <f t="shared" si="3"/>
        <v>0</v>
      </c>
      <c r="J21" s="113">
        <f>'2016 Proposed'!$F$8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Approved'!$I$8</f>
        <v>0</v>
      </c>
      <c r="D22" s="42">
        <f t="shared" si="1"/>
        <v>0</v>
      </c>
      <c r="E22" s="113">
        <f>'2016 Proposed'!$F$8</f>
        <v>0</v>
      </c>
      <c r="F22" s="7">
        <f t="shared" si="2"/>
        <v>0</v>
      </c>
      <c r="G22" s="85"/>
      <c r="H22" s="55">
        <f>'2015 Approved'!$Q$8</f>
        <v>0</v>
      </c>
      <c r="I22" s="42">
        <f t="shared" si="3"/>
        <v>0</v>
      </c>
      <c r="J22" s="113">
        <f>'2016 Proposed'!$F$8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/>
      <c r="N23" s="42"/>
      <c r="O23" s="114"/>
      <c r="P23" s="7"/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Approved'!$I$11</f>
        <v>8.0000000000000004E-4</v>
      </c>
      <c r="D24" s="42">
        <f>C24*D$7</f>
        <v>0.12000000000000001</v>
      </c>
      <c r="E24" s="114">
        <f>'2016 Proposed'!$F$11</f>
        <v>1.5E-3</v>
      </c>
      <c r="F24" s="7">
        <f>E24*F$7</f>
        <v>0.22500000000000001</v>
      </c>
      <c r="G24" s="85"/>
      <c r="H24" s="59">
        <f>'2015 Approved'!$Q$11</f>
        <v>5.4999999999999997E-3</v>
      </c>
      <c r="I24" s="42">
        <f t="shared" ref="I24:I33" si="5">H24*I$7</f>
        <v>0.82499999999999996</v>
      </c>
      <c r="J24" s="114">
        <f>'2016 Proposed'!$F$11</f>
        <v>1.5E-3</v>
      </c>
      <c r="K24" s="7">
        <f>J24*K$7</f>
        <v>0.22500000000000001</v>
      </c>
      <c r="L24" s="85"/>
      <c r="M24" s="59"/>
      <c r="N24" s="42"/>
      <c r="O24" s="114"/>
      <c r="P24" s="7"/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Approved'!$I$12</f>
        <v>2.9999999999999997E-4</v>
      </c>
      <c r="D25" s="42">
        <f t="shared" ref="D25:D33" si="6">C25*D$7</f>
        <v>4.4999999999999998E-2</v>
      </c>
      <c r="E25" s="114">
        <f>'2016 Proposed'!$F$13</f>
        <v>1.6000000000000001E-3</v>
      </c>
      <c r="F25" s="7">
        <f t="shared" ref="F25:F33" si="7">E25*F$7</f>
        <v>0.24000000000000002</v>
      </c>
      <c r="G25" s="85"/>
      <c r="H25" s="59">
        <f>'2015 Approved'!$Q$12</f>
        <v>2.9999999999999997E-4</v>
      </c>
      <c r="I25" s="42">
        <f t="shared" si="5"/>
        <v>4.4999999999999998E-2</v>
      </c>
      <c r="J25" s="114">
        <f>'2016 Proposed'!$F$13</f>
        <v>1.6000000000000001E-3</v>
      </c>
      <c r="K25" s="7">
        <f t="shared" ref="K25:K33" si="8">J25*K$7</f>
        <v>0.24000000000000002</v>
      </c>
      <c r="L25" s="85"/>
      <c r="M25" s="59"/>
      <c r="N25" s="42"/>
      <c r="O25" s="114"/>
      <c r="P25" s="7"/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Approved'!$I$13</f>
        <v>0</v>
      </c>
      <c r="D26" s="42">
        <f t="shared" si="6"/>
        <v>0</v>
      </c>
      <c r="E26" s="114">
        <f>'2016 Proposed'!$F$14</f>
        <v>0</v>
      </c>
      <c r="F26" s="7">
        <f t="shared" si="7"/>
        <v>0</v>
      </c>
      <c r="G26" s="85"/>
      <c r="H26" s="59">
        <f>'2015 Approved'!$Q$13</f>
        <v>0</v>
      </c>
      <c r="I26" s="42">
        <f t="shared" si="5"/>
        <v>0</v>
      </c>
      <c r="J26" s="114">
        <f>'2016 Proposed'!$F$14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Approved'!$I$14</f>
        <v>0</v>
      </c>
      <c r="D27" s="42">
        <f t="shared" si="6"/>
        <v>0</v>
      </c>
      <c r="E27" s="114">
        <f>'2016 Proposed'!$F$15</f>
        <v>0</v>
      </c>
      <c r="F27" s="7">
        <f t="shared" si="7"/>
        <v>0</v>
      </c>
      <c r="G27" s="85"/>
      <c r="H27" s="59">
        <f>'2015 Approved'!$Q$14</f>
        <v>0</v>
      </c>
      <c r="I27" s="42">
        <f t="shared" si="5"/>
        <v>0</v>
      </c>
      <c r="J27" s="114">
        <f>'2016 Proposed'!$F$15</f>
        <v>0</v>
      </c>
      <c r="K27" s="7">
        <f t="shared" si="8"/>
        <v>0</v>
      </c>
      <c r="L27" s="85"/>
      <c r="M27" s="59"/>
      <c r="N27" s="42"/>
      <c r="O27" s="114"/>
      <c r="P27" s="7"/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Approved'!$I$15</f>
        <v>-2.0000000000000001E-4</v>
      </c>
      <c r="D28" s="42">
        <f t="shared" si="6"/>
        <v>-3.0000000000000002E-2</v>
      </c>
      <c r="E28" s="114">
        <f>'2016 Proposed'!$F$16</f>
        <v>0</v>
      </c>
      <c r="F28" s="7">
        <f t="shared" si="7"/>
        <v>0</v>
      </c>
      <c r="G28" s="85"/>
      <c r="H28" s="59">
        <f>'2015 Approved'!$Q$15</f>
        <v>-1E-4</v>
      </c>
      <c r="I28" s="42">
        <f t="shared" si="5"/>
        <v>-1.5000000000000001E-2</v>
      </c>
      <c r="J28" s="114">
        <f>'2016 Proposed'!$F$16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Approved'!$I$16</f>
        <v>0</v>
      </c>
      <c r="D29" s="42">
        <f t="shared" si="6"/>
        <v>0</v>
      </c>
      <c r="E29" s="114">
        <f>'2016 Proposed'!$F$17</f>
        <v>0</v>
      </c>
      <c r="F29" s="7">
        <f t="shared" si="7"/>
        <v>0</v>
      </c>
      <c r="G29" s="85"/>
      <c r="H29" s="59">
        <f>'2015 Approved'!$Q$16</f>
        <v>0</v>
      </c>
      <c r="I29" s="42">
        <f t="shared" si="5"/>
        <v>0</v>
      </c>
      <c r="J29" s="114">
        <f>'2016 Proposed'!$F$17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Approved'!$I$17</f>
        <v>2.2000000000000001E-3</v>
      </c>
      <c r="D30" s="42">
        <f t="shared" si="6"/>
        <v>0.33</v>
      </c>
      <c r="E30" s="114">
        <f>'2016 Proposed'!$F$18</f>
        <v>0</v>
      </c>
      <c r="F30" s="7">
        <f t="shared" si="7"/>
        <v>0</v>
      </c>
      <c r="G30" s="85"/>
      <c r="H30" s="59">
        <f>'2015 Approved'!$Q$17</f>
        <v>1.4E-3</v>
      </c>
      <c r="I30" s="42">
        <f t="shared" si="5"/>
        <v>0.21</v>
      </c>
      <c r="J30" s="114">
        <f>'2016 Proposed'!$F$18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Approved'!$I$18</f>
        <v>0</v>
      </c>
      <c r="D31" s="42">
        <f t="shared" si="6"/>
        <v>0</v>
      </c>
      <c r="E31" s="114">
        <f>'2016 Proposed'!$F$19</f>
        <v>1.6000000000000001E-3</v>
      </c>
      <c r="F31" s="7">
        <f t="shared" si="7"/>
        <v>0.24000000000000002</v>
      </c>
      <c r="G31" s="85"/>
      <c r="H31" s="59">
        <f>'2015 Approved'!$Q$18</f>
        <v>0</v>
      </c>
      <c r="I31" s="42">
        <f t="shared" si="5"/>
        <v>0</v>
      </c>
      <c r="J31" s="114">
        <f>'2016 Proposed'!$F$19</f>
        <v>1.6000000000000001E-3</v>
      </c>
      <c r="K31" s="7">
        <f t="shared" si="8"/>
        <v>0.24000000000000002</v>
      </c>
      <c r="L31" s="85"/>
      <c r="M31" s="59"/>
      <c r="N31" s="42"/>
      <c r="O31" s="114"/>
      <c r="P31" s="7"/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Approved'!$I$19</f>
        <v>0</v>
      </c>
      <c r="D32" s="42">
        <f t="shared" si="6"/>
        <v>0</v>
      </c>
      <c r="E32" s="114">
        <f>'2016 Proposed'!$F$20</f>
        <v>6.9999999999999999E-4</v>
      </c>
      <c r="F32" s="7">
        <f t="shared" si="7"/>
        <v>0.105</v>
      </c>
      <c r="G32" s="85"/>
      <c r="H32" s="59">
        <f>'2015 Approved'!$Q$19</f>
        <v>0</v>
      </c>
      <c r="I32" s="42">
        <f t="shared" si="5"/>
        <v>0</v>
      </c>
      <c r="J32" s="114">
        <f>'2016 Proposed'!$F$20</f>
        <v>6.9999999999999999E-4</v>
      </c>
      <c r="K32" s="7">
        <f t="shared" si="8"/>
        <v>0.105</v>
      </c>
      <c r="L32" s="85"/>
      <c r="M32" s="59"/>
      <c r="N32" s="42"/>
      <c r="O32" s="114"/>
      <c r="P32" s="7"/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Approved'!$I$20</f>
        <v>0</v>
      </c>
      <c r="D33" s="42">
        <f t="shared" si="6"/>
        <v>0</v>
      </c>
      <c r="E33" s="114">
        <f>'2016 Proposed'!$F$21</f>
        <v>-2.2000000000000001E-3</v>
      </c>
      <c r="F33" s="7">
        <f t="shared" si="7"/>
        <v>-0.33</v>
      </c>
      <c r="G33" s="85"/>
      <c r="H33" s="59">
        <f>'2015 Approved'!$Q$20</f>
        <v>0</v>
      </c>
      <c r="I33" s="42">
        <f t="shared" si="5"/>
        <v>0</v>
      </c>
      <c r="J33" s="114">
        <f>'2016 Proposed'!$F$21</f>
        <v>-2.2000000000000001E-3</v>
      </c>
      <c r="K33" s="7">
        <f t="shared" si="8"/>
        <v>-0.33</v>
      </c>
      <c r="L33" s="85"/>
      <c r="M33" s="59"/>
      <c r="N33" s="42"/>
      <c r="O33" s="114"/>
      <c r="P33" s="7"/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12.180738799999999</v>
      </c>
      <c r="E34" s="110"/>
      <c r="F34" s="95">
        <f>SUM(F18:F33)</f>
        <v>9.2003350999999984</v>
      </c>
      <c r="G34" s="127">
        <f>F34-D34</f>
        <v>-2.9804037000000001</v>
      </c>
      <c r="H34" s="126"/>
      <c r="I34" s="96">
        <f>SUM(I18:I33)</f>
        <v>11.536516799999999</v>
      </c>
      <c r="J34" s="110"/>
      <c r="K34" s="95">
        <f>SUM(K18:K33)</f>
        <v>9.2003350999999984</v>
      </c>
      <c r="L34" s="127">
        <f>K34-I34</f>
        <v>-2.3361817000000009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-0.24468168548200053</v>
      </c>
      <c r="H35" s="128"/>
      <c r="I35" s="120"/>
      <c r="J35" s="111"/>
      <c r="K35" s="97"/>
      <c r="L35" s="129">
        <f>L34/I34</f>
        <v>-0.20250321136792354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Approved'!$I$26</f>
        <v>6.4999999999999997E-3</v>
      </c>
      <c r="D37" s="42">
        <f>C37*D$10</f>
        <v>1.0167299999999999</v>
      </c>
      <c r="E37" s="114">
        <f>'2016 Proposed'!$F$28</f>
        <v>6.4000000000000003E-3</v>
      </c>
      <c r="F37" s="7">
        <f>E37*F$10</f>
        <v>1.0013759999999998</v>
      </c>
      <c r="G37" s="85"/>
      <c r="H37" s="59">
        <f>'2015 Approved'!$Q$26</f>
        <v>6.4999999999999997E-3</v>
      </c>
      <c r="I37" s="42">
        <f>H37*I$10</f>
        <v>1.0342800000000001</v>
      </c>
      <c r="J37" s="114">
        <f>'2016 Proposed'!$F$28</f>
        <v>6.4000000000000003E-3</v>
      </c>
      <c r="K37" s="7">
        <f>J37*K$10</f>
        <v>1.0013759999999998</v>
      </c>
      <c r="L37" s="85"/>
      <c r="M37" s="59"/>
      <c r="N37" s="42"/>
      <c r="O37" s="114"/>
      <c r="P37" s="7"/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Approved'!$I$27</f>
        <v>4.7000000000000002E-3</v>
      </c>
      <c r="D38" s="42">
        <f>C38*D$10</f>
        <v>0.73517399999999999</v>
      </c>
      <c r="E38" s="114">
        <f>'2016 Proposed'!$F$29</f>
        <v>4.7999999999999996E-3</v>
      </c>
      <c r="F38" s="7">
        <f>E38*F$10</f>
        <v>0.75103199999999981</v>
      </c>
      <c r="G38" s="85"/>
      <c r="H38" s="59">
        <f>'2015 Approved'!$Q$27</f>
        <v>4.5999999999999999E-3</v>
      </c>
      <c r="I38" s="42">
        <f>H38*I$10</f>
        <v>0.73195200000000005</v>
      </c>
      <c r="J38" s="114">
        <f>'2016 Proposed'!$F$29</f>
        <v>4.7999999999999996E-3</v>
      </c>
      <c r="K38" s="7">
        <f>J38*K$10</f>
        <v>0.75103199999999981</v>
      </c>
      <c r="L38" s="85"/>
      <c r="M38" s="59"/>
      <c r="N38" s="42"/>
      <c r="O38" s="114"/>
      <c r="P38" s="7"/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1.7519039999999999</v>
      </c>
      <c r="E39" s="110"/>
      <c r="F39" s="95">
        <f>SUM(F37:F38)</f>
        <v>1.7524079999999995</v>
      </c>
      <c r="G39" s="127">
        <f>F39-D39</f>
        <v>5.0399999999961587E-4</v>
      </c>
      <c r="H39" s="126"/>
      <c r="I39" s="96">
        <f>SUM(I37:I38)</f>
        <v>1.766232</v>
      </c>
      <c r="J39" s="110"/>
      <c r="K39" s="95">
        <f>SUM(K37:K38)</f>
        <v>1.7524079999999995</v>
      </c>
      <c r="L39" s="127">
        <f>K39-I39</f>
        <v>-1.3824000000000503E-2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2.8768699654753682E-4</v>
      </c>
      <c r="H40" s="128"/>
      <c r="I40" s="120"/>
      <c r="J40" s="111"/>
      <c r="K40" s="97"/>
      <c r="L40" s="129">
        <f>L39/I39</f>
        <v>-7.8268313562434057E-3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/>
      <c r="N42" s="42"/>
      <c r="O42" s="114"/>
      <c r="P42" s="7"/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/>
      <c r="N44" s="42"/>
      <c r="O44" s="114"/>
      <c r="P44" s="7"/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31.445236799999996</v>
      </c>
      <c r="E48" s="115"/>
      <c r="F48" s="102">
        <f>F15+F34+F39+F46</f>
        <v>28.465593600000002</v>
      </c>
      <c r="G48" s="133"/>
      <c r="H48" s="132"/>
      <c r="I48" s="122">
        <f>I15+I34+I39+I46</f>
        <v>30.8307328</v>
      </c>
      <c r="J48" s="115"/>
      <c r="K48" s="102">
        <f>K15+K34+K39+K46</f>
        <v>28.465593600000002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0</v>
      </c>
      <c r="T48" s="115"/>
      <c r="U48" s="102">
        <f>U15+U34+U39+U46</f>
        <v>0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4.0878807839999993</v>
      </c>
      <c r="E49" s="116"/>
      <c r="F49" s="99">
        <f>F48*0.13</f>
        <v>3.7005271680000003</v>
      </c>
      <c r="G49" s="134"/>
      <c r="H49" s="87"/>
      <c r="I49" s="43">
        <f>I48*0.13</f>
        <v>4.0079952639999998</v>
      </c>
      <c r="J49" s="116"/>
      <c r="K49" s="99">
        <f>K48*0.13</f>
        <v>3.7005271680000003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0</v>
      </c>
      <c r="T49" s="116"/>
      <c r="U49" s="99">
        <f>U48*0.13</f>
        <v>0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-3.5533117583999996</v>
      </c>
      <c r="E50" s="117"/>
      <c r="F50" s="70">
        <f>SUM(F48:F49)*-0.1</f>
        <v>-3.2166120768000002</v>
      </c>
      <c r="G50" s="125"/>
      <c r="H50" s="88"/>
      <c r="I50" s="69">
        <f>SUM(I48:I49)*-0.1</f>
        <v>-3.4838728064000004</v>
      </c>
      <c r="J50" s="117"/>
      <c r="K50" s="70">
        <f>SUM(K48:K49)*-0.1</f>
        <v>-3.2166120768000002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0</v>
      </c>
      <c r="T50" s="117"/>
      <c r="U50" s="70">
        <f>SUM(U48:U49)*-0.1</f>
        <v>0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31.979805825599996</v>
      </c>
      <c r="E51" s="118"/>
      <c r="F51" s="103">
        <f>SUM(F48:F50)</f>
        <v>28.949508691199998</v>
      </c>
      <c r="G51" s="136">
        <f>F51-D51</f>
        <v>-3.0302971343999978</v>
      </c>
      <c r="H51" s="135"/>
      <c r="I51" s="104">
        <f>SUM(I48:I50)</f>
        <v>31.354855257600001</v>
      </c>
      <c r="J51" s="118"/>
      <c r="K51" s="103">
        <f>SUM(K48:K50)</f>
        <v>28.949508691199998</v>
      </c>
      <c r="L51" s="136">
        <f>K51-I51</f>
        <v>-2.4053465664000022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0</v>
      </c>
      <c r="T51" s="118"/>
      <c r="U51" s="103">
        <f>SUM(U48:U50)</f>
        <v>0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-9.475658329276751E-2</v>
      </c>
      <c r="H52" s="137"/>
      <c r="I52" s="123"/>
      <c r="J52" s="119"/>
      <c r="K52" s="105"/>
      <c r="L52" s="138">
        <f>L51/I51</f>
        <v>-7.6713687454097818E-2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 t="e">
        <f>V51/S51</f>
        <v>#DIV/0!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127</v>
      </c>
      <c r="C54" s="202">
        <f>'2015 Approved'!$I$23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Approved'!$Q$23</f>
        <v>0</v>
      </c>
      <c r="I54" s="43">
        <f>H54*I$7</f>
        <v>0</v>
      </c>
      <c r="J54" s="203">
        <f>H54</f>
        <v>0</v>
      </c>
      <c r="K54" s="7">
        <f>J54*K$7</f>
        <v>0</v>
      </c>
      <c r="L54" s="134"/>
      <c r="M54" s="59"/>
      <c r="N54" s="43"/>
      <c r="O54" s="203"/>
      <c r="P54" s="7"/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Approved'!$I$24</f>
        <v>0</v>
      </c>
      <c r="D55" s="42">
        <f>C55*D7</f>
        <v>0</v>
      </c>
      <c r="E55" s="203">
        <f>'2016 Proposed'!$F$26</f>
        <v>4.3E-3</v>
      </c>
      <c r="F55" s="7">
        <f>E55*F7</f>
        <v>0.64500000000000002</v>
      </c>
      <c r="G55" s="85"/>
      <c r="H55" s="59">
        <f>'2015 Approved'!$Q$24</f>
        <v>-8.0000000000000004E-4</v>
      </c>
      <c r="I55" s="43">
        <f>H55*I$7</f>
        <v>-0.12000000000000001</v>
      </c>
      <c r="J55" s="114">
        <f>'2016 Proposed'!$F$26</f>
        <v>4.3E-3</v>
      </c>
      <c r="K55" s="7">
        <f>J55*K$7</f>
        <v>0.64500000000000002</v>
      </c>
      <c r="L55" s="85"/>
      <c r="M55" s="59"/>
      <c r="N55" s="42"/>
      <c r="O55" s="114"/>
      <c r="P55" s="7"/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31.445236799999996</v>
      </c>
      <c r="E56" s="106"/>
      <c r="F56" s="7">
        <f>F48+SUM(F54:F55)</f>
        <v>29.110593600000001</v>
      </c>
      <c r="G56" s="85"/>
      <c r="H56" s="86"/>
      <c r="I56" s="42">
        <f>I48+I55+I54</f>
        <v>30.710732799999999</v>
      </c>
      <c r="J56" s="106"/>
      <c r="K56" s="7">
        <f>K48+K55+K54</f>
        <v>29.110593600000001</v>
      </c>
      <c r="L56" s="85"/>
      <c r="M56" s="86"/>
      <c r="N56" s="42"/>
      <c r="O56" s="106"/>
      <c r="P56" s="7"/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4.0878807839999993</v>
      </c>
      <c r="E57" s="106"/>
      <c r="F57" s="7">
        <f>F56*0.13</f>
        <v>3.7843771680000002</v>
      </c>
      <c r="G57" s="85"/>
      <c r="H57" s="86"/>
      <c r="I57" s="42">
        <f>I56*0.13</f>
        <v>3.9923952639999998</v>
      </c>
      <c r="J57" s="106"/>
      <c r="K57" s="7">
        <f>K56*0.13</f>
        <v>3.7843771680000002</v>
      </c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-3.5533117583999996</v>
      </c>
      <c r="E58" s="106"/>
      <c r="F58" s="7">
        <f>SUM(F56:F57)*-0.1</f>
        <v>-3.2894970768</v>
      </c>
      <c r="G58" s="85"/>
      <c r="H58" s="86"/>
      <c r="I58" s="42">
        <f>SUM(I56:I57)*-0.1</f>
        <v>-3.4703128063999999</v>
      </c>
      <c r="J58" s="106"/>
      <c r="K58" s="7">
        <f>SUM(K56:K57)*-0.1</f>
        <v>-3.2894970768</v>
      </c>
      <c r="L58" s="85"/>
      <c r="M58" s="86"/>
      <c r="N58" s="42"/>
      <c r="O58" s="106"/>
      <c r="P58" s="7"/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31.979805825599996</v>
      </c>
      <c r="E59" s="181"/>
      <c r="F59" s="182">
        <f>SUM(F56:F58)</f>
        <v>29.6054736912</v>
      </c>
      <c r="G59" s="183">
        <f>F59-D59</f>
        <v>-2.3743321343999959</v>
      </c>
      <c r="H59" s="179"/>
      <c r="I59" s="180">
        <f>SUM(I56:I58)</f>
        <v>31.232815257599999</v>
      </c>
      <c r="J59" s="181"/>
      <c r="K59" s="182">
        <f>SUM(K56:K58)</f>
        <v>29.6054736912</v>
      </c>
      <c r="L59" s="183">
        <f>K59-I59</f>
        <v>-1.6273415663999984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-7.4244732671245026E-2</v>
      </c>
      <c r="H60" s="186"/>
      <c r="I60" s="187"/>
      <c r="J60" s="188"/>
      <c r="K60" s="189"/>
      <c r="L60" s="190">
        <f>L59/I59</f>
        <v>-5.2103582497386662E-2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SUM(D18:D21)+D23+D24+D33</f>
        <v>11.835738799999998</v>
      </c>
      <c r="E63" s="106"/>
      <c r="F63" s="7">
        <f>SUM(F18:F21)+F23+F24+F33</f>
        <v>8.6153350999999976</v>
      </c>
      <c r="G63" s="56">
        <f>F63-D63</f>
        <v>-3.2204037000000003</v>
      </c>
      <c r="H63" s="86"/>
      <c r="I63" s="42">
        <f>SUM(I18:I21)+I23+I24+I33</f>
        <v>11.296516799999999</v>
      </c>
      <c r="J63" s="106"/>
      <c r="K63" s="7">
        <f>SUM(K18:K21)+K23+K24+K33</f>
        <v>8.6153350999999976</v>
      </c>
      <c r="L63" s="56">
        <f>K63-I63</f>
        <v>-2.6811817000000016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9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-0.26438492384386408</v>
      </c>
      <c r="H64" s="166"/>
      <c r="I64" s="167"/>
      <c r="J64" s="168"/>
      <c r="K64" s="93"/>
      <c r="L64" s="169">
        <f>L63/SUM(I63:I66)</f>
        <v>-0.23240825168303847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9"/>
        <v>58</v>
      </c>
      <c r="B65" s="85" t="s">
        <v>121</v>
      </c>
      <c r="C65" s="86"/>
      <c r="D65" s="42">
        <f>D22+SUM(D25:D32)</f>
        <v>0.34500000000000003</v>
      </c>
      <c r="E65" s="106"/>
      <c r="F65" s="7">
        <f>F22+SUM(F25:F32)</f>
        <v>0.58500000000000008</v>
      </c>
      <c r="G65" s="56">
        <f>F65-D65</f>
        <v>0.24000000000000005</v>
      </c>
      <c r="H65" s="86"/>
      <c r="I65" s="42">
        <f>I22+SUM(I25:I32)</f>
        <v>0.24</v>
      </c>
      <c r="J65" s="106"/>
      <c r="K65" s="7">
        <f>K22+SUM(K25:K32)</f>
        <v>0.58500000000000008</v>
      </c>
      <c r="L65" s="56">
        <f>K65-I65</f>
        <v>0.34500000000000008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9"/>
        <v>59</v>
      </c>
      <c r="B66" s="171" t="s">
        <v>118</v>
      </c>
      <c r="C66" s="172"/>
      <c r="D66" s="173"/>
      <c r="E66" s="174"/>
      <c r="F66" s="175"/>
      <c r="G66" s="176">
        <f>G65/SUM(D63:D66)</f>
        <v>1.9703238361863575E-2</v>
      </c>
      <c r="H66" s="172"/>
      <c r="I66" s="173"/>
      <c r="J66" s="174"/>
      <c r="K66" s="175"/>
      <c r="L66" s="176">
        <f>L65/SUM(I63:I66)</f>
        <v>2.9905040315114879E-2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3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Input'!$R$11</f>
        <v>0</v>
      </c>
      <c r="I12" s="42">
        <f>I$7*H12*TOU_OFF</f>
        <v>0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Input'!$R$12</f>
        <v>0</v>
      </c>
      <c r="I13" s="42">
        <f>I$7*H13*TOU_MID</f>
        <v>0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Input'!$R$13</f>
        <v>0</v>
      </c>
      <c r="I14" s="69">
        <f>I$7*H14*TOU_ON</f>
        <v>0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0</v>
      </c>
      <c r="J15" s="110"/>
      <c r="K15" s="95">
        <f>SUM(K12:K14)</f>
        <v>15.321000000000002</v>
      </c>
      <c r="L15" s="127">
        <f>I15-K15</f>
        <v>-15.321000000000002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 t="e">
        <f>L15/I15</f>
        <v>#DIV/0!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Approved'!$K$4</f>
        <v>8.7100000000000009</v>
      </c>
      <c r="D18" s="42">
        <f>C18</f>
        <v>8.7100000000000009</v>
      </c>
      <c r="E18" s="113">
        <f>'2016 Proposed'!$G$3</f>
        <v>7.42</v>
      </c>
      <c r="F18" s="7">
        <f>E18</f>
        <v>7.42</v>
      </c>
      <c r="G18" s="85"/>
      <c r="H18" s="55">
        <f>'2015 Approved'!$O$4</f>
        <v>45.55</v>
      </c>
      <c r="I18" s="42">
        <f>H18</f>
        <v>45.55</v>
      </c>
      <c r="J18" s="113">
        <f>'2016 Proposed'!$G$3</f>
        <v>7.42</v>
      </c>
      <c r="K18" s="7">
        <f>J18</f>
        <v>7.42</v>
      </c>
      <c r="L18" s="85"/>
      <c r="M18" s="55">
        <f>'2015 Approved'!$V$4</f>
        <v>0.98</v>
      </c>
      <c r="N18" s="42">
        <f>M18</f>
        <v>0.98</v>
      </c>
      <c r="O18" s="113">
        <f>'2016 Proposed'!$G$3</f>
        <v>7.42</v>
      </c>
      <c r="P18" s="7">
        <f>O18</f>
        <v>7.42</v>
      </c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Approved'!$K$5</f>
        <v>0</v>
      </c>
      <c r="D19" s="42">
        <f t="shared" ref="D19:D22" si="1">C19</f>
        <v>0</v>
      </c>
      <c r="E19" s="113">
        <f>'2016 Proposed'!$G$5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Proposed'!$G$5</f>
        <v>0</v>
      </c>
      <c r="K19" s="7">
        <f t="shared" ref="K19:K22" si="4">J19</f>
        <v>0</v>
      </c>
      <c r="L19" s="85"/>
      <c r="M19" s="55">
        <f>'2015 Approved'!$V$5</f>
        <v>0</v>
      </c>
      <c r="N19" s="42">
        <f t="shared" ref="N19:N22" si="5">M19</f>
        <v>0</v>
      </c>
      <c r="O19" s="113">
        <f>'2016 Proposed'!$G$5</f>
        <v>0</v>
      </c>
      <c r="P19" s="7">
        <f t="shared" ref="P19:P22" si="6">O19</f>
        <v>0</v>
      </c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Approved'!$K$6</f>
        <v>0</v>
      </c>
      <c r="D20" s="42">
        <f t="shared" si="1"/>
        <v>0</v>
      </c>
      <c r="E20" s="113">
        <f>'2016 Proposed'!$G$6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Proposed'!$G$6</f>
        <v>0</v>
      </c>
      <c r="K20" s="7">
        <f t="shared" si="4"/>
        <v>0</v>
      </c>
      <c r="L20" s="85"/>
      <c r="M20" s="55">
        <f>'2015 Approved'!$V$6</f>
        <v>0</v>
      </c>
      <c r="N20" s="42">
        <f t="shared" si="5"/>
        <v>0</v>
      </c>
      <c r="O20" s="113">
        <f>'2016 Proposed'!$G$6</f>
        <v>0</v>
      </c>
      <c r="P20" s="7">
        <f t="shared" si="6"/>
        <v>0</v>
      </c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Approved'!$K$7</f>
        <v>0</v>
      </c>
      <c r="D21" s="42">
        <f t="shared" si="1"/>
        <v>0</v>
      </c>
      <c r="E21" s="113">
        <f>'2016 Proposed'!$G$7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Proposed'!$G$8</f>
        <v>0</v>
      </c>
      <c r="K21" s="7">
        <f t="shared" si="4"/>
        <v>0</v>
      </c>
      <c r="L21" s="85"/>
      <c r="M21" s="55">
        <f>'2015 Approved'!$V$7</f>
        <v>0</v>
      </c>
      <c r="N21" s="42">
        <f t="shared" si="5"/>
        <v>0</v>
      </c>
      <c r="O21" s="113">
        <f>'2016 Proposed'!$G$8</f>
        <v>0</v>
      </c>
      <c r="P21" s="7">
        <f t="shared" si="6"/>
        <v>0</v>
      </c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Approved'!$K$8</f>
        <v>0</v>
      </c>
      <c r="D22" s="42">
        <f t="shared" si="1"/>
        <v>0</v>
      </c>
      <c r="E22" s="113">
        <f>'2016 Proposed'!$G$8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Proposed'!$G$8</f>
        <v>0</v>
      </c>
      <c r="K22" s="7">
        <f t="shared" si="4"/>
        <v>0</v>
      </c>
      <c r="L22" s="85"/>
      <c r="M22" s="55">
        <f>'2015 Approved'!$V$8</f>
        <v>0</v>
      </c>
      <c r="N22" s="42">
        <f t="shared" si="5"/>
        <v>0</v>
      </c>
      <c r="O22" s="113">
        <f>'2016 Proposed'!$G$8</f>
        <v>0</v>
      </c>
      <c r="P22" s="7">
        <f t="shared" si="6"/>
        <v>0</v>
      </c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</v>
      </c>
      <c r="I23" s="42">
        <f>(I10-I7)*H23</f>
        <v>0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Approved'!$K$11</f>
        <v>0.61850000000000005</v>
      </c>
      <c r="D24" s="42">
        <f>C24*D$8</f>
        <v>0.61850000000000005</v>
      </c>
      <c r="E24" s="114">
        <f>'2016 Proposed'!$G$11</f>
        <v>0.66539999999999999</v>
      </c>
      <c r="F24" s="7">
        <f>E24*F$8</f>
        <v>0.66539999999999999</v>
      </c>
      <c r="G24" s="85"/>
      <c r="H24" s="59">
        <f>'2015 Approved'!$O$11</f>
        <v>1.5094000000000001</v>
      </c>
      <c r="I24" s="42">
        <f t="shared" ref="I24:I33" si="7">H24*I$8</f>
        <v>1.5094000000000001</v>
      </c>
      <c r="J24" s="114">
        <f>'2016 Proposed'!$G$11</f>
        <v>0.66539999999999999</v>
      </c>
      <c r="K24" s="7">
        <f t="shared" ref="K24:K33" si="8">J24*K$8</f>
        <v>0.66539999999999999</v>
      </c>
      <c r="L24" s="85"/>
      <c r="M24" s="59">
        <f>'2015 Approved'!$V$11</f>
        <v>5.2239000000000004</v>
      </c>
      <c r="N24" s="42">
        <f t="shared" ref="N24:N33" si="9">M24*N$8</f>
        <v>5.2239000000000004</v>
      </c>
      <c r="O24" s="114">
        <f>'2016 Proposed'!$G$11</f>
        <v>0.66539999999999999</v>
      </c>
      <c r="P24" s="7">
        <f t="shared" ref="P24:P33" si="10">O24*P$8</f>
        <v>0.66539999999999999</v>
      </c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Approved'!$K$12</f>
        <v>9.2399999999999996E-2</v>
      </c>
      <c r="D25" s="42">
        <f t="shared" ref="D25:D33" si="11">C25*D$8</f>
        <v>9.2399999999999996E-2</v>
      </c>
      <c r="E25" s="114">
        <f>'2016 Proposed'!$G$13</f>
        <v>0.4894</v>
      </c>
      <c r="F25" s="7">
        <f t="shared" ref="F25:F33" si="12">E25*F$8</f>
        <v>0.4894</v>
      </c>
      <c r="G25" s="85"/>
      <c r="H25" s="59">
        <f>'2015 Approved'!$O$12</f>
        <v>0.10100000000000001</v>
      </c>
      <c r="I25" s="42">
        <f t="shared" si="7"/>
        <v>0.10100000000000001</v>
      </c>
      <c r="J25" s="114">
        <f>'2016 Proposed'!$G$13</f>
        <v>0.4894</v>
      </c>
      <c r="K25" s="7">
        <f t="shared" si="8"/>
        <v>0.4894</v>
      </c>
      <c r="L25" s="85"/>
      <c r="M25" s="59">
        <f>'2015 Approved'!$V$12</f>
        <v>0.45200000000000001</v>
      </c>
      <c r="N25" s="42">
        <f t="shared" si="9"/>
        <v>0.45200000000000001</v>
      </c>
      <c r="O25" s="114">
        <f>'2016 Proposed'!$G$13</f>
        <v>0.4894</v>
      </c>
      <c r="P25" s="7">
        <f t="shared" si="10"/>
        <v>0.4894</v>
      </c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Approved'!$K$13</f>
        <v>0</v>
      </c>
      <c r="D26" s="42">
        <f t="shared" si="11"/>
        <v>0</v>
      </c>
      <c r="E26" s="114">
        <f>'2016 Proposed'!$G$14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2.3999999999999998E-3</v>
      </c>
      <c r="J26" s="114">
        <f>'2016 Proposed'!$G$14</f>
        <v>0</v>
      </c>
      <c r="K26" s="7">
        <f t="shared" si="8"/>
        <v>0</v>
      </c>
      <c r="L26" s="85"/>
      <c r="M26" s="59">
        <f>'2015 Approved'!$V$13</f>
        <v>0</v>
      </c>
      <c r="N26" s="42">
        <f t="shared" si="9"/>
        <v>0</v>
      </c>
      <c r="O26" s="114">
        <f>'2016 Proposed'!$G$14</f>
        <v>0</v>
      </c>
      <c r="P26" s="7">
        <f t="shared" si="10"/>
        <v>0</v>
      </c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Approved'!$K$14</f>
        <v>0</v>
      </c>
      <c r="D27" s="42">
        <f t="shared" si="11"/>
        <v>0</v>
      </c>
      <c r="E27" s="114">
        <f>'2016 Proposed'!$G$15</f>
        <v>0</v>
      </c>
      <c r="F27" s="7">
        <f t="shared" si="12"/>
        <v>0</v>
      </c>
      <c r="G27" s="85"/>
      <c r="H27" s="59">
        <f>'2015 Approved'!$O$14</f>
        <v>1.5900000000000001E-2</v>
      </c>
      <c r="I27" s="42">
        <f t="shared" si="7"/>
        <v>1.5900000000000001E-2</v>
      </c>
      <c r="J27" s="114">
        <f>'2016 Proposed'!$G$15</f>
        <v>0</v>
      </c>
      <c r="K27" s="7">
        <f t="shared" si="8"/>
        <v>0</v>
      </c>
      <c r="L27" s="85"/>
      <c r="M27" s="59">
        <f>'2015 Approved'!$V$14</f>
        <v>0</v>
      </c>
      <c r="N27" s="42">
        <f t="shared" si="9"/>
        <v>0</v>
      </c>
      <c r="O27" s="114">
        <f>'2016 Proposed'!$G$15</f>
        <v>0</v>
      </c>
      <c r="P27" s="7">
        <f t="shared" si="10"/>
        <v>0</v>
      </c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Approved'!$K$15</f>
        <v>-0.2555</v>
      </c>
      <c r="D28" s="42">
        <f t="shared" si="11"/>
        <v>-0.2555</v>
      </c>
      <c r="E28" s="114">
        <f>'2016 Proposed'!$G$16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-9.4000000000000004E-3</v>
      </c>
      <c r="J28" s="114">
        <f>'2016 Proposed'!$G$16</f>
        <v>0</v>
      </c>
      <c r="K28" s="7">
        <f t="shared" si="8"/>
        <v>0</v>
      </c>
      <c r="L28" s="85"/>
      <c r="M28" s="59">
        <f>'2015 Approved'!$V$15</f>
        <v>0</v>
      </c>
      <c r="N28" s="42">
        <f t="shared" si="9"/>
        <v>0</v>
      </c>
      <c r="O28" s="114">
        <f>'2016 Proposed'!$G$16</f>
        <v>0</v>
      </c>
      <c r="P28" s="7">
        <f t="shared" si="10"/>
        <v>0</v>
      </c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Approved'!$K$16</f>
        <v>0</v>
      </c>
      <c r="D29" s="42">
        <f t="shared" si="11"/>
        <v>0</v>
      </c>
      <c r="E29" s="114">
        <f>'2016 Proposed'!$G$17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Proposed'!$G$17</f>
        <v>0</v>
      </c>
      <c r="K29" s="7">
        <f t="shared" si="8"/>
        <v>0</v>
      </c>
      <c r="L29" s="85"/>
      <c r="M29" s="59">
        <f>'2015 Approved'!$V$16</f>
        <v>0.19489999999999999</v>
      </c>
      <c r="N29" s="42">
        <f t="shared" si="9"/>
        <v>0.19489999999999999</v>
      </c>
      <c r="O29" s="114">
        <f>'2016 Proposed'!$G$17</f>
        <v>0</v>
      </c>
      <c r="P29" s="7">
        <f t="shared" si="10"/>
        <v>0</v>
      </c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Approved'!$K$17</f>
        <v>0.77849999999999997</v>
      </c>
      <c r="D30" s="42">
        <f t="shared" si="11"/>
        <v>0.77849999999999997</v>
      </c>
      <c r="E30" s="114">
        <f>'2016 Proposed'!$G$18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0.49880000000000002</v>
      </c>
      <c r="J30" s="114">
        <f>'2016 Proposed'!$G$18</f>
        <v>0</v>
      </c>
      <c r="K30" s="7">
        <f t="shared" si="8"/>
        <v>0</v>
      </c>
      <c r="L30" s="85"/>
      <c r="M30" s="59">
        <f>'2015 Approved'!$V$17</f>
        <v>0.6905</v>
      </c>
      <c r="N30" s="42">
        <f t="shared" si="9"/>
        <v>0.6905</v>
      </c>
      <c r="O30" s="114">
        <f>'2016 Proposed'!$G$18</f>
        <v>0</v>
      </c>
      <c r="P30" s="7">
        <f t="shared" si="10"/>
        <v>0</v>
      </c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Approved'!$K$18</f>
        <v>0</v>
      </c>
      <c r="D31" s="42">
        <f t="shared" si="11"/>
        <v>0</v>
      </c>
      <c r="E31" s="114">
        <f>'2016 Proposed'!$G$19</f>
        <v>0.55349999999999999</v>
      </c>
      <c r="F31" s="7">
        <f t="shared" si="12"/>
        <v>0.55349999999999999</v>
      </c>
      <c r="G31" s="85"/>
      <c r="H31" s="59">
        <f>'2015 Approved'!$O$18</f>
        <v>0</v>
      </c>
      <c r="I31" s="42">
        <f t="shared" si="7"/>
        <v>0</v>
      </c>
      <c r="J31" s="114">
        <f>'2016 Proposed'!$G$19</f>
        <v>0.55349999999999999</v>
      </c>
      <c r="K31" s="7">
        <f t="shared" si="8"/>
        <v>0.55349999999999999</v>
      </c>
      <c r="L31" s="85"/>
      <c r="M31" s="59">
        <f>'2015 Approved'!$V$18</f>
        <v>0</v>
      </c>
      <c r="N31" s="42">
        <f t="shared" si="9"/>
        <v>0</v>
      </c>
      <c r="O31" s="114">
        <f>'2016 Proposed'!$G$19</f>
        <v>0.55349999999999999</v>
      </c>
      <c r="P31" s="7">
        <f t="shared" si="10"/>
        <v>0.55349999999999999</v>
      </c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Approved'!$K$19</f>
        <v>0</v>
      </c>
      <c r="D32" s="42">
        <f t="shared" si="11"/>
        <v>0</v>
      </c>
      <c r="E32" s="114">
        <f>'2016 Proposed'!$G$20</f>
        <v>0.26379999999999998</v>
      </c>
      <c r="F32" s="7">
        <f t="shared" si="12"/>
        <v>0.26379999999999998</v>
      </c>
      <c r="G32" s="85"/>
      <c r="H32" s="59">
        <f>'2015 Approved'!$O$19</f>
        <v>0</v>
      </c>
      <c r="I32" s="42">
        <f t="shared" si="7"/>
        <v>0</v>
      </c>
      <c r="J32" s="114">
        <f>'2016 Proposed'!$G$20</f>
        <v>0.26379999999999998</v>
      </c>
      <c r="K32" s="7">
        <f t="shared" si="8"/>
        <v>0.26379999999999998</v>
      </c>
      <c r="L32" s="85"/>
      <c r="M32" s="59">
        <f>'2015 Approved'!$V$19</f>
        <v>0</v>
      </c>
      <c r="N32" s="42">
        <f t="shared" si="9"/>
        <v>0</v>
      </c>
      <c r="O32" s="114">
        <f>'2016 Proposed'!$G$20</f>
        <v>0.26379999999999998</v>
      </c>
      <c r="P32" s="7">
        <f t="shared" si="10"/>
        <v>0.26379999999999998</v>
      </c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Approved'!$K$20</f>
        <v>0</v>
      </c>
      <c r="D33" s="42">
        <f t="shared" si="11"/>
        <v>0</v>
      </c>
      <c r="E33" s="114">
        <f>'2016 Proposed'!$G$21</f>
        <v>-0.7843</v>
      </c>
      <c r="F33" s="7">
        <f t="shared" si="12"/>
        <v>-0.7843</v>
      </c>
      <c r="G33" s="85"/>
      <c r="H33" s="59">
        <f>'2015 Approved'!$O$20</f>
        <v>0</v>
      </c>
      <c r="I33" s="42">
        <f t="shared" si="7"/>
        <v>0</v>
      </c>
      <c r="J33" s="114">
        <f>'2016 Proposed'!$G$21</f>
        <v>-0.7843</v>
      </c>
      <c r="K33" s="7">
        <f t="shared" si="8"/>
        <v>-0.7843</v>
      </c>
      <c r="L33" s="85"/>
      <c r="M33" s="59">
        <f>'2015 Approved'!$V$20</f>
        <v>0</v>
      </c>
      <c r="N33" s="42">
        <f t="shared" si="9"/>
        <v>0</v>
      </c>
      <c r="O33" s="114">
        <f>'2016 Proposed'!$G$21</f>
        <v>-0.7843</v>
      </c>
      <c r="P33" s="7">
        <f t="shared" si="10"/>
        <v>-0.7843</v>
      </c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10.599638799999999</v>
      </c>
      <c r="E34" s="110"/>
      <c r="F34" s="95">
        <f>SUM(F18:F33)</f>
        <v>9.2681350999999967</v>
      </c>
      <c r="G34" s="127">
        <f>F34-D34</f>
        <v>-1.3315037000000025</v>
      </c>
      <c r="H34" s="126"/>
      <c r="I34" s="96">
        <f>SUM(I18:I33)</f>
        <v>62.258100000000006</v>
      </c>
      <c r="J34" s="110"/>
      <c r="K34" s="95">
        <f>SUM(K18:K33)</f>
        <v>9.2681350999999967</v>
      </c>
      <c r="L34" s="127">
        <f>K34-I34</f>
        <v>-52.989964900000011</v>
      </c>
      <c r="M34" s="126"/>
      <c r="N34" s="96">
        <f>SUM(N18:N33)</f>
        <v>8.5555502000000008</v>
      </c>
      <c r="O34" s="110"/>
      <c r="P34" s="95">
        <f>SUM(P18:P33)</f>
        <v>9.2681350999999967</v>
      </c>
      <c r="Q34" s="127">
        <f>P34-N34</f>
        <v>0.71258489999999597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-0.12561783709082638</v>
      </c>
      <c r="H35" s="128"/>
      <c r="I35" s="120"/>
      <c r="J35" s="111"/>
      <c r="K35" s="97"/>
      <c r="L35" s="129">
        <f>L34/I34</f>
        <v>-0.85113366614143393</v>
      </c>
      <c r="M35" s="128"/>
      <c r="N35" s="120"/>
      <c r="O35" s="111"/>
      <c r="P35" s="97"/>
      <c r="Q35" s="129">
        <f>Q34/N34</f>
        <v>8.3289196292717207E-2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Approved'!$K$26</f>
        <v>2.0867</v>
      </c>
      <c r="D37" s="42">
        <f>C37*D$8</f>
        <v>2.0867</v>
      </c>
      <c r="E37" s="114">
        <f>'2016 Proposed'!$G$28</f>
        <v>2.0402999999999998</v>
      </c>
      <c r="F37" s="7">
        <f>E37*F$8</f>
        <v>2.0402999999999998</v>
      </c>
      <c r="G37" s="85"/>
      <c r="H37" s="59">
        <f>'2015 Approved'!$O$26</f>
        <v>2.6280000000000001</v>
      </c>
      <c r="I37" s="42">
        <f>H37*I$8</f>
        <v>2.6280000000000001</v>
      </c>
      <c r="J37" s="114">
        <f>'2016 Proposed'!$G$28</f>
        <v>2.0402999999999998</v>
      </c>
      <c r="K37" s="7">
        <f>J37*K$8</f>
        <v>2.0402999999999998</v>
      </c>
      <c r="L37" s="85"/>
      <c r="M37" s="59">
        <f>'2015 Approved'!$V$26</f>
        <v>2.1549</v>
      </c>
      <c r="N37" s="42">
        <f>M37*N$8</f>
        <v>2.1549</v>
      </c>
      <c r="O37" s="114">
        <f>'2016 Proposed'!$G$28</f>
        <v>2.0402999999999998</v>
      </c>
      <c r="P37" s="7">
        <f>O37*P$8</f>
        <v>2.0402999999999998</v>
      </c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Approved'!$K$27</f>
        <v>1.4890000000000001</v>
      </c>
      <c r="D38" s="42">
        <f>C38*D$8</f>
        <v>1.4890000000000001</v>
      </c>
      <c r="E38" s="114">
        <f>'2016 Proposed'!$G$29</f>
        <v>1.5096000000000001</v>
      </c>
      <c r="F38" s="7">
        <f>E38*F$8</f>
        <v>1.5096000000000001</v>
      </c>
      <c r="G38" s="85"/>
      <c r="H38" s="59">
        <f>'2015 Approved'!$O$27</f>
        <v>1.829</v>
      </c>
      <c r="I38" s="42">
        <f>H38*I$8</f>
        <v>1.829</v>
      </c>
      <c r="J38" s="114">
        <f>'2016 Proposed'!$G$29</f>
        <v>1.5096000000000001</v>
      </c>
      <c r="K38" s="7">
        <f>J38*K$8</f>
        <v>1.5096000000000001</v>
      </c>
      <c r="L38" s="85"/>
      <c r="M38" s="59">
        <f>'2015 Approved'!$V$27</f>
        <v>1.5445</v>
      </c>
      <c r="N38" s="42">
        <f>M38*N$8</f>
        <v>1.5445</v>
      </c>
      <c r="O38" s="114">
        <f>'2016 Proposed'!$G$29</f>
        <v>1.5096000000000001</v>
      </c>
      <c r="P38" s="7">
        <f>O38*P$8</f>
        <v>1.5096000000000001</v>
      </c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3.5757000000000003</v>
      </c>
      <c r="E39" s="110"/>
      <c r="F39" s="95">
        <f>SUM(F37:F38)</f>
        <v>3.5499000000000001</v>
      </c>
      <c r="G39" s="127">
        <f>F39-D39</f>
        <v>-2.5800000000000267E-2</v>
      </c>
      <c r="H39" s="126"/>
      <c r="I39" s="96">
        <f>SUM(I37:I38)</f>
        <v>4.4569999999999999</v>
      </c>
      <c r="J39" s="110"/>
      <c r="K39" s="95">
        <f>SUM(K37:K38)</f>
        <v>3.5499000000000001</v>
      </c>
      <c r="L39" s="127">
        <f>K39-I39</f>
        <v>-0.9070999999999998</v>
      </c>
      <c r="M39" s="126"/>
      <c r="N39" s="96">
        <f>SUM(N37:N38)</f>
        <v>3.6993999999999998</v>
      </c>
      <c r="O39" s="110"/>
      <c r="P39" s="95">
        <f>SUM(P37:P38)</f>
        <v>3.5499000000000001</v>
      </c>
      <c r="Q39" s="127">
        <f>P39-N39</f>
        <v>-0.14949999999999974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-7.2153704169813648E-3</v>
      </c>
      <c r="H40" s="128"/>
      <c r="I40" s="120"/>
      <c r="J40" s="111"/>
      <c r="K40" s="97"/>
      <c r="L40" s="129">
        <f>L39/I39</f>
        <v>-0.20352254879964096</v>
      </c>
      <c r="M40" s="128"/>
      <c r="N40" s="120"/>
      <c r="O40" s="111"/>
      <c r="P40" s="97"/>
      <c r="Q40" s="129">
        <f>Q39/N39</f>
        <v>-4.0411958696004689E-2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31.687932799999999</v>
      </c>
      <c r="E48" s="115"/>
      <c r="F48" s="102">
        <f>F15+F34+F39+F46</f>
        <v>30.330885600000002</v>
      </c>
      <c r="G48" s="133"/>
      <c r="H48" s="132"/>
      <c r="I48" s="122">
        <f>I15+I34+I39+I46</f>
        <v>68.922084000000012</v>
      </c>
      <c r="J48" s="115"/>
      <c r="K48" s="102">
        <f>K15+K34+K39+K46</f>
        <v>30.330885600000002</v>
      </c>
      <c r="L48" s="133"/>
      <c r="M48" s="132"/>
      <c r="N48" s="122">
        <f>N15+N34+N39+N46</f>
        <v>29.787551200000003</v>
      </c>
      <c r="O48" s="115"/>
      <c r="P48" s="102">
        <f>P15+P34+P39+P46</f>
        <v>30.330885600000002</v>
      </c>
      <c r="Q48" s="133"/>
      <c r="R48" s="132"/>
      <c r="S48" s="122">
        <f>S15+S34+S39+S46</f>
        <v>15.321000000000002</v>
      </c>
      <c r="T48" s="115"/>
      <c r="U48" s="102">
        <f>U15+U34+U39+U46</f>
        <v>15.321000000000002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4.1194312640000001</v>
      </c>
      <c r="E49" s="116"/>
      <c r="F49" s="99">
        <f>F48*0.13</f>
        <v>3.9430151280000003</v>
      </c>
      <c r="G49" s="134"/>
      <c r="H49" s="87"/>
      <c r="I49" s="43">
        <f>I48*0.13</f>
        <v>8.959870920000002</v>
      </c>
      <c r="J49" s="116"/>
      <c r="K49" s="99">
        <f>K48*0.13</f>
        <v>3.9430151280000003</v>
      </c>
      <c r="L49" s="134"/>
      <c r="M49" s="87"/>
      <c r="N49" s="43">
        <f>N48*0.13</f>
        <v>3.8723816560000004</v>
      </c>
      <c r="O49" s="116"/>
      <c r="P49" s="99">
        <f>P48*0.13</f>
        <v>3.9430151280000003</v>
      </c>
      <c r="Q49" s="134"/>
      <c r="R49" s="87"/>
      <c r="S49" s="43"/>
      <c r="T49" s="116"/>
      <c r="U49" s="99"/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-3.5807364063999998</v>
      </c>
      <c r="E50" s="117"/>
      <c r="F50" s="70">
        <f>SUM(F48:F49)*-0.1</f>
        <v>-3.4273900728000002</v>
      </c>
      <c r="G50" s="125"/>
      <c r="H50" s="88"/>
      <c r="I50" s="69">
        <f>SUM(I48:I49)*-0.1</f>
        <v>-7.7881954920000016</v>
      </c>
      <c r="J50" s="117"/>
      <c r="K50" s="70">
        <f>SUM(K48:K49)*-0.1</f>
        <v>-3.4273900728000002</v>
      </c>
      <c r="L50" s="125"/>
      <c r="M50" s="88"/>
      <c r="N50" s="69">
        <f>SUM(N48:N49)*-0.1</f>
        <v>-3.3659932856000006</v>
      </c>
      <c r="O50" s="117"/>
      <c r="P50" s="70">
        <f>SUM(P48:P49)*-0.1</f>
        <v>-3.4273900728000002</v>
      </c>
      <c r="Q50" s="125"/>
      <c r="R50" s="88"/>
      <c r="S50" s="69"/>
      <c r="T50" s="117"/>
      <c r="U50" s="70"/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32.226627657599998</v>
      </c>
      <c r="E51" s="118"/>
      <c r="F51" s="103">
        <f>SUM(F48:F50)</f>
        <v>30.846510655199999</v>
      </c>
      <c r="G51" s="136">
        <f>F51-D51</f>
        <v>-1.3801170023999987</v>
      </c>
      <c r="H51" s="135"/>
      <c r="I51" s="104">
        <f>SUM(I48:I50)</f>
        <v>70.093759428000013</v>
      </c>
      <c r="J51" s="118"/>
      <c r="K51" s="103">
        <f>SUM(K48:K50)</f>
        <v>30.846510655199999</v>
      </c>
      <c r="L51" s="136">
        <f>K51-I51</f>
        <v>-39.247248772800013</v>
      </c>
      <c r="M51" s="135"/>
      <c r="N51" s="104">
        <f>SUM(N48:N50)</f>
        <v>30.293939570400003</v>
      </c>
      <c r="O51" s="118"/>
      <c r="P51" s="103">
        <f>SUM(P48:P50)</f>
        <v>30.846510655199999</v>
      </c>
      <c r="Q51" s="136">
        <f>P51-N51</f>
        <v>0.55257108479999673</v>
      </c>
      <c r="R51" s="135"/>
      <c r="S51" s="104">
        <f>SUM(S48:S50)</f>
        <v>15.321000000000002</v>
      </c>
      <c r="T51" s="118"/>
      <c r="U51" s="103">
        <f>SUM(U48:U50)</f>
        <v>15.321000000000002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-4.2825362214855452E-2</v>
      </c>
      <c r="H52" s="137"/>
      <c r="I52" s="123"/>
      <c r="J52" s="119"/>
      <c r="K52" s="105"/>
      <c r="L52" s="138">
        <f>L51/I51</f>
        <v>-0.55992500749106777</v>
      </c>
      <c r="M52" s="137"/>
      <c r="N52" s="123"/>
      <c r="O52" s="119"/>
      <c r="P52" s="105"/>
      <c r="Q52" s="138">
        <f>Q51/N51</f>
        <v>1.8240317787519129E-2</v>
      </c>
      <c r="R52" s="137"/>
      <c r="S52" s="123"/>
      <c r="T52" s="119"/>
      <c r="U52" s="105"/>
      <c r="V52" s="138">
        <f>V51/S51</f>
        <v>0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127</v>
      </c>
      <c r="C54" s="202">
        <f>'2015 Approved'!$K$23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Approved'!$V$23</f>
        <v>0</v>
      </c>
      <c r="N54" s="43">
        <f>M54*N$8</f>
        <v>0</v>
      </c>
      <c r="O54" s="203">
        <f>M54</f>
        <v>0</v>
      </c>
      <c r="P54" s="7">
        <f>O54*P$8</f>
        <v>0</v>
      </c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Approved'!$K$24</f>
        <v>0.49159999999999993</v>
      </c>
      <c r="D55" s="42">
        <f>C55*D8</f>
        <v>0.49159999999999993</v>
      </c>
      <c r="E55" s="203">
        <f>'2016 Proposed'!$G$26</f>
        <v>0</v>
      </c>
      <c r="F55" s="7">
        <f>E55*F8</f>
        <v>0</v>
      </c>
      <c r="G55" s="85"/>
      <c r="H55" s="59">
        <f>'2015 Approved'!$O$24</f>
        <v>-0.28370000000000001</v>
      </c>
      <c r="I55" s="43">
        <f>H55*I$8</f>
        <v>-0.28370000000000001</v>
      </c>
      <c r="J55" s="114">
        <f>'2016 Proposed'!$G$26</f>
        <v>0</v>
      </c>
      <c r="K55" s="7">
        <f>J55*K$8</f>
        <v>0</v>
      </c>
      <c r="L55" s="85"/>
      <c r="M55" s="59">
        <f>'2015 Approved'!$V$24</f>
        <v>0</v>
      </c>
      <c r="N55" s="43">
        <f>M55*N$8</f>
        <v>0</v>
      </c>
      <c r="O55" s="114">
        <f>'2016 Proposed'!$G$26</f>
        <v>0</v>
      </c>
      <c r="P55" s="7">
        <f>O55*P$8</f>
        <v>0</v>
      </c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32.179532799999997</v>
      </c>
      <c r="E56" s="106"/>
      <c r="F56" s="7">
        <f>F48+SUM(F54:F55)</f>
        <v>30.330885600000002</v>
      </c>
      <c r="G56" s="85"/>
      <c r="H56" s="86"/>
      <c r="I56" s="42">
        <f>I48+I55+I54</f>
        <v>68.638384000000016</v>
      </c>
      <c r="J56" s="106"/>
      <c r="K56" s="7">
        <f>K48+K55+K54</f>
        <v>30.330885600000002</v>
      </c>
      <c r="L56" s="85"/>
      <c r="M56" s="86"/>
      <c r="N56" s="42">
        <f>N48+N55+N54</f>
        <v>29.787551200000003</v>
      </c>
      <c r="O56" s="106"/>
      <c r="P56" s="7">
        <f>P48+P55+P54</f>
        <v>30.330885600000002</v>
      </c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4.1833392639999998</v>
      </c>
      <c r="E57" s="106"/>
      <c r="F57" s="7">
        <f>F56*0.13</f>
        <v>3.9430151280000003</v>
      </c>
      <c r="G57" s="85"/>
      <c r="H57" s="86"/>
      <c r="I57" s="42">
        <f>I56*0.13</f>
        <v>8.9229899200000027</v>
      </c>
      <c r="J57" s="106"/>
      <c r="K57" s="7">
        <f>K56*0.13</f>
        <v>3.9430151280000003</v>
      </c>
      <c r="L57" s="85"/>
      <c r="M57" s="86"/>
      <c r="N57" s="42">
        <f>N56*0.13</f>
        <v>3.8723816560000004</v>
      </c>
      <c r="O57" s="106"/>
      <c r="P57" s="7">
        <f>P56*0.13</f>
        <v>3.9430151280000003</v>
      </c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-3.6362872063999996</v>
      </c>
      <c r="E58" s="106"/>
      <c r="F58" s="7">
        <f>SUM(F56:F57)*-0.1</f>
        <v>-3.4273900728000002</v>
      </c>
      <c r="G58" s="85"/>
      <c r="H58" s="86"/>
      <c r="I58" s="42">
        <f>SUM(I56:I57)*-0.1</f>
        <v>-7.756137392000003</v>
      </c>
      <c r="J58" s="106"/>
      <c r="K58" s="7">
        <f>SUM(K56:K57)*-0.1</f>
        <v>-3.4273900728000002</v>
      </c>
      <c r="L58" s="85"/>
      <c r="M58" s="86"/>
      <c r="N58" s="42">
        <f>SUM(N56:N57)*-0.1</f>
        <v>-3.3659932856000006</v>
      </c>
      <c r="O58" s="106"/>
      <c r="P58" s="7">
        <f>SUM(P56:P57)*-0.1</f>
        <v>-3.4273900728000002</v>
      </c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32.726584857599995</v>
      </c>
      <c r="E59" s="181"/>
      <c r="F59" s="182">
        <f>SUM(F56:F58)</f>
        <v>30.846510655199999</v>
      </c>
      <c r="G59" s="183">
        <f>F59-D59</f>
        <v>-1.8800742023999959</v>
      </c>
      <c r="H59" s="179"/>
      <c r="I59" s="180">
        <f>SUM(I56:I58)</f>
        <v>69.805236528000023</v>
      </c>
      <c r="J59" s="181"/>
      <c r="K59" s="182">
        <f>SUM(K56:K58)</f>
        <v>30.846510655199999</v>
      </c>
      <c r="L59" s="183">
        <f>K59-I59</f>
        <v>-38.958725872800024</v>
      </c>
      <c r="M59" s="179"/>
      <c r="N59" s="180">
        <f>SUM(N56:N58)</f>
        <v>30.293939570400003</v>
      </c>
      <c r="O59" s="181"/>
      <c r="P59" s="182">
        <f>SUM(P56:P58)</f>
        <v>30.846510655199999</v>
      </c>
      <c r="Q59" s="183">
        <f>P59-N59</f>
        <v>0.55257108479999673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-5.7447919194153006E-2</v>
      </c>
      <c r="H60" s="186"/>
      <c r="I60" s="187"/>
      <c r="J60" s="188"/>
      <c r="K60" s="189"/>
      <c r="L60" s="190">
        <f>L59/I59</f>
        <v>-0.55810606496796322</v>
      </c>
      <c r="M60" s="186"/>
      <c r="N60" s="187"/>
      <c r="O60" s="188"/>
      <c r="P60" s="189"/>
      <c r="Q60" s="190">
        <f>Q59/N59</f>
        <v>1.8240317787519129E-2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SUM(D18:D21)+D23+D24+D33</f>
        <v>9.9842388</v>
      </c>
      <c r="E63" s="106"/>
      <c r="F63" s="7">
        <f>SUM(F18:F21)+F23+F24+F33</f>
        <v>7.9614350999999974</v>
      </c>
      <c r="G63" s="56">
        <f>F63-D63</f>
        <v>-2.0228037000000025</v>
      </c>
      <c r="H63" s="86"/>
      <c r="I63" s="42">
        <f>SUM(I18:I21)+I23+I24+I33</f>
        <v>61.6494</v>
      </c>
      <c r="J63" s="106"/>
      <c r="K63" s="7">
        <f>SUM(K18:K21)+K23+K24+K33</f>
        <v>7.9614350999999974</v>
      </c>
      <c r="L63" s="56">
        <f>K63-I63</f>
        <v>-53.687964900000004</v>
      </c>
      <c r="M63" s="86"/>
      <c r="N63" s="42">
        <f>SUM(N18:N21)+N23+N24+N33</f>
        <v>7.2181502000000011</v>
      </c>
      <c r="O63" s="106"/>
      <c r="P63" s="7">
        <f>SUM(P18:P21)+P23+P24+P33</f>
        <v>7.9614350999999974</v>
      </c>
      <c r="Q63" s="56">
        <f>P63-N63</f>
        <v>0.74328489999999636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13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-0.19083704059802517</v>
      </c>
      <c r="H64" s="166"/>
      <c r="I64" s="167"/>
      <c r="J64" s="168"/>
      <c r="K64" s="93"/>
      <c r="L64" s="169">
        <f>L63/SUM(I63:I66)</f>
        <v>-0.86234505871525158</v>
      </c>
      <c r="M64" s="166"/>
      <c r="N64" s="167"/>
      <c r="O64" s="168"/>
      <c r="P64" s="93"/>
      <c r="Q64" s="169">
        <f>Q63/SUM(N63:N66)</f>
        <v>8.6877510227220262E-2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13"/>
        <v>58</v>
      </c>
      <c r="B65" s="85" t="s">
        <v>121</v>
      </c>
      <c r="C65" s="86"/>
      <c r="D65" s="42">
        <f>D22+SUM(D25:D32)</f>
        <v>0.61539999999999995</v>
      </c>
      <c r="E65" s="106"/>
      <c r="F65" s="7">
        <f>F22+SUM(F25:F32)</f>
        <v>1.3067</v>
      </c>
      <c r="G65" s="56">
        <f>F65-D65</f>
        <v>0.69130000000000003</v>
      </c>
      <c r="H65" s="86"/>
      <c r="I65" s="42">
        <f>I22+SUM(I25:I32)</f>
        <v>0.60870000000000002</v>
      </c>
      <c r="J65" s="106"/>
      <c r="K65" s="7">
        <f>K22+SUM(K25:K32)</f>
        <v>1.3067</v>
      </c>
      <c r="L65" s="56">
        <f>K65-I65</f>
        <v>0.69799999999999995</v>
      </c>
      <c r="M65" s="86"/>
      <c r="N65" s="42">
        <f>N22+SUM(N25:N32)</f>
        <v>1.3374000000000001</v>
      </c>
      <c r="O65" s="106"/>
      <c r="P65" s="7">
        <f>P22+SUM(P25:P32)</f>
        <v>1.3067</v>
      </c>
      <c r="Q65" s="56">
        <f>P65-N65</f>
        <v>-3.0700000000000172E-2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13"/>
        <v>59</v>
      </c>
      <c r="B66" s="171" t="s">
        <v>118</v>
      </c>
      <c r="C66" s="172"/>
      <c r="D66" s="173"/>
      <c r="E66" s="174"/>
      <c r="F66" s="175"/>
      <c r="G66" s="176">
        <f>G65/SUM(D63:D66)</f>
        <v>6.5219203507198759E-2</v>
      </c>
      <c r="H66" s="172"/>
      <c r="I66" s="173"/>
      <c r="J66" s="174"/>
      <c r="K66" s="175"/>
      <c r="L66" s="176">
        <f>L65/SUM(I63:I66)</f>
        <v>1.1211392573817704E-2</v>
      </c>
      <c r="M66" s="172"/>
      <c r="N66" s="173"/>
      <c r="O66" s="174"/>
      <c r="P66" s="175"/>
      <c r="Q66" s="176">
        <f>Q65/SUM(N63:N66)</f>
        <v>-3.588313934503028E-3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Approved'!$L$4</f>
        <v>1.73</v>
      </c>
      <c r="D18" s="42">
        <f>C18</f>
        <v>1.73</v>
      </c>
      <c r="E18" s="113">
        <f>'2016 Proposed'!$H$3</f>
        <v>1.1200000000000001</v>
      </c>
      <c r="F18" s="7">
        <f>E18</f>
        <v>1.1200000000000001</v>
      </c>
      <c r="G18" s="85"/>
      <c r="H18" s="55">
        <f>'2015 Approved'!$S$4</f>
        <v>0.14000000000000001</v>
      </c>
      <c r="I18" s="42">
        <f>H18</f>
        <v>0.14000000000000001</v>
      </c>
      <c r="J18" s="113">
        <f>'2016 Proposed'!$H$3</f>
        <v>1.1200000000000001</v>
      </c>
      <c r="K18" s="7">
        <f>J18</f>
        <v>1.1200000000000001</v>
      </c>
      <c r="L18" s="85"/>
      <c r="M18" s="55">
        <f>'2015 Approved'!$W$4</f>
        <v>0.66</v>
      </c>
      <c r="N18" s="42">
        <f>M18</f>
        <v>0.66</v>
      </c>
      <c r="O18" s="113">
        <f>'2016 Proposed'!$H$3</f>
        <v>1.1200000000000001</v>
      </c>
      <c r="P18" s="7">
        <f>O18</f>
        <v>1.1200000000000001</v>
      </c>
      <c r="Q18" s="85"/>
      <c r="R18" s="55">
        <f>'2015 Approved'!$AA$4</f>
        <v>0.85</v>
      </c>
      <c r="S18" s="42">
        <f>R18</f>
        <v>0.85</v>
      </c>
      <c r="T18" s="113">
        <f>'2016 Proposed'!$H$3</f>
        <v>1.1200000000000001</v>
      </c>
      <c r="U18" s="7">
        <f>T18</f>
        <v>1.1200000000000001</v>
      </c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Approved'!$L$5</f>
        <v>0</v>
      </c>
      <c r="D19" s="42">
        <f t="shared" ref="D19:D22" si="1">C19</f>
        <v>0</v>
      </c>
      <c r="E19" s="113">
        <f>'2016 Proposed'!$H$5</f>
        <v>0</v>
      </c>
      <c r="F19" s="7">
        <f t="shared" ref="F19:F22" si="2">E19</f>
        <v>0</v>
      </c>
      <c r="G19" s="85"/>
      <c r="H19" s="55">
        <f>'2015 Approved'!$S$5</f>
        <v>0</v>
      </c>
      <c r="I19" s="42">
        <f t="shared" ref="I19:I22" si="3">H19</f>
        <v>0</v>
      </c>
      <c r="J19" s="113">
        <f>'2016 Proposed'!$H$5</f>
        <v>0</v>
      </c>
      <c r="K19" s="7">
        <f t="shared" ref="K19:K22" si="4">J19</f>
        <v>0</v>
      </c>
      <c r="L19" s="85"/>
      <c r="M19" s="55">
        <f>'2015 Approved'!$W$5</f>
        <v>0</v>
      </c>
      <c r="N19" s="42">
        <f t="shared" ref="N19:N22" si="5">M19</f>
        <v>0</v>
      </c>
      <c r="O19" s="113">
        <f>'2016 Proposed'!$H$5</f>
        <v>0</v>
      </c>
      <c r="P19" s="7">
        <f t="shared" ref="P19:P22" si="6">O19</f>
        <v>0</v>
      </c>
      <c r="Q19" s="85"/>
      <c r="R19" s="55">
        <f>'2015 Approved'!$AA$5</f>
        <v>0</v>
      </c>
      <c r="S19" s="42">
        <f t="shared" ref="S19:S22" si="7">R19</f>
        <v>0</v>
      </c>
      <c r="T19" s="113">
        <f>'2016 Proposed'!$H$5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Approved'!$L$6</f>
        <v>0</v>
      </c>
      <c r="D20" s="42">
        <f t="shared" si="1"/>
        <v>0</v>
      </c>
      <c r="E20" s="113">
        <f>'2016 Proposed'!$H$6</f>
        <v>0</v>
      </c>
      <c r="F20" s="7">
        <f t="shared" si="2"/>
        <v>0</v>
      </c>
      <c r="G20" s="85"/>
      <c r="H20" s="55">
        <f>'2015 Approved'!$S$6</f>
        <v>0</v>
      </c>
      <c r="I20" s="42">
        <f t="shared" si="3"/>
        <v>0</v>
      </c>
      <c r="J20" s="113">
        <f>'2016 Proposed'!$H$6</f>
        <v>0</v>
      </c>
      <c r="K20" s="7">
        <f t="shared" si="4"/>
        <v>0</v>
      </c>
      <c r="L20" s="85"/>
      <c r="M20" s="55">
        <f>'2015 Approved'!$W$6</f>
        <v>0</v>
      </c>
      <c r="N20" s="42">
        <f t="shared" si="5"/>
        <v>0</v>
      </c>
      <c r="O20" s="113">
        <f>'2016 Proposed'!$H$6</f>
        <v>0</v>
      </c>
      <c r="P20" s="7">
        <f t="shared" si="6"/>
        <v>0</v>
      </c>
      <c r="Q20" s="85"/>
      <c r="R20" s="55">
        <f>'2015 Approved'!$AA$6</f>
        <v>0</v>
      </c>
      <c r="S20" s="42">
        <f t="shared" si="7"/>
        <v>0</v>
      </c>
      <c r="T20" s="113">
        <f>'2016 Proposed'!$H$6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Approved'!$L$7</f>
        <v>0</v>
      </c>
      <c r="D21" s="42">
        <f t="shared" si="1"/>
        <v>0</v>
      </c>
      <c r="E21" s="113">
        <f>'2016 Proposed'!$H$7</f>
        <v>0</v>
      </c>
      <c r="F21" s="7">
        <f t="shared" si="2"/>
        <v>0</v>
      </c>
      <c r="G21" s="85"/>
      <c r="H21" s="55">
        <f>'2015 Approved'!$S$7</f>
        <v>0</v>
      </c>
      <c r="I21" s="42">
        <f t="shared" si="3"/>
        <v>0</v>
      </c>
      <c r="J21" s="113">
        <f>'2016 Proposed'!$H$8</f>
        <v>0</v>
      </c>
      <c r="K21" s="7">
        <f t="shared" si="4"/>
        <v>0</v>
      </c>
      <c r="L21" s="85"/>
      <c r="M21" s="55">
        <f>'2015 Approved'!$W$7</f>
        <v>0</v>
      </c>
      <c r="N21" s="42">
        <f t="shared" si="5"/>
        <v>0</v>
      </c>
      <c r="O21" s="113">
        <f>'2016 Proposed'!$H$8</f>
        <v>0</v>
      </c>
      <c r="P21" s="7">
        <f t="shared" si="6"/>
        <v>0</v>
      </c>
      <c r="Q21" s="85"/>
      <c r="R21" s="55">
        <f>'2015 Approved'!$AA$7</f>
        <v>0</v>
      </c>
      <c r="S21" s="42">
        <f t="shared" si="7"/>
        <v>0</v>
      </c>
      <c r="T21" s="113">
        <f>'2016 Proposed'!$H$7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Approved'!$L$8</f>
        <v>0</v>
      </c>
      <c r="D22" s="42">
        <f t="shared" si="1"/>
        <v>0</v>
      </c>
      <c r="E22" s="113">
        <f>'2016 Proposed'!$H$8</f>
        <v>0</v>
      </c>
      <c r="F22" s="7">
        <f t="shared" si="2"/>
        <v>0</v>
      </c>
      <c r="G22" s="85"/>
      <c r="H22" s="55">
        <f>'2015 Approved'!$S$8</f>
        <v>0</v>
      </c>
      <c r="I22" s="42">
        <f t="shared" si="3"/>
        <v>0</v>
      </c>
      <c r="J22" s="113">
        <f>'2016 Proposed'!$H$8</f>
        <v>0</v>
      </c>
      <c r="K22" s="7">
        <f t="shared" si="4"/>
        <v>0</v>
      </c>
      <c r="L22" s="85"/>
      <c r="M22" s="55">
        <f>'2015 Approved'!$W$8</f>
        <v>0</v>
      </c>
      <c r="N22" s="42">
        <f t="shared" si="5"/>
        <v>0</v>
      </c>
      <c r="O22" s="113">
        <f>'2016 Proposed'!$H$8</f>
        <v>0</v>
      </c>
      <c r="P22" s="7">
        <f t="shared" si="6"/>
        <v>0</v>
      </c>
      <c r="Q22" s="85"/>
      <c r="R22" s="55">
        <f>'2015 Approved'!$AA$8</f>
        <v>0</v>
      </c>
      <c r="S22" s="42">
        <f t="shared" si="7"/>
        <v>0</v>
      </c>
      <c r="T22" s="113">
        <f>'2016 Proposed'!$H$8</f>
        <v>0</v>
      </c>
      <c r="U22" s="7">
        <f t="shared" si="8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>
        <f>S15/S7</f>
        <v>0.10214000000000001</v>
      </c>
      <c r="S23" s="42">
        <f>(S10-S7)*R23</f>
        <v>0.8886180000000018</v>
      </c>
      <c r="T23" s="114">
        <f>U15/$F$7</f>
        <v>0.10214000000000001</v>
      </c>
      <c r="U23" s="7">
        <f>(U10-U7)*T23</f>
        <v>0.66033509999999751</v>
      </c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Approved'!$L$11</f>
        <v>1.2859</v>
      </c>
      <c r="D24" s="42">
        <f>C24*D$8</f>
        <v>1.2859</v>
      </c>
      <c r="E24" s="114">
        <f>'2016 Proposed'!$H$11</f>
        <v>0.94140000000000001</v>
      </c>
      <c r="F24" s="7">
        <f>E24*F$8</f>
        <v>0.94140000000000001</v>
      </c>
      <c r="G24" s="85"/>
      <c r="H24" s="59">
        <f>'2015 Approved'!$S$11</f>
        <v>0.6069</v>
      </c>
      <c r="I24" s="42">
        <f t="shared" ref="I24:I33" si="9">H24*I$8</f>
        <v>0.6069</v>
      </c>
      <c r="J24" s="114">
        <f>'2016 Proposed'!$H$11</f>
        <v>0.94140000000000001</v>
      </c>
      <c r="K24" s="7">
        <f t="shared" ref="K24:K33" si="10">J24*K$8</f>
        <v>0.94140000000000001</v>
      </c>
      <c r="L24" s="85"/>
      <c r="M24" s="59">
        <f>'2015 Approved'!$W$11</f>
        <v>3.0966</v>
      </c>
      <c r="N24" s="42">
        <f t="shared" ref="N24:N33" si="11">M24*N$8</f>
        <v>3.0966</v>
      </c>
      <c r="O24" s="114">
        <f>'2016 Proposed'!$H$11</f>
        <v>0.94140000000000001</v>
      </c>
      <c r="P24" s="7">
        <f t="shared" ref="P24:P33" si="12">O24*P$8</f>
        <v>0.94140000000000001</v>
      </c>
      <c r="Q24" s="85"/>
      <c r="R24" s="59">
        <f>'2015 Approved'!$AA$11</f>
        <v>3.5493999999999999</v>
      </c>
      <c r="S24" s="42">
        <f t="shared" ref="S24:S33" si="13">R24*S$8</f>
        <v>3.5493999999999999</v>
      </c>
      <c r="T24" s="114">
        <f>'2016 Proposed'!$H$11</f>
        <v>0.94140000000000001</v>
      </c>
      <c r="U24" s="7">
        <f t="shared" ref="U24:U33" si="14">T24*U$8</f>
        <v>0.94140000000000001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Approved'!$L$12</f>
        <v>4.2700000000000002E-2</v>
      </c>
      <c r="D25" s="42">
        <f t="shared" ref="D25:D33" si="15">C25*D$8</f>
        <v>4.2700000000000002E-2</v>
      </c>
      <c r="E25" s="114">
        <f>'2016 Proposed'!$H$13</f>
        <v>0.47799999999999998</v>
      </c>
      <c r="F25" s="7">
        <f t="shared" ref="F25:F33" si="16">E25*F$8</f>
        <v>0.47799999999999998</v>
      </c>
      <c r="G25" s="85"/>
      <c r="H25" s="59">
        <f>'2015 Approved'!$S$12</f>
        <v>7.8799999999999995E-2</v>
      </c>
      <c r="I25" s="42">
        <f t="shared" si="9"/>
        <v>7.8799999999999995E-2</v>
      </c>
      <c r="J25" s="114">
        <f>'2016 Proposed'!$H$13</f>
        <v>0.47799999999999998</v>
      </c>
      <c r="K25" s="7">
        <f t="shared" si="10"/>
        <v>0.47799999999999998</v>
      </c>
      <c r="L25" s="85"/>
      <c r="M25" s="59">
        <f>'2015 Approved'!$W$12</f>
        <v>0.43440000000000001</v>
      </c>
      <c r="N25" s="42">
        <f t="shared" si="11"/>
        <v>0.43440000000000001</v>
      </c>
      <c r="O25" s="114">
        <f>'2016 Proposed'!$H$13</f>
        <v>0.47799999999999998</v>
      </c>
      <c r="P25" s="7">
        <f t="shared" si="12"/>
        <v>0.47799999999999998</v>
      </c>
      <c r="Q25" s="85"/>
      <c r="R25" s="59">
        <f>'2015 Approved'!$AA$12</f>
        <v>1.3352999999999999</v>
      </c>
      <c r="S25" s="42">
        <f t="shared" si="13"/>
        <v>1.3352999999999999</v>
      </c>
      <c r="T25" s="114">
        <f>'2016 Proposed'!$H$13</f>
        <v>0.47799999999999998</v>
      </c>
      <c r="U25" s="7">
        <f t="shared" si="14"/>
        <v>0.47799999999999998</v>
      </c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Approved'!$L$13</f>
        <v>0</v>
      </c>
      <c r="D26" s="42">
        <f t="shared" si="15"/>
        <v>0</v>
      </c>
      <c r="E26" s="114">
        <f>'2016 Proposed'!$H$14</f>
        <v>0</v>
      </c>
      <c r="F26" s="7">
        <f t="shared" si="16"/>
        <v>0</v>
      </c>
      <c r="G26" s="85"/>
      <c r="H26" s="59">
        <f>'2015 Approved'!$S$13</f>
        <v>0</v>
      </c>
      <c r="I26" s="42">
        <f t="shared" si="9"/>
        <v>0</v>
      </c>
      <c r="J26" s="114">
        <f>'2016 Proposed'!$H$14</f>
        <v>0</v>
      </c>
      <c r="K26" s="7">
        <f t="shared" si="10"/>
        <v>0</v>
      </c>
      <c r="L26" s="85"/>
      <c r="M26" s="59">
        <f>'2015 Approved'!$W$13</f>
        <v>0</v>
      </c>
      <c r="N26" s="42">
        <f t="shared" si="11"/>
        <v>0</v>
      </c>
      <c r="O26" s="114">
        <f>'2016 Proposed'!$H$14</f>
        <v>0</v>
      </c>
      <c r="P26" s="7">
        <f t="shared" si="12"/>
        <v>0</v>
      </c>
      <c r="Q26" s="85"/>
      <c r="R26" s="59">
        <f>'2015 Approved'!$AA$13</f>
        <v>0</v>
      </c>
      <c r="S26" s="42">
        <f t="shared" si="13"/>
        <v>0</v>
      </c>
      <c r="T26" s="114">
        <f>'2016 Proposed'!$H$14</f>
        <v>0</v>
      </c>
      <c r="U26" s="7">
        <f t="shared" si="14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Approved'!$L$14</f>
        <v>0</v>
      </c>
      <c r="D27" s="42">
        <f t="shared" si="15"/>
        <v>0</v>
      </c>
      <c r="E27" s="114">
        <f>'2016 Proposed'!$H$15</f>
        <v>5.9999999999999995E-4</v>
      </c>
      <c r="F27" s="7">
        <f t="shared" si="16"/>
        <v>5.9999999999999995E-4</v>
      </c>
      <c r="G27" s="85"/>
      <c r="H27" s="59">
        <f>'2015 Approved'!$S$14</f>
        <v>0</v>
      </c>
      <c r="I27" s="42">
        <f t="shared" si="9"/>
        <v>0</v>
      </c>
      <c r="J27" s="114">
        <f>'2016 Proposed'!$H$15</f>
        <v>5.9999999999999995E-4</v>
      </c>
      <c r="K27" s="7">
        <f t="shared" si="10"/>
        <v>5.9999999999999995E-4</v>
      </c>
      <c r="L27" s="85"/>
      <c r="M27" s="59">
        <f>'2015 Approved'!$W$14</f>
        <v>0</v>
      </c>
      <c r="N27" s="42">
        <f t="shared" si="11"/>
        <v>0</v>
      </c>
      <c r="O27" s="114">
        <f>'2016 Proposed'!$H$15</f>
        <v>5.9999999999999995E-4</v>
      </c>
      <c r="P27" s="7">
        <f t="shared" si="12"/>
        <v>5.9999999999999995E-4</v>
      </c>
      <c r="Q27" s="85"/>
      <c r="R27" s="59">
        <f>'2015 Approved'!$AA$14</f>
        <v>0</v>
      </c>
      <c r="S27" s="42">
        <f t="shared" si="13"/>
        <v>0</v>
      </c>
      <c r="T27" s="114">
        <f>'2016 Proposed'!$H$15</f>
        <v>5.9999999999999995E-4</v>
      </c>
      <c r="U27" s="7">
        <f t="shared" si="14"/>
        <v>5.9999999999999995E-4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Approved'!$L$15</f>
        <v>-7.3800000000000004E-2</v>
      </c>
      <c r="D28" s="42">
        <f t="shared" si="15"/>
        <v>-7.3800000000000004E-2</v>
      </c>
      <c r="E28" s="114">
        <f>'2016 Proposed'!$H$16</f>
        <v>0</v>
      </c>
      <c r="F28" s="7">
        <f t="shared" si="16"/>
        <v>0</v>
      </c>
      <c r="G28" s="85"/>
      <c r="H28" s="59">
        <f>'2015 Approved'!$S$15</f>
        <v>-8.5000000000000006E-3</v>
      </c>
      <c r="I28" s="42">
        <f t="shared" si="9"/>
        <v>-8.5000000000000006E-3</v>
      </c>
      <c r="J28" s="114">
        <f>'2016 Proposed'!$H$16</f>
        <v>0</v>
      </c>
      <c r="K28" s="7">
        <f t="shared" si="10"/>
        <v>0</v>
      </c>
      <c r="L28" s="85"/>
      <c r="M28" s="59">
        <f>'2015 Approved'!$W$15</f>
        <v>0</v>
      </c>
      <c r="N28" s="42">
        <f t="shared" si="11"/>
        <v>0</v>
      </c>
      <c r="O28" s="114">
        <f>'2016 Proposed'!$H$16</f>
        <v>0</v>
      </c>
      <c r="P28" s="7">
        <f t="shared" si="12"/>
        <v>0</v>
      </c>
      <c r="Q28" s="85"/>
      <c r="R28" s="59">
        <f>'2015 Approved'!$AA$15</f>
        <v>0</v>
      </c>
      <c r="S28" s="42">
        <f t="shared" si="13"/>
        <v>0</v>
      </c>
      <c r="T28" s="114">
        <f>'2016 Proposed'!$H$16</f>
        <v>0</v>
      </c>
      <c r="U28" s="7">
        <f t="shared" si="14"/>
        <v>0</v>
      </c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Approved'!$L$16</f>
        <v>0</v>
      </c>
      <c r="D29" s="42">
        <f t="shared" si="15"/>
        <v>0</v>
      </c>
      <c r="E29" s="114">
        <f>'2016 Proposed'!$H$17</f>
        <v>0</v>
      </c>
      <c r="F29" s="7">
        <f t="shared" si="16"/>
        <v>0</v>
      </c>
      <c r="G29" s="85"/>
      <c r="H29" s="59">
        <f>'2015 Approved'!$S$16</f>
        <v>0</v>
      </c>
      <c r="I29" s="42">
        <f t="shared" si="9"/>
        <v>0</v>
      </c>
      <c r="J29" s="114">
        <f>'2016 Proposed'!$H$17</f>
        <v>0</v>
      </c>
      <c r="K29" s="7">
        <f t="shared" si="10"/>
        <v>0</v>
      </c>
      <c r="L29" s="85"/>
      <c r="M29" s="59">
        <f>'2015 Approved'!$W$16</f>
        <v>0.14949999999999999</v>
      </c>
      <c r="N29" s="42">
        <f t="shared" si="11"/>
        <v>0.14949999999999999</v>
      </c>
      <c r="O29" s="114">
        <f>'2016 Proposed'!$H$17</f>
        <v>0</v>
      </c>
      <c r="P29" s="7">
        <f t="shared" si="12"/>
        <v>0</v>
      </c>
      <c r="Q29" s="85"/>
      <c r="R29" s="59">
        <f>'2015 Approved'!$AA$16</f>
        <v>0.7742</v>
      </c>
      <c r="S29" s="42">
        <f t="shared" si="13"/>
        <v>0.7742</v>
      </c>
      <c r="T29" s="114">
        <f>R29</f>
        <v>0.7742</v>
      </c>
      <c r="U29" s="7">
        <f t="shared" si="14"/>
        <v>0.7742</v>
      </c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Approved'!$L$17</f>
        <v>0.72819999999999996</v>
      </c>
      <c r="D30" s="42">
        <f t="shared" si="15"/>
        <v>0.72819999999999996</v>
      </c>
      <c r="E30" s="114">
        <f>'2016 Proposed'!$H$18</f>
        <v>0</v>
      </c>
      <c r="F30" s="7">
        <f t="shared" si="16"/>
        <v>0</v>
      </c>
      <c r="G30" s="85"/>
      <c r="H30" s="59">
        <f>'2015 Approved'!$S$17</f>
        <v>0.47539999999999999</v>
      </c>
      <c r="I30" s="42">
        <f t="shared" si="9"/>
        <v>0.47539999999999999</v>
      </c>
      <c r="J30" s="114">
        <f>'2016 Proposed'!$H$18</f>
        <v>0</v>
      </c>
      <c r="K30" s="7">
        <f t="shared" si="10"/>
        <v>0</v>
      </c>
      <c r="L30" s="85"/>
      <c r="M30" s="59">
        <f>'2015 Approved'!$W$17</f>
        <v>0.53459999999999996</v>
      </c>
      <c r="N30" s="42">
        <f t="shared" si="11"/>
        <v>0.53459999999999996</v>
      </c>
      <c r="O30" s="114">
        <f>'2016 Proposed'!$H$18</f>
        <v>0</v>
      </c>
      <c r="P30" s="7">
        <f t="shared" si="12"/>
        <v>0</v>
      </c>
      <c r="Q30" s="85"/>
      <c r="R30" s="59">
        <f>'2015 Approved'!$AA$17</f>
        <v>1.6468</v>
      </c>
      <c r="S30" s="42">
        <f t="shared" si="13"/>
        <v>1.6468</v>
      </c>
      <c r="T30" s="114">
        <f>'2016 Proposed'!$H$18</f>
        <v>0</v>
      </c>
      <c r="U30" s="7">
        <f t="shared" si="14"/>
        <v>0</v>
      </c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Approved'!$L$18</f>
        <v>0</v>
      </c>
      <c r="D31" s="42">
        <f t="shared" si="15"/>
        <v>0</v>
      </c>
      <c r="E31" s="114">
        <f>'2016 Proposed'!$H$19</f>
        <v>0.51600000000000001</v>
      </c>
      <c r="F31" s="7">
        <f t="shared" si="16"/>
        <v>0.51600000000000001</v>
      </c>
      <c r="G31" s="85"/>
      <c r="H31" s="59">
        <f>'2015 Approved'!$S$18</f>
        <v>0</v>
      </c>
      <c r="I31" s="42">
        <f t="shared" si="9"/>
        <v>0</v>
      </c>
      <c r="J31" s="114">
        <f>'2016 Proposed'!$H$19</f>
        <v>0.51600000000000001</v>
      </c>
      <c r="K31" s="7">
        <f t="shared" si="10"/>
        <v>0.51600000000000001</v>
      </c>
      <c r="L31" s="85"/>
      <c r="M31" s="59">
        <f>'2015 Approved'!$W$18</f>
        <v>0</v>
      </c>
      <c r="N31" s="42">
        <f t="shared" si="11"/>
        <v>0</v>
      </c>
      <c r="O31" s="114">
        <f>'2016 Proposed'!$H$19</f>
        <v>0.51600000000000001</v>
      </c>
      <c r="P31" s="7">
        <f t="shared" si="12"/>
        <v>0.51600000000000001</v>
      </c>
      <c r="Q31" s="85"/>
      <c r="R31" s="59">
        <f>'2015 Approved'!$AA$18</f>
        <v>0</v>
      </c>
      <c r="S31" s="42">
        <f t="shared" si="13"/>
        <v>0</v>
      </c>
      <c r="T31" s="114">
        <f>'2016 Proposed'!$H$19</f>
        <v>0.51600000000000001</v>
      </c>
      <c r="U31" s="7">
        <f t="shared" si="14"/>
        <v>0.51600000000000001</v>
      </c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Approved'!$L$19</f>
        <v>0</v>
      </c>
      <c r="D32" s="42">
        <f t="shared" si="15"/>
        <v>0</v>
      </c>
      <c r="E32" s="114">
        <f>'2016 Proposed'!$H$20</f>
        <v>0.24629999999999999</v>
      </c>
      <c r="F32" s="7">
        <f t="shared" si="16"/>
        <v>0.24629999999999999</v>
      </c>
      <c r="G32" s="85"/>
      <c r="H32" s="59">
        <f>'2015 Approved'!$S$19</f>
        <v>0</v>
      </c>
      <c r="I32" s="42">
        <f t="shared" si="9"/>
        <v>0</v>
      </c>
      <c r="J32" s="114">
        <f>'2016 Proposed'!$H$20</f>
        <v>0.24629999999999999</v>
      </c>
      <c r="K32" s="7">
        <f t="shared" si="10"/>
        <v>0.24629999999999999</v>
      </c>
      <c r="L32" s="85"/>
      <c r="M32" s="59">
        <f>'2015 Approved'!$W$19</f>
        <v>0</v>
      </c>
      <c r="N32" s="42">
        <f t="shared" si="11"/>
        <v>0</v>
      </c>
      <c r="O32" s="114">
        <f>'2016 Proposed'!$H$20</f>
        <v>0.24629999999999999</v>
      </c>
      <c r="P32" s="7">
        <f t="shared" si="12"/>
        <v>0.24629999999999999</v>
      </c>
      <c r="Q32" s="85"/>
      <c r="R32" s="59">
        <f>'2015 Approved'!$AA$19</f>
        <v>0</v>
      </c>
      <c r="S32" s="42">
        <f t="shared" si="13"/>
        <v>0</v>
      </c>
      <c r="T32" s="114">
        <f>'2016 Proposed'!$H$20</f>
        <v>0.24629999999999999</v>
      </c>
      <c r="U32" s="7">
        <f t="shared" si="14"/>
        <v>0.24629999999999999</v>
      </c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Approved'!$L$20</f>
        <v>0</v>
      </c>
      <c r="D33" s="42">
        <f t="shared" si="15"/>
        <v>0</v>
      </c>
      <c r="E33" s="114">
        <f>'2016 Proposed'!$H$21</f>
        <v>-0.73219999999999996</v>
      </c>
      <c r="F33" s="7">
        <f t="shared" si="16"/>
        <v>-0.73219999999999996</v>
      </c>
      <c r="G33" s="85"/>
      <c r="H33" s="59">
        <f>'2015 Approved'!$S$20</f>
        <v>0</v>
      </c>
      <c r="I33" s="42">
        <f t="shared" si="9"/>
        <v>0</v>
      </c>
      <c r="J33" s="114">
        <f>'2016 Proposed'!$H$21</f>
        <v>-0.73219999999999996</v>
      </c>
      <c r="K33" s="7">
        <f t="shared" si="10"/>
        <v>-0.73219999999999996</v>
      </c>
      <c r="L33" s="85"/>
      <c r="M33" s="59">
        <f>'2015 Approved'!$W$20</f>
        <v>0</v>
      </c>
      <c r="N33" s="42">
        <f t="shared" si="11"/>
        <v>0</v>
      </c>
      <c r="O33" s="114">
        <f>'2016 Proposed'!$H$21</f>
        <v>-0.73219999999999996</v>
      </c>
      <c r="P33" s="7">
        <f t="shared" si="12"/>
        <v>-0.73219999999999996</v>
      </c>
      <c r="Q33" s="85"/>
      <c r="R33" s="59">
        <f>'2015 Approved'!$AA$20</f>
        <v>0</v>
      </c>
      <c r="S33" s="42">
        <f t="shared" si="13"/>
        <v>0</v>
      </c>
      <c r="T33" s="114">
        <f>'2016 Proposed'!$H$21</f>
        <v>-0.73219999999999996</v>
      </c>
      <c r="U33" s="7">
        <f t="shared" si="14"/>
        <v>-0.73219999999999996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4.3687387999999983</v>
      </c>
      <c r="E34" s="110"/>
      <c r="F34" s="95">
        <f>SUM(F18:F33)</f>
        <v>3.2304350999999976</v>
      </c>
      <c r="G34" s="127">
        <f>F34-D34</f>
        <v>-1.1383037000000007</v>
      </c>
      <c r="H34" s="126"/>
      <c r="I34" s="96">
        <f>SUM(I18:I33)</f>
        <v>2.2241168000000004</v>
      </c>
      <c r="J34" s="110"/>
      <c r="K34" s="95">
        <f>SUM(K18:K33)</f>
        <v>3.2304350999999976</v>
      </c>
      <c r="L34" s="127">
        <f>K34-I34</f>
        <v>1.0063182999999971</v>
      </c>
      <c r="M34" s="126"/>
      <c r="N34" s="96">
        <f>SUM(N18:N33)</f>
        <v>5.8893502000000009</v>
      </c>
      <c r="O34" s="110"/>
      <c r="P34" s="95">
        <f>SUM(P18:P33)</f>
        <v>3.2304350999999976</v>
      </c>
      <c r="Q34" s="127">
        <f>P34-N34</f>
        <v>-2.6589151000000033</v>
      </c>
      <c r="R34" s="126"/>
      <c r="S34" s="96">
        <f>SUM(S18:S33)</f>
        <v>9.0443180000000023</v>
      </c>
      <c r="T34" s="110"/>
      <c r="U34" s="95">
        <f>SUM(U18:U33)</f>
        <v>4.0046350999999971</v>
      </c>
      <c r="V34" s="127">
        <f>U34-S34</f>
        <v>-5.0396829000000052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-0.26055659358714722</v>
      </c>
      <c r="H35" s="128"/>
      <c r="I35" s="120"/>
      <c r="J35" s="111"/>
      <c r="K35" s="97"/>
      <c r="L35" s="129">
        <f>L34/I34</f>
        <v>0.45245748784416218</v>
      </c>
      <c r="M35" s="128"/>
      <c r="N35" s="120"/>
      <c r="O35" s="111"/>
      <c r="P35" s="97"/>
      <c r="Q35" s="129">
        <f>Q34/N34</f>
        <v>-0.45147851795262622</v>
      </c>
      <c r="R35" s="128"/>
      <c r="S35" s="120"/>
      <c r="T35" s="111"/>
      <c r="U35" s="97"/>
      <c r="V35" s="129">
        <f>V34/S34</f>
        <v>-0.5572208871912735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Approved'!$L$26</f>
        <v>2.0714999999999999</v>
      </c>
      <c r="D37" s="42">
        <f>C37*D$8</f>
        <v>2.0714999999999999</v>
      </c>
      <c r="E37" s="114">
        <f>'2016 Proposed'!$H$28</f>
        <v>2.0192000000000001</v>
      </c>
      <c r="F37" s="7">
        <f>E37*F$8</f>
        <v>2.0192000000000001</v>
      </c>
      <c r="G37" s="85"/>
      <c r="H37" s="59">
        <f>'2015 Approved'!$S$26</f>
        <v>1.9817</v>
      </c>
      <c r="I37" s="42">
        <f>H37*I$8</f>
        <v>1.9817</v>
      </c>
      <c r="J37" s="114">
        <f>'2016 Proposed'!$H$28</f>
        <v>2.0192000000000001</v>
      </c>
      <c r="K37" s="7">
        <f>J37*K$8</f>
        <v>2.0192000000000001</v>
      </c>
      <c r="L37" s="85"/>
      <c r="M37" s="59">
        <f>'2015 Approved'!$W$26</f>
        <v>2.1440000000000001</v>
      </c>
      <c r="N37" s="42">
        <f>M37*N$8</f>
        <v>2.1440000000000001</v>
      </c>
      <c r="O37" s="114">
        <f>'2016 Proposed'!$H$28</f>
        <v>2.0192000000000001</v>
      </c>
      <c r="P37" s="7">
        <f>O37*P$8</f>
        <v>2.0192000000000001</v>
      </c>
      <c r="Q37" s="85"/>
      <c r="R37" s="59">
        <f>'2015 Approved'!$AA$26</f>
        <v>2.1000301140414104</v>
      </c>
      <c r="S37" s="42">
        <f>R37*S$8</f>
        <v>2.1000301140414104</v>
      </c>
      <c r="T37" s="114">
        <f>'2016 Proposed'!$H$28</f>
        <v>2.0192000000000001</v>
      </c>
      <c r="U37" s="7">
        <f>T37*U$8</f>
        <v>2.0192000000000001</v>
      </c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Approved'!$L$27</f>
        <v>1.4591000000000001</v>
      </c>
      <c r="D38" s="42">
        <f>C38*D$8</f>
        <v>1.4591000000000001</v>
      </c>
      <c r="E38" s="114">
        <f>'2016 Proposed'!$H$29</f>
        <v>1.4744999999999999</v>
      </c>
      <c r="F38" s="7">
        <f>E38*F$8</f>
        <v>1.4744999999999999</v>
      </c>
      <c r="G38" s="85"/>
      <c r="H38" s="59">
        <f>'2015 Approved'!$S$27</f>
        <v>1.4138999999999999</v>
      </c>
      <c r="I38" s="42">
        <f>H38*I$8</f>
        <v>1.4138999999999999</v>
      </c>
      <c r="J38" s="114">
        <f>'2016 Proposed'!$H$29</f>
        <v>1.4744999999999999</v>
      </c>
      <c r="K38" s="7">
        <f>J38*K$8</f>
        <v>1.4744999999999999</v>
      </c>
      <c r="L38" s="85"/>
      <c r="M38" s="59">
        <f>'2015 Approved'!$W$27</f>
        <v>1.5128999999999999</v>
      </c>
      <c r="N38" s="42">
        <f>M38*N$8</f>
        <v>1.5128999999999999</v>
      </c>
      <c r="O38" s="114">
        <f>'2016 Proposed'!$H$29</f>
        <v>1.4744999999999999</v>
      </c>
      <c r="P38" s="7">
        <f>O38*P$8</f>
        <v>1.4744999999999999</v>
      </c>
      <c r="Q38" s="85"/>
      <c r="R38" s="59">
        <f>'2015 Approved'!$AA$27</f>
        <v>0.99253497826633719</v>
      </c>
      <c r="S38" s="42">
        <f>R38*S$8</f>
        <v>0.99253497826633719</v>
      </c>
      <c r="T38" s="114">
        <f>'2016 Proposed'!$H$29</f>
        <v>1.4744999999999999</v>
      </c>
      <c r="U38" s="7">
        <f>T38*U$8</f>
        <v>1.4744999999999999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3.5305999999999997</v>
      </c>
      <c r="E39" s="110"/>
      <c r="F39" s="95">
        <f>SUM(F37:F38)</f>
        <v>3.4937</v>
      </c>
      <c r="G39" s="127">
        <f>F39-D39</f>
        <v>-3.6899999999999711E-2</v>
      </c>
      <c r="H39" s="126"/>
      <c r="I39" s="96">
        <f>SUM(I37:I38)</f>
        <v>3.3956</v>
      </c>
      <c r="J39" s="110"/>
      <c r="K39" s="95">
        <f>SUM(K37:K38)</f>
        <v>3.4937</v>
      </c>
      <c r="L39" s="127">
        <f>K39-I39</f>
        <v>9.8100000000000076E-2</v>
      </c>
      <c r="M39" s="126"/>
      <c r="N39" s="96">
        <f>SUM(N37:N38)</f>
        <v>3.6569000000000003</v>
      </c>
      <c r="O39" s="110"/>
      <c r="P39" s="95">
        <f>SUM(P37:P38)</f>
        <v>3.4937</v>
      </c>
      <c r="Q39" s="127">
        <f>P39-N39</f>
        <v>-0.16320000000000023</v>
      </c>
      <c r="R39" s="126"/>
      <c r="S39" s="96">
        <f>SUM(S37:S38)</f>
        <v>3.0925650923077477</v>
      </c>
      <c r="T39" s="110"/>
      <c r="U39" s="95">
        <f>SUM(U37:U38)</f>
        <v>3.4937</v>
      </c>
      <c r="V39" s="127">
        <f>U39-S39</f>
        <v>0.40113490769225235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-1.0451481334617265E-2</v>
      </c>
      <c r="H40" s="128"/>
      <c r="I40" s="120"/>
      <c r="J40" s="111"/>
      <c r="K40" s="97"/>
      <c r="L40" s="129">
        <f>L39/I39</f>
        <v>2.8890328660619649E-2</v>
      </c>
      <c r="M40" s="128"/>
      <c r="N40" s="120"/>
      <c r="O40" s="111"/>
      <c r="P40" s="97"/>
      <c r="Q40" s="129">
        <f>Q39/N39</f>
        <v>-4.462796357570626E-2</v>
      </c>
      <c r="R40" s="128"/>
      <c r="S40" s="120"/>
      <c r="T40" s="111"/>
      <c r="U40" s="97"/>
      <c r="V40" s="129">
        <f>V39/S39</f>
        <v>0.12970944692158951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>
        <f>WMSR+RRRP</f>
        <v>5.7000000000000002E-3</v>
      </c>
      <c r="S42" s="42">
        <f>R42*S10</f>
        <v>0.90459000000000012</v>
      </c>
      <c r="T42" s="114">
        <f>WMSR+RRRP</f>
        <v>5.7000000000000002E-3</v>
      </c>
      <c r="U42" s="7">
        <f>T42*U10</f>
        <v>0.89185049999999988</v>
      </c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>
        <v>7.0000000000000001E-3</v>
      </c>
      <c r="S44" s="42">
        <f>R44*S7</f>
        <v>1.05</v>
      </c>
      <c r="T44" s="114">
        <v>7.0000000000000001E-3</v>
      </c>
      <c r="U44" s="7">
        <f>T44*U7</f>
        <v>1.05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2.2045900000000005</v>
      </c>
      <c r="T46" s="110"/>
      <c r="U46" s="95">
        <f>SUM(U42:U45)</f>
        <v>2.1918505000000001</v>
      </c>
      <c r="V46" s="127">
        <f>U46-S46</f>
        <v>-1.2739500000000348E-2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>
        <f>V46/S46</f>
        <v>-5.7786255040621366E-3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25.411932800000002</v>
      </c>
      <c r="E48" s="115"/>
      <c r="F48" s="102">
        <f>F15+F34+F39+F46</f>
        <v>24.236985600000001</v>
      </c>
      <c r="G48" s="133"/>
      <c r="H48" s="132"/>
      <c r="I48" s="122">
        <f>I15+I34+I39+I46</f>
        <v>23.147700800000003</v>
      </c>
      <c r="J48" s="115"/>
      <c r="K48" s="102">
        <f>K15+K34+K39+K46</f>
        <v>24.236985600000001</v>
      </c>
      <c r="L48" s="133"/>
      <c r="M48" s="132"/>
      <c r="N48" s="122">
        <f>N15+N34+N39+N46</f>
        <v>27.078851200000003</v>
      </c>
      <c r="O48" s="115"/>
      <c r="P48" s="102">
        <f>P15+P34+P39+P46</f>
        <v>24.236985600000001</v>
      </c>
      <c r="Q48" s="133"/>
      <c r="R48" s="132"/>
      <c r="S48" s="122">
        <f>S15+S34+S39+S46</f>
        <v>29.662473092307749</v>
      </c>
      <c r="T48" s="115"/>
      <c r="U48" s="102">
        <f>U15+U34+U39+U46</f>
        <v>25.011185600000001</v>
      </c>
      <c r="V48" s="133"/>
    </row>
    <row r="49" spans="1:22" hidden="1" x14ac:dyDescent="0.25">
      <c r="A49" s="148">
        <f t="shared" si="0"/>
        <v>43</v>
      </c>
      <c r="B49" s="134" t="s">
        <v>13</v>
      </c>
      <c r="C49" s="87"/>
      <c r="D49" s="43">
        <f>D48*0.13</f>
        <v>3.3035512640000002</v>
      </c>
      <c r="E49" s="116"/>
      <c r="F49" s="99">
        <f>F48*0.13</f>
        <v>3.150808128</v>
      </c>
      <c r="G49" s="134"/>
      <c r="H49" s="87"/>
      <c r="I49" s="43">
        <f>I48*0.13</f>
        <v>3.0092011040000006</v>
      </c>
      <c r="J49" s="116"/>
      <c r="K49" s="99">
        <f>K48*0.13</f>
        <v>3.150808128</v>
      </c>
      <c r="L49" s="134"/>
      <c r="M49" s="87"/>
      <c r="N49" s="43">
        <f>N48*0.13</f>
        <v>3.5202506560000004</v>
      </c>
      <c r="O49" s="116"/>
      <c r="P49" s="99">
        <f>P48*0.13</f>
        <v>3.150808128</v>
      </c>
      <c r="Q49" s="134"/>
      <c r="R49" s="87"/>
      <c r="S49" s="43">
        <f>S48*0.13</f>
        <v>3.8561215020000077</v>
      </c>
      <c r="T49" s="116"/>
      <c r="U49" s="99">
        <f>U48*0.13</f>
        <v>3.2514541280000002</v>
      </c>
      <c r="V49" s="134"/>
    </row>
    <row r="50" spans="1:22" hidden="1" x14ac:dyDescent="0.25">
      <c r="A50" s="141">
        <f t="shared" si="0"/>
        <v>44</v>
      </c>
      <c r="B50" s="125" t="s">
        <v>14</v>
      </c>
      <c r="C50" s="88"/>
      <c r="D50" s="69">
        <f>SUM(D48:D49)*-0.1</f>
        <v>-2.8715484064000005</v>
      </c>
      <c r="E50" s="117"/>
      <c r="F50" s="70">
        <f>SUM(F48:F49)*-0.1</f>
        <v>-2.7387793728000003</v>
      </c>
      <c r="G50" s="125"/>
      <c r="H50" s="88"/>
      <c r="I50" s="69">
        <f>SUM(I48:I49)*-0.1</f>
        <v>-2.6156901904000005</v>
      </c>
      <c r="J50" s="117"/>
      <c r="K50" s="70">
        <f>SUM(K48:K49)*-0.1</f>
        <v>-2.7387793728000003</v>
      </c>
      <c r="L50" s="125"/>
      <c r="M50" s="88"/>
      <c r="N50" s="69">
        <f>SUM(N48:N49)*-0.1</f>
        <v>-3.0599101856000006</v>
      </c>
      <c r="O50" s="117"/>
      <c r="P50" s="70">
        <f>SUM(P48:P49)*-0.1</f>
        <v>-2.7387793728000003</v>
      </c>
      <c r="Q50" s="125"/>
      <c r="R50" s="88"/>
      <c r="S50" s="69">
        <f>SUM(S48:S49)*-0.1</f>
        <v>-3.3518594594307758</v>
      </c>
      <c r="T50" s="117"/>
      <c r="U50" s="70">
        <f>SUM(U48:U49)*-0.1</f>
        <v>-2.8262639728000001</v>
      </c>
      <c r="V50" s="125"/>
    </row>
    <row r="51" spans="1:22" hidden="1" x14ac:dyDescent="0.25">
      <c r="A51" s="149">
        <f t="shared" si="0"/>
        <v>45</v>
      </c>
      <c r="B51" s="150" t="s">
        <v>15</v>
      </c>
      <c r="C51" s="135"/>
      <c r="D51" s="104">
        <f>SUM(D48:D50)</f>
        <v>25.843935657599999</v>
      </c>
      <c r="E51" s="118"/>
      <c r="F51" s="103">
        <f>SUM(F48:F50)</f>
        <v>24.649014355200002</v>
      </c>
      <c r="G51" s="136">
        <f>F51-D51</f>
        <v>-1.1949213023999974</v>
      </c>
      <c r="H51" s="135"/>
      <c r="I51" s="104">
        <f>SUM(I48:I50)</f>
        <v>23.541211713599999</v>
      </c>
      <c r="J51" s="118"/>
      <c r="K51" s="103">
        <f>SUM(K48:K50)</f>
        <v>24.649014355200002</v>
      </c>
      <c r="L51" s="136">
        <f>K51-I51</f>
        <v>1.1078026416000029</v>
      </c>
      <c r="M51" s="135"/>
      <c r="N51" s="104">
        <f>SUM(N48:N50)</f>
        <v>27.539191670400005</v>
      </c>
      <c r="O51" s="118"/>
      <c r="P51" s="103">
        <f>SUM(P48:P50)</f>
        <v>24.649014355200002</v>
      </c>
      <c r="Q51" s="136">
        <f>P51-N51</f>
        <v>-2.8901773152000025</v>
      </c>
      <c r="R51" s="135"/>
      <c r="S51" s="104">
        <f>SUM(S48:S50)</f>
        <v>30.16673513487698</v>
      </c>
      <c r="T51" s="118"/>
      <c r="U51" s="103">
        <f>SUM(U48:U50)</f>
        <v>25.4363757552</v>
      </c>
      <c r="V51" s="136">
        <f>U51-S51</f>
        <v>-4.7303593796769796</v>
      </c>
    </row>
    <row r="52" spans="1:22" hidden="1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-4.623604230529043E-2</v>
      </c>
      <c r="H52" s="137"/>
      <c r="I52" s="123"/>
      <c r="J52" s="119"/>
      <c r="K52" s="105"/>
      <c r="L52" s="138">
        <f>L51/I51</f>
        <v>4.7058012776802563E-2</v>
      </c>
      <c r="M52" s="137"/>
      <c r="N52" s="123"/>
      <c r="O52" s="119"/>
      <c r="P52" s="105"/>
      <c r="Q52" s="138">
        <f>Q51/N51</f>
        <v>-0.10494779039961644</v>
      </c>
      <c r="R52" s="137"/>
      <c r="S52" s="123"/>
      <c r="T52" s="119"/>
      <c r="U52" s="105"/>
      <c r="V52" s="138">
        <f>V51/S51</f>
        <v>-0.15680713734937859</v>
      </c>
    </row>
    <row r="53" spans="1:22" s="197" customFormat="1" ht="22.5" customHeight="1" x14ac:dyDescent="0.25">
      <c r="A53" s="220">
        <f>A52+1</f>
        <v>47</v>
      </c>
      <c r="B53" s="221" t="s">
        <v>16</v>
      </c>
      <c r="C53" s="222"/>
      <c r="D53" s="223"/>
      <c r="E53" s="224"/>
      <c r="F53" s="225"/>
      <c r="G53" s="221"/>
      <c r="H53" s="222"/>
      <c r="I53" s="223"/>
      <c r="J53" s="224"/>
      <c r="K53" s="225"/>
      <c r="L53" s="221"/>
      <c r="M53" s="222"/>
      <c r="N53" s="223"/>
      <c r="O53" s="224"/>
      <c r="P53" s="225"/>
      <c r="Q53" s="221"/>
      <c r="R53" s="222"/>
      <c r="S53" s="223"/>
      <c r="T53" s="224"/>
      <c r="U53" s="225"/>
      <c r="V53" s="221"/>
    </row>
    <row r="54" spans="1:22" x14ac:dyDescent="0.25">
      <c r="A54" s="148">
        <f>A53+1</f>
        <v>48</v>
      </c>
      <c r="B54" s="134" t="s">
        <v>127</v>
      </c>
      <c r="C54" s="202">
        <f>'2015 Approved'!$L$23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Approved'!$S$23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Approved'!$W$23</f>
        <v>2.8111000000000002</v>
      </c>
      <c r="N54" s="43">
        <f>M54*N$8</f>
        <v>2.8111000000000002</v>
      </c>
      <c r="O54" s="203">
        <f>M54</f>
        <v>2.8111000000000002</v>
      </c>
      <c r="P54" s="7">
        <f>O54*P$8</f>
        <v>2.8111000000000002</v>
      </c>
      <c r="Q54" s="134"/>
      <c r="R54" s="59">
        <f>'2015 Approved'!$AA$23</f>
        <v>1.0491999999999999</v>
      </c>
      <c r="S54" s="43">
        <f>R54*S8</f>
        <v>1.0491999999999999</v>
      </c>
      <c r="T54" s="203">
        <f>R54</f>
        <v>1.0491999999999999</v>
      </c>
      <c r="U54" s="7">
        <f>T54*U8</f>
        <v>1.0491999999999999</v>
      </c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Approved'!$L$24</f>
        <v>1.1633</v>
      </c>
      <c r="D55" s="42">
        <f>C55*D8</f>
        <v>1.1633</v>
      </c>
      <c r="E55" s="203">
        <f>'2016 Proposed'!$H$26</f>
        <v>1.1696</v>
      </c>
      <c r="F55" s="7">
        <f>E55*F8</f>
        <v>1.1696</v>
      </c>
      <c r="G55" s="85"/>
      <c r="H55" s="59">
        <f>'2015 Approved'!$S$24</f>
        <v>-0.25369999999999998</v>
      </c>
      <c r="I55" s="43">
        <f>H55*I$8</f>
        <v>-0.25369999999999998</v>
      </c>
      <c r="J55" s="114">
        <f>'2016 Proposed'!$H$26</f>
        <v>1.1696</v>
      </c>
      <c r="K55" s="7">
        <f>J55*K$8</f>
        <v>1.1696</v>
      </c>
      <c r="L55" s="85"/>
      <c r="M55" s="59">
        <f>'2015 Approved'!$W$24</f>
        <v>-0.1371</v>
      </c>
      <c r="N55" s="43">
        <f>M55*N$8</f>
        <v>-0.1371</v>
      </c>
      <c r="O55" s="114">
        <f>'2016 Proposed'!$H$26</f>
        <v>1.1696</v>
      </c>
      <c r="P55" s="7">
        <f>O55*P$8</f>
        <v>1.1696</v>
      </c>
      <c r="Q55" s="85"/>
      <c r="R55" s="59">
        <f>'2015 Approved'!$AA$24</f>
        <v>-9.0899999999999995E-2</v>
      </c>
      <c r="S55" s="42">
        <f>R55*S8</f>
        <v>-9.0899999999999995E-2</v>
      </c>
      <c r="T55" s="114">
        <f>'2016 Proposed'!$H$26</f>
        <v>1.1696</v>
      </c>
      <c r="U55" s="7">
        <f>T55*U8</f>
        <v>1.1696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26.575232800000002</v>
      </c>
      <c r="E56" s="106"/>
      <c r="F56" s="7">
        <f>F48+SUM(F54:F55)</f>
        <v>25.4065856</v>
      </c>
      <c r="G56" s="85"/>
      <c r="H56" s="86"/>
      <c r="I56" s="42">
        <f>I48+I55+I54</f>
        <v>22.894000800000004</v>
      </c>
      <c r="J56" s="106"/>
      <c r="K56" s="7">
        <f>K48+K55+K54</f>
        <v>25.4065856</v>
      </c>
      <c r="L56" s="85"/>
      <c r="M56" s="86"/>
      <c r="N56" s="42">
        <f>N48+N55+N54</f>
        <v>29.752851200000002</v>
      </c>
      <c r="O56" s="106"/>
      <c r="P56" s="7">
        <f>P48+P55+P54</f>
        <v>28.217685599999999</v>
      </c>
      <c r="Q56" s="85"/>
      <c r="R56" s="86"/>
      <c r="S56" s="42">
        <f>S48+S55+S54</f>
        <v>30.620773092307747</v>
      </c>
      <c r="T56" s="106"/>
      <c r="U56" s="7">
        <f>U48+U55+U54</f>
        <v>27.229985599999999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3.4547802640000005</v>
      </c>
      <c r="E57" s="106"/>
      <c r="F57" s="7">
        <f>F56*0.13</f>
        <v>3.3028561280000002</v>
      </c>
      <c r="G57" s="85"/>
      <c r="H57" s="86"/>
      <c r="I57" s="42">
        <f>I56*0.13</f>
        <v>2.9762201040000007</v>
      </c>
      <c r="J57" s="106"/>
      <c r="K57" s="7">
        <f>K56*0.13</f>
        <v>3.3028561280000002</v>
      </c>
      <c r="L57" s="85"/>
      <c r="M57" s="86"/>
      <c r="N57" s="42">
        <f>N56*0.13</f>
        <v>3.8678706560000005</v>
      </c>
      <c r="O57" s="106"/>
      <c r="P57" s="7">
        <f>P56*0.13</f>
        <v>3.6682991280000001</v>
      </c>
      <c r="Q57" s="85"/>
      <c r="R57" s="86"/>
      <c r="S57" s="42">
        <f>S56*0.13</f>
        <v>3.9807005020000075</v>
      </c>
      <c r="T57" s="106"/>
      <c r="U57" s="7">
        <f>U56*0.13</f>
        <v>3.5398981279999999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-3.0030013064000003</v>
      </c>
      <c r="E58" s="106"/>
      <c r="F58" s="7">
        <f>SUM(F56:F57)*-0.1</f>
        <v>-2.8709441728000002</v>
      </c>
      <c r="G58" s="85"/>
      <c r="H58" s="86"/>
      <c r="I58" s="42">
        <f>SUM(I56:I57)*-0.1</f>
        <v>-2.5870220904000005</v>
      </c>
      <c r="J58" s="106"/>
      <c r="K58" s="7">
        <f>SUM(K56:K57)*-0.1</f>
        <v>-2.8709441728000002</v>
      </c>
      <c r="L58" s="85"/>
      <c r="M58" s="86"/>
      <c r="N58" s="42">
        <f>SUM(N56:N57)*-0.1</f>
        <v>-3.3620721856000007</v>
      </c>
      <c r="O58" s="106"/>
      <c r="P58" s="7">
        <f>SUM(P56:P57)*-0.1</f>
        <v>-3.1885984728000003</v>
      </c>
      <c r="Q58" s="85"/>
      <c r="R58" s="86"/>
      <c r="S58" s="42">
        <f>SUM(S56:S57)*-0.1</f>
        <v>-3.4601473594307759</v>
      </c>
      <c r="T58" s="106"/>
      <c r="U58" s="7">
        <f>SUM(U56:U57)*-0.1</f>
        <v>-3.0769883728000003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27.0270117576</v>
      </c>
      <c r="E59" s="181"/>
      <c r="F59" s="182">
        <f>SUM(F56:F58)</f>
        <v>25.8384975552</v>
      </c>
      <c r="G59" s="183">
        <f>F59-D59</f>
        <v>-1.1885142024000004</v>
      </c>
      <c r="H59" s="179"/>
      <c r="I59" s="180">
        <f>SUM(I56:I58)</f>
        <v>23.283198813600002</v>
      </c>
      <c r="J59" s="181"/>
      <c r="K59" s="182">
        <f>SUM(K56:K58)</f>
        <v>25.8384975552</v>
      </c>
      <c r="L59" s="183">
        <f>K59-I59</f>
        <v>2.5552987415999979</v>
      </c>
      <c r="M59" s="179"/>
      <c r="N59" s="180">
        <f>SUM(N56:N58)</f>
        <v>30.258649670400004</v>
      </c>
      <c r="O59" s="181"/>
      <c r="P59" s="182">
        <f>SUM(P56:P58)</f>
        <v>28.697386255200001</v>
      </c>
      <c r="Q59" s="183">
        <f>P59-N59</f>
        <v>-1.5612634152000027</v>
      </c>
      <c r="R59" s="179"/>
      <c r="S59" s="180">
        <f>SUM(S56:S58)</f>
        <v>31.141326234876978</v>
      </c>
      <c r="T59" s="181"/>
      <c r="U59" s="182">
        <f>SUM(U56:U58)</f>
        <v>27.692895355200001</v>
      </c>
      <c r="V59" s="183">
        <f>U59-S59</f>
        <v>-3.4484308796769767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-4.3975050333331434E-2</v>
      </c>
      <c r="H60" s="186"/>
      <c r="I60" s="187"/>
      <c r="J60" s="188"/>
      <c r="K60" s="189"/>
      <c r="L60" s="190">
        <f>L59/I59</f>
        <v>0.10974861152271811</v>
      </c>
      <c r="M60" s="186"/>
      <c r="N60" s="187"/>
      <c r="O60" s="188"/>
      <c r="P60" s="189"/>
      <c r="Q60" s="190">
        <f>Q59/N59</f>
        <v>-5.1597260029990079E-2</v>
      </c>
      <c r="R60" s="186"/>
      <c r="S60" s="187"/>
      <c r="T60" s="188"/>
      <c r="U60" s="189"/>
      <c r="V60" s="190">
        <f>V59/S59</f>
        <v>-0.1107348753764661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SUM(D18:D21)+D23+D24+D33</f>
        <v>3.6716387999999984</v>
      </c>
      <c r="E63" s="106"/>
      <c r="F63" s="7">
        <f>SUM(F18:F21)+F23+F24+F33</f>
        <v>1.9895350999999974</v>
      </c>
      <c r="G63" s="56">
        <f>F63-D63</f>
        <v>-1.682103700000001</v>
      </c>
      <c r="H63" s="86"/>
      <c r="I63" s="42">
        <f>SUM(I18:I21)+I23+I24+I33</f>
        <v>1.6784168000000006</v>
      </c>
      <c r="J63" s="106"/>
      <c r="K63" s="7">
        <f>SUM(K18:K21)+K23+K24+K33</f>
        <v>1.9895350999999974</v>
      </c>
      <c r="L63" s="56">
        <f>K63-I63</f>
        <v>0.31111829999999685</v>
      </c>
      <c r="M63" s="86"/>
      <c r="N63" s="42">
        <f>SUM(N18:N21)+N23+N24+N33</f>
        <v>4.7708502000000008</v>
      </c>
      <c r="O63" s="106"/>
      <c r="P63" s="7">
        <f>SUM(P18:P21)+P23+P24+P33</f>
        <v>1.9895350999999974</v>
      </c>
      <c r="Q63" s="56">
        <f>P63-N63</f>
        <v>-2.7813151000000031</v>
      </c>
      <c r="R63" s="86"/>
      <c r="S63" s="42">
        <f>SUM(S18:S21)+S23+S24+S33</f>
        <v>5.2880180000000019</v>
      </c>
      <c r="T63" s="106"/>
      <c r="U63" s="7">
        <f>SUM(U18:U21)+U23+U24+U33</f>
        <v>1.9895350999999974</v>
      </c>
      <c r="V63" s="56">
        <f>U63-S63</f>
        <v>-3.2984829000000042</v>
      </c>
    </row>
    <row r="64" spans="1:22" x14ac:dyDescent="0.25">
      <c r="A64" s="164">
        <f t="shared" ref="A64:A66" si="17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-0.38503187693436869</v>
      </c>
      <c r="H64" s="166"/>
      <c r="I64" s="167"/>
      <c r="J64" s="168"/>
      <c r="K64" s="93"/>
      <c r="L64" s="169">
        <f>L63/SUM(I63:I66)</f>
        <v>0.13988397551783108</v>
      </c>
      <c r="M64" s="166"/>
      <c r="N64" s="167"/>
      <c r="O64" s="168"/>
      <c r="P64" s="93"/>
      <c r="Q64" s="169">
        <f>Q63/SUM(N63:N66)</f>
        <v>-0.47226179553730779</v>
      </c>
      <c r="R64" s="166"/>
      <c r="S64" s="167"/>
      <c r="T64" s="168"/>
      <c r="U64" s="93"/>
      <c r="V64" s="169">
        <f>V63/SUM(S63:S66)</f>
        <v>-0.36470222519818563</v>
      </c>
    </row>
    <row r="65" spans="1:22" x14ac:dyDescent="0.25">
      <c r="A65" s="139">
        <f t="shared" si="17"/>
        <v>58</v>
      </c>
      <c r="B65" s="85" t="s">
        <v>121</v>
      </c>
      <c r="C65" s="86"/>
      <c r="D65" s="42">
        <f>D22+SUM(D25:D32)</f>
        <v>0.69709999999999994</v>
      </c>
      <c r="E65" s="106"/>
      <c r="F65" s="7">
        <f>F22+SUM(F25:F32)</f>
        <v>1.2408999999999999</v>
      </c>
      <c r="G65" s="56">
        <f>F65-D65</f>
        <v>0.54379999999999995</v>
      </c>
      <c r="H65" s="86"/>
      <c r="I65" s="42">
        <f>I22+SUM(I25:I32)</f>
        <v>0.54569999999999996</v>
      </c>
      <c r="J65" s="106"/>
      <c r="K65" s="7">
        <f>K22+SUM(K25:K32)</f>
        <v>1.2408999999999999</v>
      </c>
      <c r="L65" s="56">
        <f>K65-I65</f>
        <v>0.69519999999999993</v>
      </c>
      <c r="M65" s="86"/>
      <c r="N65" s="42">
        <f>N22+SUM(N25:N32)</f>
        <v>1.1185</v>
      </c>
      <c r="O65" s="106"/>
      <c r="P65" s="7">
        <f>P22+SUM(P25:P32)</f>
        <v>1.2408999999999999</v>
      </c>
      <c r="Q65" s="56">
        <f>P65-N65</f>
        <v>0.12239999999999984</v>
      </c>
      <c r="R65" s="86"/>
      <c r="S65" s="42">
        <f>S22+SUM(S25:S32)</f>
        <v>3.7562999999999995</v>
      </c>
      <c r="T65" s="106"/>
      <c r="U65" s="7">
        <f>U22+SUM(U25:U32)</f>
        <v>2.0150999999999999</v>
      </c>
      <c r="V65" s="56">
        <f>U65-S65</f>
        <v>-1.7411999999999996</v>
      </c>
    </row>
    <row r="66" spans="1:22" ht="15.75" thickBot="1" x14ac:dyDescent="0.3">
      <c r="A66" s="170">
        <f t="shared" si="17"/>
        <v>59</v>
      </c>
      <c r="B66" s="171" t="s">
        <v>118</v>
      </c>
      <c r="C66" s="172"/>
      <c r="D66" s="173"/>
      <c r="E66" s="174"/>
      <c r="F66" s="175"/>
      <c r="G66" s="176">
        <f>G65/SUM(D63:D66)</f>
        <v>0.12447528334722144</v>
      </c>
      <c r="H66" s="172"/>
      <c r="I66" s="173"/>
      <c r="J66" s="174"/>
      <c r="K66" s="175"/>
      <c r="L66" s="176">
        <f>L65/SUM(I63:I66)</f>
        <v>0.31257351232633096</v>
      </c>
      <c r="M66" s="172"/>
      <c r="N66" s="173"/>
      <c r="O66" s="174"/>
      <c r="P66" s="175"/>
      <c r="Q66" s="176">
        <f>Q65/SUM(N63:N66)</f>
        <v>2.0783277584681552E-2</v>
      </c>
      <c r="R66" s="172"/>
      <c r="S66" s="173"/>
      <c r="T66" s="174"/>
      <c r="U66" s="175"/>
      <c r="V66" s="176">
        <f>V65/SUM(S63:S66)</f>
        <v>-0.19251866199308776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="110" zoomScaleNormal="110" workbookViewId="0">
      <pane xSplit="2" ySplit="6" topLeftCell="C7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7" width="11.7109375" customWidth="1"/>
  </cols>
  <sheetData>
    <row r="1" spans="1:7" ht="18.75" x14ac:dyDescent="0.3">
      <c r="A1" s="162" t="s">
        <v>122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146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176</v>
      </c>
      <c r="B3" s="156"/>
      <c r="C3" s="156"/>
      <c r="D3" s="156"/>
      <c r="E3" s="156"/>
      <c r="F3" s="156"/>
      <c r="G3" s="156"/>
    </row>
    <row r="4" spans="1:7" ht="15.75" thickBot="1" x14ac:dyDescent="0.3"/>
    <row r="5" spans="1:7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</row>
    <row r="6" spans="1:7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</row>
    <row r="7" spans="1:7" x14ac:dyDescent="0.25">
      <c r="A7" s="139">
        <v>1</v>
      </c>
      <c r="B7" s="85" t="s">
        <v>91</v>
      </c>
      <c r="C7" s="86"/>
      <c r="D7" s="204">
        <v>368500.41666666669</v>
      </c>
      <c r="E7" s="106"/>
      <c r="F7" s="81">
        <f>D7</f>
        <v>368500.41666666669</v>
      </c>
      <c r="G7" s="85"/>
    </row>
    <row r="8" spans="1:7" x14ac:dyDescent="0.25">
      <c r="A8" s="139">
        <f>A7+1</f>
        <v>2</v>
      </c>
      <c r="B8" s="85" t="s">
        <v>92</v>
      </c>
      <c r="C8" s="86"/>
      <c r="D8" s="204">
        <v>14</v>
      </c>
      <c r="E8" s="106"/>
      <c r="F8" s="81">
        <f>D8</f>
        <v>14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93</v>
      </c>
      <c r="C10" s="86"/>
      <c r="D10" s="80">
        <f>D7*D9</f>
        <v>384272.23450000002</v>
      </c>
      <c r="E10" s="106"/>
      <c r="F10" s="81">
        <f>F7*F9</f>
        <v>384382.78462499997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18867.221333333335</v>
      </c>
      <c r="E12" s="108">
        <f>'General Input'!$B$11</f>
        <v>0.08</v>
      </c>
      <c r="F12" s="7">
        <f>F$7*E12*TOU_OFF</f>
        <v>18867.221333333335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8092.2691500000001</v>
      </c>
      <c r="E13" s="108">
        <f>'General Input'!$B$12</f>
        <v>0.122</v>
      </c>
      <c r="F13" s="7">
        <f>F$7*E13*TOU_MID</f>
        <v>8092.2691500000001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10679.142075</v>
      </c>
      <c r="E14" s="109">
        <f>'General Input'!$B$13</f>
        <v>0.161</v>
      </c>
      <c r="F14" s="70">
        <f>F$7*E14*TOU_ON</f>
        <v>10679.142075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37638.632558333338</v>
      </c>
      <c r="E15" s="110"/>
      <c r="F15" s="95">
        <f>SUM(F12:F14)</f>
        <v>37638.632558333338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Proposed'!$I$3</f>
        <v>65.150000000000006</v>
      </c>
      <c r="F18" s="7">
        <f>E18</f>
        <v>65.150000000000006</v>
      </c>
      <c r="G18" s="85"/>
    </row>
    <row r="19" spans="1:7" x14ac:dyDescent="0.25">
      <c r="A19" s="139">
        <f t="shared" si="0"/>
        <v>13</v>
      </c>
      <c r="B19" s="85" t="s">
        <v>86</v>
      </c>
      <c r="C19" s="55">
        <f>'2015 Approved'!$D$5</f>
        <v>0</v>
      </c>
      <c r="D19" s="42">
        <f t="shared" ref="D19:D22" si="1">C19</f>
        <v>0</v>
      </c>
      <c r="E19" s="113">
        <f>'2016 Proposed'!$I$5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86</v>
      </c>
      <c r="C20" s="55">
        <f>'2015 Approved'!$D$6</f>
        <v>0</v>
      </c>
      <c r="D20" s="42">
        <f t="shared" si="1"/>
        <v>0</v>
      </c>
      <c r="E20" s="113">
        <f>'2016 Proposed'!$I$6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v>0</v>
      </c>
      <c r="D21" s="42">
        <f t="shared" si="1"/>
        <v>0</v>
      </c>
      <c r="E21" s="113">
        <f>'2016 Proposed'!$I$7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95</v>
      </c>
      <c r="C22" s="55">
        <f>'2015 Approved'!$D$8</f>
        <v>0</v>
      </c>
      <c r="D22" s="42">
        <f t="shared" si="1"/>
        <v>0</v>
      </c>
      <c r="E22" s="113">
        <f>'2016 Proposed'!$I$8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1610.9334734966669</v>
      </c>
      <c r="E23" s="114">
        <f>F15/$F$7</f>
        <v>0.10214000000000001</v>
      </c>
      <c r="F23" s="7">
        <f>(F10-F7)*E23</f>
        <v>1622.2250632641619</v>
      </c>
      <c r="G23" s="85"/>
    </row>
    <row r="24" spans="1:7" x14ac:dyDescent="0.25">
      <c r="A24" s="139">
        <f t="shared" si="0"/>
        <v>18</v>
      </c>
      <c r="B24" s="85" t="s">
        <v>90</v>
      </c>
      <c r="C24" s="59">
        <v>0</v>
      </c>
      <c r="D24" s="42">
        <f>C24*D$8</f>
        <v>0</v>
      </c>
      <c r="E24" s="114">
        <f>'2016 Proposed'!$I$11</f>
        <v>0</v>
      </c>
      <c r="F24" s="7">
        <f>E24*F$8</f>
        <v>0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v>0</v>
      </c>
      <c r="D25" s="42">
        <f t="shared" ref="D25:D33" si="3">C25*D$8</f>
        <v>0</v>
      </c>
      <c r="E25" s="114">
        <f>'2016 Proposed'!$I$13</f>
        <v>0</v>
      </c>
      <c r="F25" s="7">
        <f t="shared" ref="F25:F33" si="4">E25*F$8</f>
        <v>0</v>
      </c>
      <c r="G25" s="85"/>
    </row>
    <row r="26" spans="1:7" x14ac:dyDescent="0.25">
      <c r="A26" s="139">
        <f t="shared" si="0"/>
        <v>20</v>
      </c>
      <c r="B26" s="85" t="s">
        <v>87</v>
      </c>
      <c r="C26" s="59">
        <v>0</v>
      </c>
      <c r="D26" s="42">
        <f t="shared" si="3"/>
        <v>0</v>
      </c>
      <c r="E26" s="114">
        <f>'2016 Proposed'!$I$14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v>0</v>
      </c>
      <c r="D27" s="42">
        <f t="shared" si="3"/>
        <v>0</v>
      </c>
      <c r="E27" s="114">
        <f>'2016 Proposed'!$I$15</f>
        <v>0</v>
      </c>
      <c r="F27" s="7">
        <f t="shared" si="4"/>
        <v>0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v>0</v>
      </c>
      <c r="D28" s="42">
        <f t="shared" si="3"/>
        <v>0</v>
      </c>
      <c r="E28" s="114">
        <f>'2016 Proposed'!$I$16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101</v>
      </c>
      <c r="C29" s="59">
        <v>0</v>
      </c>
      <c r="D29" s="42">
        <f t="shared" si="3"/>
        <v>0</v>
      </c>
      <c r="E29" s="114">
        <f>'2016 Proposed'!$I$17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112</v>
      </c>
      <c r="C30" s="59">
        <v>0</v>
      </c>
      <c r="D30" s="42">
        <f t="shared" si="3"/>
        <v>0</v>
      </c>
      <c r="E30" s="114">
        <f>'2016 Proposed'!$I$18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102</v>
      </c>
      <c r="C31" s="59">
        <v>0</v>
      </c>
      <c r="D31" s="42">
        <f t="shared" si="3"/>
        <v>0</v>
      </c>
      <c r="E31" s="114">
        <f>'2016 Proposed'!$I$19</f>
        <v>0</v>
      </c>
      <c r="F31" s="7">
        <f t="shared" si="4"/>
        <v>0</v>
      </c>
      <c r="G31" s="85"/>
    </row>
    <row r="32" spans="1:7" x14ac:dyDescent="0.25">
      <c r="A32" s="139">
        <f t="shared" si="0"/>
        <v>26</v>
      </c>
      <c r="B32" s="85" t="s">
        <v>94</v>
      </c>
      <c r="C32" s="59">
        <v>0</v>
      </c>
      <c r="D32" s="42">
        <f t="shared" si="3"/>
        <v>0</v>
      </c>
      <c r="E32" s="114">
        <f>'2016 Proposed'!$I$20</f>
        <v>0</v>
      </c>
      <c r="F32" s="7">
        <f t="shared" si="4"/>
        <v>0</v>
      </c>
      <c r="G32" s="85"/>
    </row>
    <row r="33" spans="1:7" x14ac:dyDescent="0.25">
      <c r="A33" s="139">
        <f t="shared" si="0"/>
        <v>27</v>
      </c>
      <c r="B33" s="85" t="s">
        <v>104</v>
      </c>
      <c r="C33" s="59">
        <v>0</v>
      </c>
      <c r="D33" s="42">
        <f t="shared" si="3"/>
        <v>0</v>
      </c>
      <c r="E33" s="114">
        <f>'2016 Proposed'!$I$21</f>
        <v>0</v>
      </c>
      <c r="F33" s="7">
        <f t="shared" si="4"/>
        <v>0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1733.7934734966668</v>
      </c>
      <c r="E34" s="110"/>
      <c r="F34" s="95">
        <f>SUM(F18:F33)</f>
        <v>1687.375063264162</v>
      </c>
      <c r="G34" s="127">
        <f>F34-D34</f>
        <v>-46.418410232504812</v>
      </c>
    </row>
    <row r="35" spans="1:7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-2.6772744817691256E-2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68</v>
      </c>
      <c r="C37" s="59"/>
      <c r="D37" s="42">
        <f>C37*D$8</f>
        <v>0</v>
      </c>
      <c r="E37" s="114"/>
      <c r="F37" s="7">
        <f>E37*F$8</f>
        <v>0</v>
      </c>
      <c r="G37" s="85"/>
    </row>
    <row r="38" spans="1:7" x14ac:dyDescent="0.25">
      <c r="A38" s="139">
        <f t="shared" si="0"/>
        <v>32</v>
      </c>
      <c r="B38" s="85" t="s">
        <v>69</v>
      </c>
      <c r="C38" s="59"/>
      <c r="D38" s="42">
        <f>C38*D$8</f>
        <v>0</v>
      </c>
      <c r="E38" s="114"/>
      <c r="F38" s="7">
        <f>E38*F$8</f>
        <v>0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0</v>
      </c>
      <c r="E39" s="110"/>
      <c r="F39" s="95">
        <f>SUM(F37:F38)</f>
        <v>0</v>
      </c>
      <c r="G39" s="127">
        <f>F39-D39</f>
        <v>0</v>
      </c>
    </row>
    <row r="40" spans="1:7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 t="e">
        <f>G39/D39</f>
        <v>#DIV/0!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2190.35173665</v>
      </c>
      <c r="E42" s="114">
        <f>WMSR+RRRP</f>
        <v>5.7000000000000002E-3</v>
      </c>
      <c r="F42" s="7">
        <f>E42*F10</f>
        <v>2190.9818723624999</v>
      </c>
      <c r="G42" s="85"/>
    </row>
    <row r="43" spans="1:7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2579.5029166666668</v>
      </c>
      <c r="E44" s="114">
        <v>7.0000000000000001E-3</v>
      </c>
      <c r="F44" s="7">
        <f>E44*F7</f>
        <v>2579.5029166666668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4770.1046533166664</v>
      </c>
      <c r="E46" s="110"/>
      <c r="F46" s="95">
        <f>SUM(F42:F45)</f>
        <v>4770.7347890291667</v>
      </c>
      <c r="G46" s="127">
        <f>F46-D46</f>
        <v>0.63013571250030509</v>
      </c>
    </row>
    <row r="47" spans="1:7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1.32101024672943E-4</v>
      </c>
    </row>
    <row r="48" spans="1:7" x14ac:dyDescent="0.25">
      <c r="A48" s="147">
        <f t="shared" si="0"/>
        <v>42</v>
      </c>
      <c r="B48" s="133" t="s">
        <v>129</v>
      </c>
      <c r="C48" s="132"/>
      <c r="D48" s="122">
        <f>D15+D34+D39+D46</f>
        <v>44142.530685146674</v>
      </c>
      <c r="E48" s="115"/>
      <c r="F48" s="102">
        <f>F15+F34+F39+F46</f>
        <v>44096.742410626663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5738.5289890690674</v>
      </c>
      <c r="E49" s="116"/>
      <c r="F49" s="99">
        <f>F48*0.13</f>
        <v>5732.5765133814666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/>
      <c r="E50" s="117"/>
      <c r="F50" s="70"/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49881.059674215743</v>
      </c>
      <c r="E51" s="118"/>
      <c r="F51" s="103">
        <f>SUM(F48:F50)</f>
        <v>49829.318924008126</v>
      </c>
      <c r="G51" s="136">
        <f>F51-D51</f>
        <v>-51.740750207616657</v>
      </c>
    </row>
    <row r="52" spans="1:7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-1.037282498518415E-3</v>
      </c>
    </row>
    <row r="53" spans="1:7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127</v>
      </c>
      <c r="C54" s="202"/>
      <c r="D54" s="43">
        <f>C54*D8</f>
        <v>0</v>
      </c>
      <c r="E54" s="203"/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128</v>
      </c>
      <c r="C55" s="59"/>
      <c r="D55" s="42">
        <f>C55*D8</f>
        <v>0</v>
      </c>
      <c r="E55" s="203"/>
      <c r="F55" s="7">
        <f>E55*F8</f>
        <v>0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44142.530685146674</v>
      </c>
      <c r="E56" s="106"/>
      <c r="F56" s="7">
        <f>F48+SUM(F54:F55)</f>
        <v>44096.742410626663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5738.5289890690674</v>
      </c>
      <c r="E57" s="106"/>
      <c r="F57" s="7">
        <f>F56*0.13</f>
        <v>5732.5765133814666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/>
      <c r="E58" s="106"/>
      <c r="F58" s="7"/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49881.059674215743</v>
      </c>
      <c r="E59" s="181"/>
      <c r="F59" s="182">
        <f>SUM(F56:F58)</f>
        <v>49829.318924008126</v>
      </c>
      <c r="G59" s="183">
        <f>F59-D59</f>
        <v>-51.740750207616657</v>
      </c>
    </row>
    <row r="60" spans="1:7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-1.037282498518415E-3</v>
      </c>
    </row>
    <row r="61" spans="1:7" ht="15.75" thickBot="1" x14ac:dyDescent="0.3"/>
    <row r="62" spans="1:7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</row>
    <row r="63" spans="1:7" x14ac:dyDescent="0.25">
      <c r="A63" s="139">
        <f>A62+1</f>
        <v>56</v>
      </c>
      <c r="B63" s="85" t="s">
        <v>119</v>
      </c>
      <c r="C63" s="86"/>
      <c r="D63" s="42">
        <f>SUM(D18:D21)+D23+D24+D33</f>
        <v>1733.7934734966668</v>
      </c>
      <c r="E63" s="106"/>
      <c r="F63" s="7">
        <f>SUM(F18:F21)+F23+F24+F33</f>
        <v>1687.375063264162</v>
      </c>
      <c r="G63" s="56">
        <f>F63-D63</f>
        <v>-46.418410232504812</v>
      </c>
    </row>
    <row r="64" spans="1:7" x14ac:dyDescent="0.25">
      <c r="A64" s="164">
        <f t="shared" ref="A64:A66" si="5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-2.6772744817691256E-2</v>
      </c>
    </row>
    <row r="65" spans="1:7" x14ac:dyDescent="0.25">
      <c r="A65" s="139">
        <f t="shared" si="5"/>
        <v>58</v>
      </c>
      <c r="B65" s="85" t="s">
        <v>121</v>
      </c>
      <c r="C65" s="86"/>
      <c r="D65" s="42">
        <f>D22+SUM(D25:D32)</f>
        <v>0</v>
      </c>
      <c r="E65" s="106"/>
      <c r="F65" s="7">
        <f>F22+SUM(F25:F32)</f>
        <v>0</v>
      </c>
      <c r="G65" s="56">
        <f>F65-D65</f>
        <v>0</v>
      </c>
    </row>
    <row r="66" spans="1:7" ht="15.75" thickBot="1" x14ac:dyDescent="0.3">
      <c r="A66" s="170">
        <f t="shared" si="5"/>
        <v>59</v>
      </c>
      <c r="B66" s="171" t="s">
        <v>118</v>
      </c>
      <c r="C66" s="172"/>
      <c r="D66" s="173"/>
      <c r="E66" s="174"/>
      <c r="F66" s="175"/>
      <c r="G66" s="176">
        <f>G65/SUM(D63:D66)</f>
        <v>0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8" orientation="landscape" r:id="rId1"/>
  <headerFooter>
    <oddFooter>&amp;R&amp;8&amp;P/&amp;N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workbookViewId="0">
      <selection activeCell="B15" sqref="B15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122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146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177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</row>
    <row r="6" spans="1:7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</row>
    <row r="7" spans="1:7" x14ac:dyDescent="0.25">
      <c r="A7" s="139">
        <v>1</v>
      </c>
      <c r="B7" s="85" t="s">
        <v>91</v>
      </c>
      <c r="C7" s="86"/>
      <c r="D7" s="204">
        <v>440000</v>
      </c>
      <c r="E7" s="106"/>
      <c r="F7" s="81">
        <f>D7</f>
        <v>440000</v>
      </c>
      <c r="G7" s="85"/>
    </row>
    <row r="8" spans="1:7" x14ac:dyDescent="0.25">
      <c r="A8" s="139">
        <f>A7+1</f>
        <v>2</v>
      </c>
      <c r="B8" s="85" t="s">
        <v>92</v>
      </c>
      <c r="C8" s="86"/>
      <c r="D8" s="204">
        <v>96</v>
      </c>
      <c r="E8" s="106"/>
      <c r="F8" s="81">
        <f>D8</f>
        <v>96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93</v>
      </c>
      <c r="C10" s="86"/>
      <c r="D10" s="80">
        <f>D7*D9</f>
        <v>458832</v>
      </c>
      <c r="E10" s="106"/>
      <c r="F10" s="81">
        <f>F7*F9</f>
        <v>458963.99999999994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22528</v>
      </c>
      <c r="E12" s="108">
        <f>'General Input'!$B$11</f>
        <v>0.08</v>
      </c>
      <c r="F12" s="7">
        <f>F$7*E12*TOU_OFF</f>
        <v>22528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9662.4</v>
      </c>
      <c r="E13" s="108">
        <f>'General Input'!$B$12</f>
        <v>0.122</v>
      </c>
      <c r="F13" s="7">
        <f>F$7*E13*TOU_MID</f>
        <v>9662.4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12751.199999999999</v>
      </c>
      <c r="E14" s="109">
        <f>'General Input'!$B$13</f>
        <v>0.161</v>
      </c>
      <c r="F14" s="70">
        <f>F$7*E14*TOU_ON</f>
        <v>12751.199999999999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44941.599999999999</v>
      </c>
      <c r="E15" s="110"/>
      <c r="F15" s="95">
        <f>SUM(F12:F14)</f>
        <v>44941.599999999999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Approved'!$U$4</f>
        <v>27.45</v>
      </c>
      <c r="D18" s="42">
        <f>C18</f>
        <v>27.45</v>
      </c>
      <c r="E18" s="113">
        <f>'2016 Proposed'!$D$3</f>
        <v>98.89</v>
      </c>
      <c r="F18" s="7">
        <f>E18</f>
        <v>98.89</v>
      </c>
      <c r="G18" s="85"/>
    </row>
    <row r="19" spans="1:7" x14ac:dyDescent="0.25">
      <c r="A19" s="139">
        <f t="shared" si="0"/>
        <v>13</v>
      </c>
      <c r="B19" s="85" t="s">
        <v>86</v>
      </c>
      <c r="C19" s="55">
        <f>'2015 Approved'!$U$5</f>
        <v>2.21</v>
      </c>
      <c r="D19" s="42">
        <f t="shared" ref="D19:D22" si="1">C19</f>
        <v>2.21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86</v>
      </c>
      <c r="C20" s="55">
        <f>'2015 Approved'!$U$6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Approved'!$U$7</f>
        <v>3.84</v>
      </c>
      <c r="D21" s="42">
        <f t="shared" si="1"/>
        <v>3.84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95</v>
      </c>
      <c r="C22" s="55">
        <f>'2015 Approved'!$U$8</f>
        <v>0.79</v>
      </c>
      <c r="D22" s="42">
        <f t="shared" si="1"/>
        <v>0.79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1923.5004799999999</v>
      </c>
      <c r="E23" s="114">
        <f>F15/$F$7</f>
        <v>0.10213999999999999</v>
      </c>
      <c r="F23" s="7">
        <f>(F10-F7)*E23</f>
        <v>1936.9829599999939</v>
      </c>
      <c r="G23" s="85"/>
    </row>
    <row r="24" spans="1:7" x14ac:dyDescent="0.25">
      <c r="A24" s="139">
        <f t="shared" si="0"/>
        <v>18</v>
      </c>
      <c r="B24" s="85" t="s">
        <v>90</v>
      </c>
      <c r="C24" s="59">
        <f>'2015 Approved'!$U$11</f>
        <v>6.1000000000000004E-3</v>
      </c>
      <c r="D24" s="42">
        <f>C24*D$7</f>
        <v>2684</v>
      </c>
      <c r="E24" s="114">
        <f>'2016 Proposed'!$D$11</f>
        <v>3.2711999999999999</v>
      </c>
      <c r="F24" s="7">
        <f>E24*F$8</f>
        <v>314.03519999999997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Approved'!$U$12</f>
        <v>1.2999999999999999E-3</v>
      </c>
      <c r="D25" s="42">
        <f t="shared" ref="D25:D33" si="3">C25*D$7</f>
        <v>572</v>
      </c>
      <c r="E25" s="114">
        <f>'2016 Proposed'!$D$13</f>
        <v>0.6512</v>
      </c>
      <c r="F25" s="7">
        <f t="shared" ref="F25:F33" si="4">E25*F$8</f>
        <v>62.5152</v>
      </c>
      <c r="G25" s="85"/>
    </row>
    <row r="26" spans="1:7" x14ac:dyDescent="0.25">
      <c r="A26" s="139">
        <f t="shared" si="0"/>
        <v>20</v>
      </c>
      <c r="B26" s="85" t="s">
        <v>87</v>
      </c>
      <c r="C26" s="59">
        <f>'2015 Approved'!$U$13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Approved'!$U$14</f>
        <v>0</v>
      </c>
      <c r="D27" s="42">
        <f t="shared" si="3"/>
        <v>0</v>
      </c>
      <c r="E27" s="114">
        <f>'2016 Proposed'!$D$15</f>
        <v>6.3500000000000001E-2</v>
      </c>
      <c r="F27" s="7">
        <f t="shared" si="4"/>
        <v>6.0960000000000001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Approved'!$U$15</f>
        <v>0</v>
      </c>
      <c r="D28" s="42">
        <f t="shared" si="3"/>
        <v>0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101</v>
      </c>
      <c r="C29" s="59">
        <f>'2015 Approved'!$U$16</f>
        <v>4.0000000000000002E-4</v>
      </c>
      <c r="D29" s="42">
        <f t="shared" si="3"/>
        <v>176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112</v>
      </c>
      <c r="C30" s="59">
        <f>'2015 Approved'!$U$17</f>
        <v>1.6000000000000001E-3</v>
      </c>
      <c r="D30" s="42">
        <f t="shared" si="3"/>
        <v>704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102</v>
      </c>
      <c r="C31" s="59">
        <f>'2015 Approved'!$U$18</f>
        <v>0</v>
      </c>
      <c r="D31" s="42">
        <f t="shared" si="3"/>
        <v>0</v>
      </c>
      <c r="E31" s="114">
        <f>'2016 Proposed'!$D$19</f>
        <v>0.58379999999999999</v>
      </c>
      <c r="F31" s="7">
        <f t="shared" si="4"/>
        <v>56.044799999999995</v>
      </c>
      <c r="G31" s="85"/>
    </row>
    <row r="32" spans="1:7" x14ac:dyDescent="0.25">
      <c r="A32" s="139">
        <f t="shared" si="0"/>
        <v>26</v>
      </c>
      <c r="B32" s="85" t="s">
        <v>94</v>
      </c>
      <c r="C32" s="59">
        <f>'2015 Approved'!$U$19</f>
        <v>0</v>
      </c>
      <c r="D32" s="42">
        <f t="shared" si="3"/>
        <v>0</v>
      </c>
      <c r="E32" s="114">
        <f>'2016 Proposed'!$D$20</f>
        <v>0.2777</v>
      </c>
      <c r="F32" s="7">
        <f t="shared" si="4"/>
        <v>26.659199999999998</v>
      </c>
      <c r="G32" s="85"/>
    </row>
    <row r="33" spans="1:7" x14ac:dyDescent="0.25">
      <c r="A33" s="139">
        <f t="shared" si="0"/>
        <v>27</v>
      </c>
      <c r="B33" s="85" t="s">
        <v>104</v>
      </c>
      <c r="C33" s="59">
        <f>'2015 Approved'!$U$20</f>
        <v>0</v>
      </c>
      <c r="D33" s="42">
        <f t="shared" si="3"/>
        <v>0</v>
      </c>
      <c r="E33" s="114">
        <f>'2016 Proposed'!$D$21</f>
        <v>-0.82540000000000002</v>
      </c>
      <c r="F33" s="7">
        <f t="shared" si="4"/>
        <v>-79.238399999999999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6093.7904799999997</v>
      </c>
      <c r="E34" s="110"/>
      <c r="F34" s="95">
        <f>SUM(F18:F33)</f>
        <v>2421.9849599999939</v>
      </c>
      <c r="G34" s="127">
        <f>F34-D34</f>
        <v>-3671.8055200000058</v>
      </c>
    </row>
    <row r="35" spans="1:7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-0.60254869806419831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68</v>
      </c>
      <c r="C37" s="59">
        <f>'2015 Approved'!$U$26</f>
        <v>7.1000000000000004E-3</v>
      </c>
      <c r="D37" s="42">
        <f>C37*D$10</f>
        <v>3257.7072000000003</v>
      </c>
      <c r="E37" s="114">
        <f>'2016 Proposed'!$D$28</f>
        <v>2.7772999999999999</v>
      </c>
      <c r="F37" s="7">
        <f>E37*F$8</f>
        <v>266.62079999999997</v>
      </c>
      <c r="G37" s="85"/>
    </row>
    <row r="38" spans="1:7" x14ac:dyDescent="0.25">
      <c r="A38" s="139">
        <f t="shared" si="0"/>
        <v>32</v>
      </c>
      <c r="B38" s="85" t="s">
        <v>69</v>
      </c>
      <c r="C38" s="59">
        <f>'2015 Approved'!$U$27</f>
        <v>5.0000000000000001E-3</v>
      </c>
      <c r="D38" s="42">
        <f>C38*D$10</f>
        <v>2294.16</v>
      </c>
      <c r="E38" s="114">
        <f>'2016 Proposed'!$D$29</f>
        <v>2.0087000000000002</v>
      </c>
      <c r="F38" s="7">
        <f>E38*F$8</f>
        <v>192.83520000000001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5551.8672000000006</v>
      </c>
      <c r="E39" s="110"/>
      <c r="F39" s="95">
        <f>SUM(F37:F38)</f>
        <v>459.45600000000002</v>
      </c>
      <c r="G39" s="127">
        <f>F39-D39</f>
        <v>-5092.4112000000005</v>
      </c>
    </row>
    <row r="40" spans="1:7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-0.9172429772815891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2615.3424</v>
      </c>
      <c r="E42" s="114">
        <f>WMSR+RRRP</f>
        <v>5.7000000000000002E-3</v>
      </c>
      <c r="F42" s="7">
        <f>E42*F10</f>
        <v>2616.0947999999999</v>
      </c>
      <c r="G42" s="85"/>
    </row>
    <row r="43" spans="1:7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3080</v>
      </c>
      <c r="E44" s="114">
        <v>7.0000000000000001E-3</v>
      </c>
      <c r="F44" s="7">
        <f>E44*F7</f>
        <v>3080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5695.5923999999995</v>
      </c>
      <c r="E46" s="110"/>
      <c r="F46" s="95">
        <f>SUM(F42:F45)</f>
        <v>5696.3447999999999</v>
      </c>
      <c r="G46" s="127">
        <f>F46-D46</f>
        <v>0.75240000000030705</v>
      </c>
    </row>
    <row r="47" spans="1:7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1.3210214972551531E-4</v>
      </c>
    </row>
    <row r="48" spans="1:7" x14ac:dyDescent="0.25">
      <c r="A48" s="147">
        <f t="shared" si="0"/>
        <v>42</v>
      </c>
      <c r="B48" s="133" t="s">
        <v>129</v>
      </c>
      <c r="C48" s="132"/>
      <c r="D48" s="122">
        <f>D15+D34+D39+D46</f>
        <v>62282.850080000004</v>
      </c>
      <c r="E48" s="115"/>
      <c r="F48" s="102">
        <f>F15+F34+F39+F46</f>
        <v>53519.38575999999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8096.7705104000006</v>
      </c>
      <c r="E49" s="116"/>
      <c r="F49" s="99">
        <f>F48*0.13</f>
        <v>6957.5201487999993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-7037.9620590400009</v>
      </c>
      <c r="E50" s="117"/>
      <c r="F50" s="70">
        <f>SUM(F48:F49)*-0.1</f>
        <v>-6047.6905908799999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63341.658531360008</v>
      </c>
      <c r="E51" s="118"/>
      <c r="F51" s="103">
        <f>SUM(F48:F50)</f>
        <v>54429.215317919996</v>
      </c>
      <c r="G51" s="136">
        <f>F51-D51</f>
        <v>-8912.4432134400122</v>
      </c>
    </row>
    <row r="52" spans="1:7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-0.14070429193178649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127</v>
      </c>
      <c r="C54" s="202">
        <f>'2015 Approved'!$U$23</f>
        <v>8.3000000000000001E-3</v>
      </c>
      <c r="D54" s="43">
        <f>C54*D7</f>
        <v>3652</v>
      </c>
      <c r="E54" s="203">
        <f>C54</f>
        <v>8.3000000000000001E-3</v>
      </c>
      <c r="F54" s="99">
        <f>E54*F8</f>
        <v>0.79679999999999995</v>
      </c>
      <c r="G54" s="134"/>
    </row>
    <row r="55" spans="1:7" x14ac:dyDescent="0.25">
      <c r="A55" s="148">
        <f>A54+1</f>
        <v>49</v>
      </c>
      <c r="B55" s="85" t="s">
        <v>128</v>
      </c>
      <c r="C55" s="59">
        <f>'2015 Approved'!$U$24</f>
        <v>-4.0000000000000002E-4</v>
      </c>
      <c r="D55" s="42">
        <f>C55*D7</f>
        <v>-176</v>
      </c>
      <c r="E55" s="203">
        <f>'2016 Proposed'!$D$26</f>
        <v>1.3655999999999999</v>
      </c>
      <c r="F55" s="7">
        <f>E55*F8</f>
        <v>131.0976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65758.850080000004</v>
      </c>
      <c r="E56" s="106"/>
      <c r="F56" s="7">
        <f>F48+SUM(F54:F55)</f>
        <v>53651.280159999988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8548.6505104000007</v>
      </c>
      <c r="E57" s="106"/>
      <c r="F57" s="7">
        <f>F56*0.13</f>
        <v>6974.6664207999984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-7430.7500590400005</v>
      </c>
      <c r="E58" s="106"/>
      <c r="F58" s="7">
        <f>SUM(F56:F57)*-0.1</f>
        <v>-6062.5946580799991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66876.750531359998</v>
      </c>
      <c r="E59" s="181"/>
      <c r="F59" s="182">
        <f>SUM(F56:F58)</f>
        <v>54563.351922719987</v>
      </c>
      <c r="G59" s="183">
        <f>F59-D59</f>
        <v>-12313.398608640011</v>
      </c>
    </row>
    <row r="60" spans="1:7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-0.18412076709477659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</row>
    <row r="63" spans="1:7" x14ac:dyDescent="0.25">
      <c r="A63" s="139">
        <f>A62+1</f>
        <v>56</v>
      </c>
      <c r="B63" s="85" t="s">
        <v>119</v>
      </c>
      <c r="C63" s="86"/>
      <c r="D63" s="42">
        <f>SUM(D18:D21)+D23+D24+D33</f>
        <v>4641.0004799999997</v>
      </c>
      <c r="E63" s="106"/>
      <c r="F63" s="7">
        <f>SUM(F18:F21)+F23+F24+F33</f>
        <v>2270.6697599999939</v>
      </c>
      <c r="G63" s="56">
        <f>F63-D63</f>
        <v>-2370.3307200000058</v>
      </c>
    </row>
    <row r="64" spans="1:7" x14ac:dyDescent="0.25">
      <c r="A64" s="164">
        <f t="shared" ref="A64:A66" si="5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-0.38897476501358247</v>
      </c>
    </row>
    <row r="65" spans="1:7" x14ac:dyDescent="0.25">
      <c r="A65" s="139">
        <f t="shared" si="5"/>
        <v>58</v>
      </c>
      <c r="B65" s="85" t="s">
        <v>121</v>
      </c>
      <c r="C65" s="86"/>
      <c r="D65" s="42">
        <f>D22+SUM(D25:D32)</f>
        <v>1452.79</v>
      </c>
      <c r="E65" s="106"/>
      <c r="F65" s="7">
        <f>F22+SUM(F25:F32)</f>
        <v>151.3152</v>
      </c>
      <c r="G65" s="56">
        <f>F65-D65</f>
        <v>-1301.4748</v>
      </c>
    </row>
    <row r="66" spans="1:7" ht="15.75" thickBot="1" x14ac:dyDescent="0.3">
      <c r="A66" s="170">
        <f t="shared" si="5"/>
        <v>59</v>
      </c>
      <c r="B66" s="171" t="s">
        <v>118</v>
      </c>
      <c r="C66" s="172"/>
      <c r="D66" s="173"/>
      <c r="E66" s="174"/>
      <c r="F66" s="175"/>
      <c r="G66" s="176">
        <f>G65/SUM(D63:D66)</f>
        <v>-0.21357393305061581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topLeftCell="A49" zoomScale="110" zoomScaleNormal="110" workbookViewId="0">
      <selection activeCell="B15" sqref="B15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122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146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178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</row>
    <row r="6" spans="1:7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</row>
    <row r="7" spans="1:7" x14ac:dyDescent="0.25">
      <c r="A7" s="139">
        <v>1</v>
      </c>
      <c r="B7" s="85" t="s">
        <v>91</v>
      </c>
      <c r="C7" s="86"/>
      <c r="D7" s="204">
        <v>1825000</v>
      </c>
      <c r="E7" s="106"/>
      <c r="F7" s="81">
        <f>D7</f>
        <v>1825000</v>
      </c>
      <c r="G7" s="85"/>
    </row>
    <row r="8" spans="1:7" x14ac:dyDescent="0.25">
      <c r="A8" s="139">
        <f>A7+1</f>
        <v>2</v>
      </c>
      <c r="B8" s="85" t="s">
        <v>92</v>
      </c>
      <c r="C8" s="86"/>
      <c r="D8" s="204">
        <v>2500</v>
      </c>
      <c r="E8" s="106"/>
      <c r="F8" s="81">
        <f>D8</f>
        <v>2500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93</v>
      </c>
      <c r="C10" s="86"/>
      <c r="D10" s="80">
        <f>D7*D9</f>
        <v>1903110</v>
      </c>
      <c r="E10" s="106"/>
      <c r="F10" s="81">
        <f>F7*F9</f>
        <v>1903657.4999999998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93440</v>
      </c>
      <c r="E12" s="108">
        <f>'General Input'!$B$11</f>
        <v>0.08</v>
      </c>
      <c r="F12" s="7">
        <f>F$7*E12*TOU_OFF</f>
        <v>93440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40077</v>
      </c>
      <c r="E13" s="108">
        <f>'General Input'!$B$12</f>
        <v>0.122</v>
      </c>
      <c r="F13" s="7">
        <f>F$7*E13*TOU_MID</f>
        <v>40077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52888.5</v>
      </c>
      <c r="E14" s="109">
        <f>'General Input'!$B$13</f>
        <v>0.161</v>
      </c>
      <c r="F14" s="70">
        <f>F$7*E14*TOU_ON</f>
        <v>52888.5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186405.5</v>
      </c>
      <c r="E15" s="110"/>
      <c r="F15" s="95">
        <f>SUM(F12:F14)</f>
        <v>186405.5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Approved'!$F$4</f>
        <v>99.74</v>
      </c>
      <c r="D18" s="42">
        <f>C18</f>
        <v>99.74</v>
      </c>
      <c r="E18" s="113">
        <f>'2016 Proposed'!$D$3</f>
        <v>98.89</v>
      </c>
      <c r="F18" s="7">
        <f>E18</f>
        <v>98.89</v>
      </c>
      <c r="G18" s="85"/>
    </row>
    <row r="19" spans="1:7" x14ac:dyDescent="0.25">
      <c r="A19" s="139">
        <f t="shared" si="0"/>
        <v>13</v>
      </c>
      <c r="B19" s="85" t="s">
        <v>86</v>
      </c>
      <c r="C19" s="55">
        <f>'2015 Approved'!$F$5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86</v>
      </c>
      <c r="C20" s="55">
        <f>'2015 Approved'!$F$6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Approved'!$F$7</f>
        <v>0</v>
      </c>
      <c r="D21" s="42">
        <f t="shared" si="1"/>
        <v>0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95</v>
      </c>
      <c r="C22" s="55">
        <f>'2015 Approved'!$F$8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7978.1553999999996</v>
      </c>
      <c r="E23" s="114">
        <f>F15/$F$7</f>
        <v>0.10213999999999999</v>
      </c>
      <c r="F23" s="7">
        <f>(F10-F7)*E23</f>
        <v>8034.0770499999762</v>
      </c>
      <c r="G23" s="85"/>
    </row>
    <row r="24" spans="1:7" x14ac:dyDescent="0.25">
      <c r="A24" s="139">
        <f t="shared" si="0"/>
        <v>18</v>
      </c>
      <c r="B24" s="85" t="s">
        <v>90</v>
      </c>
      <c r="C24" s="59">
        <f>'2015 Approved'!$F$11</f>
        <v>4.7298</v>
      </c>
      <c r="D24" s="42">
        <f>C24*D$8</f>
        <v>11824.5</v>
      </c>
      <c r="E24" s="114">
        <f>'2016 Proposed'!$D$11</f>
        <v>3.2711999999999999</v>
      </c>
      <c r="F24" s="7">
        <f>E24*F$8</f>
        <v>8178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Approved'!$F$12</f>
        <v>0.1416</v>
      </c>
      <c r="D25" s="42">
        <f t="shared" ref="D25:D33" si="3">C25*D$8</f>
        <v>354</v>
      </c>
      <c r="E25" s="114">
        <f>'2016 Proposed'!$D$13</f>
        <v>0.6512</v>
      </c>
      <c r="F25" s="7">
        <f t="shared" ref="F25:F33" si="4">E25*F$8</f>
        <v>1628</v>
      </c>
      <c r="G25" s="85"/>
    </row>
    <row r="26" spans="1:7" x14ac:dyDescent="0.25">
      <c r="A26" s="139">
        <f t="shared" si="0"/>
        <v>20</v>
      </c>
      <c r="B26" s="85" t="s">
        <v>87</v>
      </c>
      <c r="C26" s="59">
        <f>'2015 Approved'!$F$13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Approved'!$F$14</f>
        <v>3.2300000000000002E-2</v>
      </c>
      <c r="D27" s="42">
        <f t="shared" si="3"/>
        <v>80.75</v>
      </c>
      <c r="E27" s="114">
        <f>'2016 Proposed'!$D$15</f>
        <v>6.3500000000000001E-2</v>
      </c>
      <c r="F27" s="7">
        <f t="shared" si="4"/>
        <v>158.75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Approved'!$F$15</f>
        <v>-2.63E-2</v>
      </c>
      <c r="D28" s="42">
        <f t="shared" si="3"/>
        <v>-65.75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101</v>
      </c>
      <c r="C29" s="59">
        <f>'2015 Approved'!$F$16</f>
        <v>0</v>
      </c>
      <c r="D29" s="42">
        <f t="shared" si="3"/>
        <v>0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112</v>
      </c>
      <c r="C30" s="59">
        <f>'2015 Approved'!$F$17</f>
        <v>0.87619999999999998</v>
      </c>
      <c r="D30" s="42">
        <f t="shared" si="3"/>
        <v>2190.5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102</v>
      </c>
      <c r="C31" s="59">
        <f>'2015 Approved'!$F$18</f>
        <v>0</v>
      </c>
      <c r="D31" s="42">
        <f t="shared" si="3"/>
        <v>0</v>
      </c>
      <c r="E31" s="114">
        <f>'2016 Proposed'!$D$19</f>
        <v>0.58379999999999999</v>
      </c>
      <c r="F31" s="7">
        <f t="shared" si="4"/>
        <v>1459.5</v>
      </c>
      <c r="G31" s="85"/>
    </row>
    <row r="32" spans="1:7" x14ac:dyDescent="0.25">
      <c r="A32" s="139">
        <f t="shared" si="0"/>
        <v>26</v>
      </c>
      <c r="B32" s="85" t="s">
        <v>94</v>
      </c>
      <c r="C32" s="59">
        <f>'2015 Approved'!$F$19</f>
        <v>0</v>
      </c>
      <c r="D32" s="42">
        <f t="shared" si="3"/>
        <v>0</v>
      </c>
      <c r="E32" s="114">
        <f>'2016 Proposed'!$D$20</f>
        <v>0.2777</v>
      </c>
      <c r="F32" s="7">
        <f t="shared" si="4"/>
        <v>694.25</v>
      </c>
      <c r="G32" s="85"/>
    </row>
    <row r="33" spans="1:7" x14ac:dyDescent="0.25">
      <c r="A33" s="139">
        <f t="shared" si="0"/>
        <v>27</v>
      </c>
      <c r="B33" s="85" t="s">
        <v>104</v>
      </c>
      <c r="C33" s="59">
        <f>'2015 Approved'!$F$20</f>
        <v>0</v>
      </c>
      <c r="D33" s="42">
        <f t="shared" si="3"/>
        <v>0</v>
      </c>
      <c r="E33" s="114">
        <f>'2016 Proposed'!$D$21</f>
        <v>-0.82540000000000002</v>
      </c>
      <c r="F33" s="7">
        <f t="shared" si="4"/>
        <v>-2063.5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22461.895400000001</v>
      </c>
      <c r="E34" s="110"/>
      <c r="F34" s="95">
        <f>SUM(F18:F33)</f>
        <v>18187.967049999977</v>
      </c>
      <c r="G34" s="127">
        <f>F34-D34</f>
        <v>-4273.9283500000238</v>
      </c>
    </row>
    <row r="35" spans="1:7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-0.19027460834850221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68</v>
      </c>
      <c r="C37" s="59">
        <f>'2015 Approved'!$F$26</f>
        <v>2.927</v>
      </c>
      <c r="D37" s="42">
        <f>C37*D$8</f>
        <v>7317.5</v>
      </c>
      <c r="E37" s="114">
        <f>'2016 Proposed'!$D$28</f>
        <v>2.7772999999999999</v>
      </c>
      <c r="F37" s="7">
        <f>E37*F$8</f>
        <v>6943.25</v>
      </c>
      <c r="G37" s="85"/>
    </row>
    <row r="38" spans="1:7" x14ac:dyDescent="0.25">
      <c r="A38" s="139">
        <f t="shared" si="0"/>
        <v>32</v>
      </c>
      <c r="B38" s="85" t="s">
        <v>69</v>
      </c>
      <c r="C38" s="59">
        <f>'2015 Approved'!$F$27</f>
        <v>2.0684999999999998</v>
      </c>
      <c r="D38" s="42">
        <f>C38*D$8</f>
        <v>5171.2499999999991</v>
      </c>
      <c r="E38" s="114">
        <f>'2016 Proposed'!$D$29</f>
        <v>2.0087000000000002</v>
      </c>
      <c r="F38" s="7">
        <f>E38*F$8</f>
        <v>5021.75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12488.75</v>
      </c>
      <c r="E39" s="110"/>
      <c r="F39" s="95">
        <f>SUM(F37:F38)</f>
        <v>11965</v>
      </c>
      <c r="G39" s="127">
        <f>F39-D39</f>
        <v>-523.75</v>
      </c>
    </row>
    <row r="40" spans="1:7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-4.1937743969572616E-2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10847.727000000001</v>
      </c>
      <c r="E42" s="114">
        <f>WMSR+RRRP</f>
        <v>5.7000000000000002E-3</v>
      </c>
      <c r="F42" s="7">
        <f>E42*F10</f>
        <v>10850.847749999999</v>
      </c>
      <c r="G42" s="85"/>
    </row>
    <row r="43" spans="1:7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12775</v>
      </c>
      <c r="E44" s="114">
        <v>7.0000000000000001E-3</v>
      </c>
      <c r="F44" s="7">
        <f>E44*F7</f>
        <v>12775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23622.976999999999</v>
      </c>
      <c r="E46" s="110"/>
      <c r="F46" s="95">
        <f>SUM(F42:F45)</f>
        <v>23626.097750000001</v>
      </c>
      <c r="G46" s="127">
        <f>F46-D46</f>
        <v>3.1207500000018626</v>
      </c>
    </row>
    <row r="47" spans="1:7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1.3210655033029338E-4</v>
      </c>
    </row>
    <row r="48" spans="1:7" x14ac:dyDescent="0.25">
      <c r="A48" s="147">
        <f t="shared" si="0"/>
        <v>42</v>
      </c>
      <c r="B48" s="133" t="s">
        <v>129</v>
      </c>
      <c r="C48" s="132"/>
      <c r="D48" s="122">
        <f>D15+D34+D39+D46</f>
        <v>244979.12239999999</v>
      </c>
      <c r="E48" s="115"/>
      <c r="F48" s="102">
        <f>F15+F34+F39+F46</f>
        <v>240184.56479999999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31847.285911999999</v>
      </c>
      <c r="E49" s="116"/>
      <c r="F49" s="99">
        <f>F48*0.13</f>
        <v>31223.993424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-27682.640831199999</v>
      </c>
      <c r="E50" s="117"/>
      <c r="F50" s="70">
        <f>SUM(F48:F49)*-0.1</f>
        <v>-27140.855822400001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249143.76748079999</v>
      </c>
      <c r="E51" s="118"/>
      <c r="F51" s="103">
        <f>SUM(F48:F50)</f>
        <v>244267.70240159996</v>
      </c>
      <c r="G51" s="136">
        <f>F51-D51</f>
        <v>-4876.0650792000233</v>
      </c>
    </row>
    <row r="52" spans="1:7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-1.9571290618681812E-2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127</v>
      </c>
      <c r="C54" s="202">
        <f>'2015 Approved'!$F$23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128</v>
      </c>
      <c r="C55" s="59">
        <f>'2015 Approved'!$F$24</f>
        <v>1.2860999999999998</v>
      </c>
      <c r="D55" s="42">
        <f>C55*D8</f>
        <v>3215.2499999999995</v>
      </c>
      <c r="E55" s="203">
        <f>'2016 Proposed'!$D$26</f>
        <v>1.3655999999999999</v>
      </c>
      <c r="F55" s="7">
        <f>E55*F8</f>
        <v>3414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248194.37239999999</v>
      </c>
      <c r="E56" s="106"/>
      <c r="F56" s="7">
        <f>F48+SUM(F54:F55)</f>
        <v>243598.56479999999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32265.268412000001</v>
      </c>
      <c r="E57" s="106"/>
      <c r="F57" s="7">
        <f>F56*0.13</f>
        <v>31667.813424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-28045.9640812</v>
      </c>
      <c r="E58" s="106"/>
      <c r="F58" s="7">
        <f>SUM(F56:F57)*-0.1</f>
        <v>-27526.6378224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252413.67673079995</v>
      </c>
      <c r="E59" s="181"/>
      <c r="F59" s="182">
        <f>SUM(F56:F58)</f>
        <v>247739.74040159999</v>
      </c>
      <c r="G59" s="183">
        <f>F59-D59</f>
        <v>-4673.9363291999616</v>
      </c>
    </row>
    <row r="60" spans="1:7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-1.8516969404097427E-2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</row>
    <row r="63" spans="1:7" x14ac:dyDescent="0.25">
      <c r="A63" s="139">
        <f>A62+1</f>
        <v>56</v>
      </c>
      <c r="B63" s="85" t="s">
        <v>119</v>
      </c>
      <c r="C63" s="86"/>
      <c r="D63" s="42">
        <f>SUM(D18:D21)+D23+D24+D33</f>
        <v>19902.395400000001</v>
      </c>
      <c r="E63" s="106"/>
      <c r="F63" s="7">
        <f>SUM(F18:F21)+F23+F24+F33</f>
        <v>14247.467049999977</v>
      </c>
      <c r="G63" s="56">
        <f>F63-D63</f>
        <v>-5654.9283500000238</v>
      </c>
    </row>
    <row r="64" spans="1:7" x14ac:dyDescent="0.25">
      <c r="A64" s="164">
        <f t="shared" ref="A64:A66" si="5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-0.25175650804606736</v>
      </c>
    </row>
    <row r="65" spans="1:7" x14ac:dyDescent="0.25">
      <c r="A65" s="139">
        <f t="shared" si="5"/>
        <v>58</v>
      </c>
      <c r="B65" s="85" t="s">
        <v>121</v>
      </c>
      <c r="C65" s="86"/>
      <c r="D65" s="42">
        <f>D22+SUM(D25:D32)</f>
        <v>2559.5</v>
      </c>
      <c r="E65" s="106"/>
      <c r="F65" s="7">
        <f>F22+SUM(F25:F32)</f>
        <v>3940.5</v>
      </c>
      <c r="G65" s="56">
        <f>F65-D65</f>
        <v>1381</v>
      </c>
    </row>
    <row r="66" spans="1:7" ht="15.75" thickBot="1" x14ac:dyDescent="0.3">
      <c r="A66" s="170">
        <f t="shared" si="5"/>
        <v>59</v>
      </c>
      <c r="B66" s="171" t="s">
        <v>118</v>
      </c>
      <c r="C66" s="172"/>
      <c r="D66" s="173"/>
      <c r="E66" s="174"/>
      <c r="F66" s="175"/>
      <c r="G66" s="176">
        <f>G65/SUM(D63:D66)</f>
        <v>6.1481899697565144E-2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110" zoomScaleNormal="110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RowHeight="15" x14ac:dyDescent="0.25"/>
  <cols>
    <col min="1" max="1" width="47.140625" bestFit="1" customWidth="1"/>
    <col min="2" max="27" width="12.7109375" customWidth="1"/>
  </cols>
  <sheetData>
    <row r="1" spans="1:27" ht="30" x14ac:dyDescent="0.25">
      <c r="A1" s="44" t="s">
        <v>0</v>
      </c>
      <c r="B1" s="47" t="s">
        <v>70</v>
      </c>
      <c r="C1" s="48" t="s">
        <v>71</v>
      </c>
      <c r="D1" s="48" t="s">
        <v>72</v>
      </c>
      <c r="E1" s="49" t="s">
        <v>73</v>
      </c>
      <c r="F1" s="48" t="s">
        <v>74</v>
      </c>
      <c r="G1" s="49" t="s">
        <v>75</v>
      </c>
      <c r="H1" s="48" t="s">
        <v>76</v>
      </c>
      <c r="I1" s="48" t="s">
        <v>77</v>
      </c>
      <c r="J1" s="48" t="s">
        <v>78</v>
      </c>
      <c r="K1" s="48" t="s">
        <v>79</v>
      </c>
      <c r="L1" s="50" t="s">
        <v>80</v>
      </c>
      <c r="M1" s="48" t="s">
        <v>70</v>
      </c>
      <c r="N1" s="48" t="s">
        <v>71</v>
      </c>
      <c r="O1" s="48" t="s">
        <v>83</v>
      </c>
      <c r="P1" s="48" t="s">
        <v>84</v>
      </c>
      <c r="Q1" s="48" t="s">
        <v>85</v>
      </c>
      <c r="R1" s="48" t="s">
        <v>79</v>
      </c>
      <c r="S1" s="50" t="s">
        <v>80</v>
      </c>
      <c r="T1" s="48" t="s">
        <v>70</v>
      </c>
      <c r="U1" s="48" t="s">
        <v>71</v>
      </c>
      <c r="V1" s="48" t="s">
        <v>88</v>
      </c>
      <c r="W1" s="50" t="s">
        <v>80</v>
      </c>
      <c r="X1" s="48" t="s">
        <v>70</v>
      </c>
      <c r="Y1" s="48" t="s">
        <v>71</v>
      </c>
      <c r="Z1" s="48" t="s">
        <v>83</v>
      </c>
      <c r="AA1" s="50" t="s">
        <v>80</v>
      </c>
    </row>
    <row r="2" spans="1:27" ht="18.75" x14ac:dyDescent="0.3">
      <c r="B2" s="51" t="s">
        <v>81</v>
      </c>
      <c r="C2" s="3"/>
      <c r="D2" s="3"/>
      <c r="E2" s="3"/>
      <c r="F2" s="3"/>
      <c r="G2" s="3"/>
      <c r="H2" s="3"/>
      <c r="I2" s="3"/>
      <c r="J2" s="3"/>
      <c r="K2" s="3"/>
      <c r="L2" s="52"/>
      <c r="M2" s="3" t="s">
        <v>19</v>
      </c>
      <c r="N2" s="3"/>
      <c r="O2" s="3"/>
      <c r="P2" s="3"/>
      <c r="Q2" s="3"/>
      <c r="R2" s="3"/>
      <c r="S2" s="52"/>
      <c r="T2" s="3" t="s">
        <v>20</v>
      </c>
      <c r="U2" s="3"/>
      <c r="V2" s="3"/>
      <c r="W2" s="52"/>
      <c r="X2" s="3" t="s">
        <v>89</v>
      </c>
      <c r="Y2" s="3"/>
      <c r="Z2" s="3"/>
      <c r="AA2" s="52"/>
    </row>
    <row r="3" spans="1:27" x14ac:dyDescent="0.25">
      <c r="A3" s="4" t="s">
        <v>33</v>
      </c>
      <c r="B3" s="53"/>
      <c r="C3" s="5"/>
      <c r="D3" s="5"/>
      <c r="E3" s="5"/>
      <c r="F3" s="5"/>
      <c r="G3" s="5"/>
      <c r="H3" s="5"/>
      <c r="I3" s="5"/>
      <c r="J3" s="5"/>
      <c r="K3" s="5"/>
      <c r="L3" s="54"/>
      <c r="M3" s="5"/>
      <c r="N3" s="5"/>
      <c r="O3" s="5"/>
      <c r="P3" s="5"/>
      <c r="Q3" s="5"/>
      <c r="R3" s="5"/>
      <c r="S3" s="54"/>
      <c r="T3" s="5"/>
      <c r="U3" s="5"/>
      <c r="V3" s="5"/>
      <c r="W3" s="54"/>
      <c r="X3" s="5"/>
      <c r="Y3" s="5"/>
      <c r="Z3" s="5"/>
      <c r="AA3" s="54"/>
    </row>
    <row r="4" spans="1:27" x14ac:dyDescent="0.25">
      <c r="A4" s="6" t="s">
        <v>5</v>
      </c>
      <c r="B4" s="55">
        <v>18.98</v>
      </c>
      <c r="C4" s="7">
        <v>34.840000000000003</v>
      </c>
      <c r="D4" s="7">
        <v>122.86</v>
      </c>
      <c r="E4" s="7">
        <v>122.86</v>
      </c>
      <c r="F4" s="7">
        <v>99.74</v>
      </c>
      <c r="G4" s="7">
        <v>99.74</v>
      </c>
      <c r="H4" s="7">
        <v>1385.39</v>
      </c>
      <c r="I4" s="7">
        <v>11.06</v>
      </c>
      <c r="J4" s="7">
        <v>0</v>
      </c>
      <c r="K4" s="7">
        <v>8.7100000000000009</v>
      </c>
      <c r="L4" s="56">
        <v>1.73</v>
      </c>
      <c r="M4" s="7">
        <v>14.43</v>
      </c>
      <c r="N4" s="7">
        <v>19.059999999999999</v>
      </c>
      <c r="O4" s="7">
        <v>45.55</v>
      </c>
      <c r="P4" s="7">
        <v>3845.43</v>
      </c>
      <c r="Q4" s="7">
        <v>9.5399999999999991</v>
      </c>
      <c r="R4" s="7">
        <v>0.18</v>
      </c>
      <c r="S4" s="56">
        <v>0.14000000000000001</v>
      </c>
      <c r="T4" s="7">
        <v>13.44</v>
      </c>
      <c r="U4" s="7">
        <v>27.45</v>
      </c>
      <c r="V4" s="7">
        <v>0.98</v>
      </c>
      <c r="W4" s="56">
        <v>0.66</v>
      </c>
      <c r="X4" s="7">
        <v>12.52</v>
      </c>
      <c r="Y4" s="7">
        <v>22.91</v>
      </c>
      <c r="Z4" s="7">
        <v>279.02</v>
      </c>
      <c r="AA4" s="56">
        <v>0.85</v>
      </c>
    </row>
    <row r="5" spans="1:27" x14ac:dyDescent="0.25">
      <c r="A5" s="6" t="s">
        <v>34</v>
      </c>
      <c r="B5" s="55">
        <v>0</v>
      </c>
      <c r="C5" s="7">
        <v>3.01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56">
        <v>0</v>
      </c>
      <c r="M5" s="7">
        <v>1.23</v>
      </c>
      <c r="N5" s="7">
        <v>1.23</v>
      </c>
      <c r="O5" s="7">
        <v>1.23</v>
      </c>
      <c r="P5" s="7">
        <v>1.23</v>
      </c>
      <c r="Q5" s="7">
        <v>0</v>
      </c>
      <c r="R5" s="7">
        <v>0</v>
      </c>
      <c r="S5" s="56">
        <v>0</v>
      </c>
      <c r="T5" s="7">
        <v>1.2</v>
      </c>
      <c r="U5" s="7">
        <v>2.21</v>
      </c>
      <c r="V5" s="7">
        <v>0</v>
      </c>
      <c r="W5" s="56">
        <v>0</v>
      </c>
      <c r="X5" s="7">
        <v>0.77</v>
      </c>
      <c r="Y5" s="7">
        <v>1.23</v>
      </c>
      <c r="Z5" s="7">
        <v>0</v>
      </c>
      <c r="AA5" s="56">
        <v>0</v>
      </c>
    </row>
    <row r="6" spans="1:27" x14ac:dyDescent="0.25">
      <c r="A6" s="6" t="s">
        <v>34</v>
      </c>
      <c r="B6" s="55"/>
      <c r="C6" s="7"/>
      <c r="D6" s="7"/>
      <c r="E6" s="7"/>
      <c r="F6" s="7"/>
      <c r="G6" s="7"/>
      <c r="H6" s="7"/>
      <c r="I6" s="7"/>
      <c r="J6" s="7"/>
      <c r="K6" s="7"/>
      <c r="L6" s="56"/>
      <c r="M6" s="7">
        <v>0.77</v>
      </c>
      <c r="N6" s="7">
        <v>4.12</v>
      </c>
      <c r="O6" s="7">
        <v>0.77</v>
      </c>
      <c r="P6" s="7">
        <v>0.77</v>
      </c>
      <c r="Q6" s="7">
        <v>0</v>
      </c>
      <c r="R6" s="7">
        <v>0</v>
      </c>
      <c r="S6" s="56">
        <v>0</v>
      </c>
      <c r="T6" s="7"/>
      <c r="U6" s="7"/>
      <c r="V6" s="7"/>
      <c r="W6" s="56"/>
      <c r="X6" s="7"/>
      <c r="Y6" s="7"/>
      <c r="Z6" s="7"/>
      <c r="AA6" s="56"/>
    </row>
    <row r="7" spans="1:27" x14ac:dyDescent="0.25">
      <c r="A7" s="6" t="s">
        <v>6</v>
      </c>
      <c r="B7" s="55">
        <v>0.28000000000000003</v>
      </c>
      <c r="C7" s="7">
        <v>5.6</v>
      </c>
      <c r="D7" s="7">
        <v>11.31</v>
      </c>
      <c r="E7" s="7">
        <v>11.31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56">
        <v>0</v>
      </c>
      <c r="M7" s="7">
        <v>0.38</v>
      </c>
      <c r="N7" s="7">
        <v>5.35</v>
      </c>
      <c r="O7" s="7">
        <v>12.59</v>
      </c>
      <c r="P7" s="7">
        <v>0</v>
      </c>
      <c r="Q7" s="7">
        <v>0</v>
      </c>
      <c r="R7" s="7">
        <v>0</v>
      </c>
      <c r="S7" s="56">
        <v>0</v>
      </c>
      <c r="T7" s="7">
        <v>2.33</v>
      </c>
      <c r="U7" s="7">
        <v>3.84</v>
      </c>
      <c r="V7" s="7">
        <v>0</v>
      </c>
      <c r="W7" s="56">
        <v>0</v>
      </c>
      <c r="X7" s="7">
        <v>2.4</v>
      </c>
      <c r="Y7" s="7">
        <v>3.07</v>
      </c>
      <c r="Z7" s="7">
        <v>6.66</v>
      </c>
      <c r="AA7" s="56">
        <v>0</v>
      </c>
    </row>
    <row r="8" spans="1:27" x14ac:dyDescent="0.25">
      <c r="A8" s="6" t="s">
        <v>95</v>
      </c>
      <c r="B8" s="55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56">
        <v>0</v>
      </c>
      <c r="M8" s="7">
        <v>0.79</v>
      </c>
      <c r="N8" s="7">
        <v>0.79</v>
      </c>
      <c r="O8" s="7">
        <v>0</v>
      </c>
      <c r="P8" s="7">
        <v>0</v>
      </c>
      <c r="Q8" s="7">
        <v>0</v>
      </c>
      <c r="R8" s="7">
        <v>0</v>
      </c>
      <c r="S8" s="56">
        <v>0</v>
      </c>
      <c r="T8" s="7">
        <v>0.79</v>
      </c>
      <c r="U8" s="7">
        <v>0.79</v>
      </c>
      <c r="V8" s="7">
        <v>0</v>
      </c>
      <c r="W8" s="56">
        <v>0</v>
      </c>
      <c r="X8" s="7">
        <v>0.79</v>
      </c>
      <c r="Y8" s="7">
        <v>0.79</v>
      </c>
      <c r="Z8" s="7">
        <v>0</v>
      </c>
      <c r="AA8" s="56">
        <v>0</v>
      </c>
    </row>
    <row r="9" spans="1:27" x14ac:dyDescent="0.25">
      <c r="A9" s="31"/>
      <c r="B9" s="57"/>
      <c r="C9" s="45"/>
      <c r="D9" s="45"/>
      <c r="E9" s="45"/>
      <c r="F9" s="45"/>
      <c r="G9" s="45"/>
      <c r="H9" s="45"/>
      <c r="I9" s="45"/>
      <c r="J9" s="45"/>
      <c r="K9" s="45"/>
      <c r="L9" s="58"/>
      <c r="M9" s="45"/>
      <c r="N9" s="45"/>
      <c r="O9" s="45"/>
      <c r="P9" s="45"/>
      <c r="Q9" s="45"/>
      <c r="R9" s="45"/>
      <c r="S9" s="58"/>
      <c r="T9" s="45"/>
      <c r="U9" s="45"/>
      <c r="V9" s="45"/>
      <c r="W9" s="58"/>
      <c r="X9" s="45"/>
      <c r="Y9" s="45"/>
      <c r="Z9" s="45"/>
      <c r="AA9" s="58"/>
    </row>
    <row r="10" spans="1:27" x14ac:dyDescent="0.25">
      <c r="A10" s="4"/>
      <c r="B10" s="53"/>
      <c r="C10" s="5"/>
      <c r="D10" s="5"/>
      <c r="E10" s="5"/>
      <c r="F10" s="5"/>
      <c r="G10" s="5"/>
      <c r="H10" s="5"/>
      <c r="I10" s="5"/>
      <c r="J10" s="5"/>
      <c r="K10" s="5"/>
      <c r="L10" s="54"/>
      <c r="M10" s="5"/>
      <c r="N10" s="5"/>
      <c r="O10" s="5"/>
      <c r="P10" s="5"/>
      <c r="Q10" s="5"/>
      <c r="R10" s="5"/>
      <c r="S10" s="54"/>
      <c r="T10" s="5"/>
      <c r="U10" s="5"/>
      <c r="V10" s="5"/>
      <c r="W10" s="54"/>
      <c r="X10" s="5"/>
      <c r="Y10" s="5"/>
      <c r="Z10" s="5"/>
      <c r="AA10" s="54"/>
    </row>
    <row r="11" spans="1:27" x14ac:dyDescent="0.25">
      <c r="A11" s="6" t="s">
        <v>7</v>
      </c>
      <c r="B11" s="59">
        <v>8.8000000000000005E-3</v>
      </c>
      <c r="C11" s="9">
        <v>1.18E-2</v>
      </c>
      <c r="D11" s="9">
        <v>3.4826999999999999</v>
      </c>
      <c r="E11" s="9">
        <v>3.4826999999999999</v>
      </c>
      <c r="F11" s="9">
        <v>4.7298</v>
      </c>
      <c r="G11" s="9">
        <v>4.7298</v>
      </c>
      <c r="H11" s="9">
        <v>3.4954000000000001</v>
      </c>
      <c r="I11" s="9">
        <v>8.0000000000000004E-4</v>
      </c>
      <c r="J11" s="9">
        <v>1.7535000000000001</v>
      </c>
      <c r="K11" s="9">
        <v>0.61850000000000005</v>
      </c>
      <c r="L11" s="60">
        <v>1.2859</v>
      </c>
      <c r="M11" s="9">
        <v>1.46E-2</v>
      </c>
      <c r="N11" s="9">
        <v>5.1000000000000004E-3</v>
      </c>
      <c r="O11" s="9">
        <v>1.5094000000000001</v>
      </c>
      <c r="P11" s="9">
        <v>5.67E-2</v>
      </c>
      <c r="Q11" s="9">
        <v>5.4999999999999997E-3</v>
      </c>
      <c r="R11" s="9">
        <v>1.0357000000000001</v>
      </c>
      <c r="S11" s="60">
        <v>0.6069</v>
      </c>
      <c r="T11" s="9">
        <v>1.2699999999999999E-2</v>
      </c>
      <c r="U11" s="9">
        <v>6.1000000000000004E-3</v>
      </c>
      <c r="V11" s="9">
        <v>5.2239000000000004</v>
      </c>
      <c r="W11" s="60">
        <v>3.0966</v>
      </c>
      <c r="X11" s="9">
        <v>1.26E-2</v>
      </c>
      <c r="Y11" s="9">
        <v>1.14E-2</v>
      </c>
      <c r="Z11" s="9">
        <v>1.4026000000000001</v>
      </c>
      <c r="AA11" s="60">
        <v>3.5493999999999999</v>
      </c>
    </row>
    <row r="12" spans="1:27" x14ac:dyDescent="0.25">
      <c r="A12" s="6" t="s">
        <v>8</v>
      </c>
      <c r="B12" s="59">
        <v>2.9999999999999997E-4</v>
      </c>
      <c r="C12" s="9">
        <v>2.9999999999999997E-4</v>
      </c>
      <c r="D12" s="9">
        <v>0.1295</v>
      </c>
      <c r="E12" s="9">
        <v>0.1295</v>
      </c>
      <c r="F12" s="9">
        <v>0.1416</v>
      </c>
      <c r="G12" s="9">
        <v>0.1416</v>
      </c>
      <c r="H12" s="9">
        <v>0.1416</v>
      </c>
      <c r="I12" s="9">
        <v>2.9999999999999997E-4</v>
      </c>
      <c r="J12" s="9">
        <v>0</v>
      </c>
      <c r="K12" s="9">
        <v>9.2399999999999996E-2</v>
      </c>
      <c r="L12" s="60">
        <v>4.2700000000000002E-2</v>
      </c>
      <c r="M12" s="9">
        <v>2.9999999999999997E-4</v>
      </c>
      <c r="N12" s="9">
        <v>2.0000000000000001E-4</v>
      </c>
      <c r="O12" s="9">
        <v>0.10100000000000001</v>
      </c>
      <c r="P12" s="9">
        <v>0.12970000000000001</v>
      </c>
      <c r="Q12" s="9">
        <v>2.9999999999999997E-4</v>
      </c>
      <c r="R12" s="9">
        <v>8.1500000000000003E-2</v>
      </c>
      <c r="S12" s="60">
        <v>7.8799999999999995E-2</v>
      </c>
      <c r="T12" s="9">
        <v>1.4E-3</v>
      </c>
      <c r="U12" s="9">
        <v>1.2999999999999999E-3</v>
      </c>
      <c r="V12" s="9">
        <v>0.45200000000000001</v>
      </c>
      <c r="W12" s="60">
        <v>0.43440000000000001</v>
      </c>
      <c r="X12" s="9">
        <v>4.3E-3</v>
      </c>
      <c r="Y12" s="9">
        <v>5.5999999999999999E-3</v>
      </c>
      <c r="Z12" s="9">
        <v>1.7261</v>
      </c>
      <c r="AA12" s="60">
        <v>1.3352999999999999</v>
      </c>
    </row>
    <row r="13" spans="1:27" x14ac:dyDescent="0.25">
      <c r="A13" s="6" t="s">
        <v>87</v>
      </c>
      <c r="B13" s="59"/>
      <c r="C13" s="9"/>
      <c r="D13" s="9"/>
      <c r="E13" s="9"/>
      <c r="F13" s="9"/>
      <c r="G13" s="9"/>
      <c r="H13" s="9"/>
      <c r="I13" s="9"/>
      <c r="J13" s="9"/>
      <c r="K13" s="9"/>
      <c r="L13" s="60"/>
      <c r="M13" s="9">
        <v>2.0000000000000001E-4</v>
      </c>
      <c r="N13" s="9">
        <v>2.0000000000000001E-4</v>
      </c>
      <c r="O13" s="9">
        <v>2.3999999999999998E-3</v>
      </c>
      <c r="P13" s="9"/>
      <c r="Q13" s="9"/>
      <c r="R13" s="9"/>
      <c r="S13" s="60"/>
      <c r="T13" s="9"/>
      <c r="U13" s="9"/>
      <c r="V13" s="9"/>
      <c r="W13" s="60"/>
      <c r="X13" s="9"/>
      <c r="Y13" s="9"/>
      <c r="Z13" s="9"/>
      <c r="AA13" s="60"/>
    </row>
    <row r="14" spans="1:27" x14ac:dyDescent="0.25">
      <c r="A14" s="11" t="s">
        <v>82</v>
      </c>
      <c r="B14" s="59">
        <v>1E-4</v>
      </c>
      <c r="C14" s="9">
        <v>5.9999999999999995E-4</v>
      </c>
      <c r="D14" s="9">
        <v>3.4000000000000002E-2</v>
      </c>
      <c r="E14" s="9">
        <v>3.4000000000000002E-2</v>
      </c>
      <c r="F14" s="9">
        <v>3.2300000000000002E-2</v>
      </c>
      <c r="G14" s="9">
        <v>3.2300000000000002E-2</v>
      </c>
      <c r="H14" s="9">
        <v>4.8300000000000003E-2</v>
      </c>
      <c r="I14" s="9"/>
      <c r="J14" s="9"/>
      <c r="K14" s="9"/>
      <c r="L14" s="60"/>
      <c r="M14" s="9">
        <v>2.0000000000000001E-4</v>
      </c>
      <c r="N14" s="9">
        <v>2.0000000000000001E-4</v>
      </c>
      <c r="O14" s="9">
        <v>1.5900000000000001E-2</v>
      </c>
      <c r="P14" s="9">
        <v>5.9999999999999995E-4</v>
      </c>
      <c r="Q14" s="9"/>
      <c r="R14" s="9"/>
      <c r="S14" s="60"/>
      <c r="T14" s="9"/>
      <c r="U14" s="9"/>
      <c r="V14" s="9"/>
      <c r="W14" s="60"/>
      <c r="X14" s="9"/>
      <c r="Y14" s="9"/>
      <c r="Z14" s="9"/>
      <c r="AA14" s="60"/>
    </row>
    <row r="15" spans="1:27" x14ac:dyDescent="0.25">
      <c r="A15" s="6" t="s">
        <v>10</v>
      </c>
      <c r="B15" s="59">
        <v>-2.0000000000000001E-4</v>
      </c>
      <c r="C15" s="9">
        <v>-1E-4</v>
      </c>
      <c r="D15" s="9">
        <v>-2.3599999999999999E-2</v>
      </c>
      <c r="E15" s="9">
        <v>-2.3599999999999999E-2</v>
      </c>
      <c r="F15" s="9">
        <v>-2.63E-2</v>
      </c>
      <c r="G15" s="9">
        <v>-2.63E-2</v>
      </c>
      <c r="H15" s="9">
        <v>-2.0199999999999999E-2</v>
      </c>
      <c r="I15" s="9">
        <v>-2.0000000000000001E-4</v>
      </c>
      <c r="J15" s="9"/>
      <c r="K15" s="9">
        <v>-0.2555</v>
      </c>
      <c r="L15" s="60">
        <v>-7.3800000000000004E-2</v>
      </c>
      <c r="M15" s="9">
        <v>-2.0000000000000001E-4</v>
      </c>
      <c r="N15" s="9">
        <v>-1E-4</v>
      </c>
      <c r="O15" s="9">
        <v>-9.4000000000000004E-3</v>
      </c>
      <c r="P15" s="9">
        <v>-4.0000000000000001E-3</v>
      </c>
      <c r="Q15" s="9">
        <v>-1E-4</v>
      </c>
      <c r="R15" s="9">
        <v>-1.0699999999999999E-2</v>
      </c>
      <c r="S15" s="60">
        <v>-8.5000000000000006E-3</v>
      </c>
      <c r="T15" s="9"/>
      <c r="U15" s="9"/>
      <c r="V15" s="9"/>
      <c r="W15" s="60"/>
      <c r="X15" s="9"/>
      <c r="Y15" s="9"/>
      <c r="Z15" s="9"/>
      <c r="AA15" s="60"/>
    </row>
    <row r="16" spans="1:27" x14ac:dyDescent="0.25">
      <c r="A16" s="6" t="s">
        <v>105</v>
      </c>
      <c r="B16" s="59"/>
      <c r="C16" s="9"/>
      <c r="D16" s="9"/>
      <c r="E16" s="9"/>
      <c r="F16" s="9"/>
      <c r="G16" s="9"/>
      <c r="H16" s="9"/>
      <c r="I16" s="9"/>
      <c r="J16" s="9"/>
      <c r="K16" s="9"/>
      <c r="L16" s="60"/>
      <c r="M16" s="9"/>
      <c r="N16" s="9"/>
      <c r="O16" s="9"/>
      <c r="P16" s="9"/>
      <c r="Q16" s="9"/>
      <c r="R16" s="9"/>
      <c r="S16" s="60"/>
      <c r="T16" s="9">
        <v>4.0000000000000002E-4</v>
      </c>
      <c r="U16" s="9">
        <v>4.0000000000000002E-4</v>
      </c>
      <c r="V16" s="9">
        <v>0.19489999999999999</v>
      </c>
      <c r="W16" s="60">
        <v>0.14949999999999999</v>
      </c>
      <c r="X16" s="9">
        <v>2.3E-3</v>
      </c>
      <c r="Y16" s="9">
        <v>2.3E-3</v>
      </c>
      <c r="Z16" s="9">
        <v>0.87029999999999996</v>
      </c>
      <c r="AA16" s="60">
        <v>0.7742</v>
      </c>
    </row>
    <row r="17" spans="1:27" x14ac:dyDescent="0.25">
      <c r="A17" s="11" t="s">
        <v>113</v>
      </c>
      <c r="B17" s="59">
        <v>2.2000000000000001E-3</v>
      </c>
      <c r="C17" s="9">
        <v>2.2000000000000001E-3</v>
      </c>
      <c r="D17" s="9">
        <v>0.78900000000000003</v>
      </c>
      <c r="E17" s="9">
        <v>0.78900000000000003</v>
      </c>
      <c r="F17" s="9">
        <v>0.87619999999999998</v>
      </c>
      <c r="G17" s="9">
        <v>0.87619999999999998</v>
      </c>
      <c r="H17" s="9">
        <v>0.96260000000000001</v>
      </c>
      <c r="I17" s="9">
        <v>2.2000000000000001E-3</v>
      </c>
      <c r="J17" s="9"/>
      <c r="K17" s="9">
        <v>0.77849999999999997</v>
      </c>
      <c r="L17" s="60">
        <v>0.72819999999999996</v>
      </c>
      <c r="M17" s="9">
        <v>1.4E-3</v>
      </c>
      <c r="N17" s="9">
        <v>1.4E-3</v>
      </c>
      <c r="O17" s="9">
        <v>0.49880000000000002</v>
      </c>
      <c r="P17" s="9">
        <v>0.67249999999999999</v>
      </c>
      <c r="Q17" s="9">
        <v>1.4E-3</v>
      </c>
      <c r="R17" s="9">
        <v>0.49440000000000001</v>
      </c>
      <c r="S17" s="60">
        <v>0.47539999999999999</v>
      </c>
      <c r="T17" s="9">
        <v>1.6000000000000001E-3</v>
      </c>
      <c r="U17" s="9">
        <v>1.6000000000000001E-3</v>
      </c>
      <c r="V17" s="9">
        <v>0.6905</v>
      </c>
      <c r="W17" s="60">
        <v>0.53459999999999996</v>
      </c>
      <c r="X17" s="9">
        <v>5.1999999999999998E-3</v>
      </c>
      <c r="Y17" s="9">
        <v>5.8999999999999999E-3</v>
      </c>
      <c r="Z17" s="9">
        <v>1.679</v>
      </c>
      <c r="AA17" s="60">
        <v>1.6468</v>
      </c>
    </row>
    <row r="18" spans="1:27" x14ac:dyDescent="0.25">
      <c r="A18" s="11" t="s">
        <v>106</v>
      </c>
      <c r="B18" s="59"/>
      <c r="C18" s="9"/>
      <c r="D18" s="9"/>
      <c r="E18" s="9"/>
      <c r="F18" s="9"/>
      <c r="G18" s="9"/>
      <c r="H18" s="9"/>
      <c r="I18" s="9"/>
      <c r="J18" s="9"/>
      <c r="K18" s="9"/>
      <c r="L18" s="60"/>
      <c r="M18" s="9"/>
      <c r="N18" s="9"/>
      <c r="O18" s="9"/>
      <c r="P18" s="9"/>
      <c r="Q18" s="9"/>
      <c r="R18" s="9"/>
      <c r="S18" s="60"/>
      <c r="T18" s="9"/>
      <c r="U18" s="9"/>
      <c r="V18" s="9"/>
      <c r="W18" s="60"/>
      <c r="X18" s="9"/>
      <c r="Y18" s="9"/>
      <c r="Z18" s="9"/>
      <c r="AA18" s="60"/>
    </row>
    <row r="19" spans="1:27" x14ac:dyDescent="0.25">
      <c r="A19" s="11" t="s">
        <v>94</v>
      </c>
      <c r="B19" s="59"/>
      <c r="C19" s="9"/>
      <c r="D19" s="9"/>
      <c r="E19" s="9"/>
      <c r="F19" s="9"/>
      <c r="G19" s="9"/>
      <c r="H19" s="9"/>
      <c r="I19" s="9"/>
      <c r="J19" s="9"/>
      <c r="K19" s="9"/>
      <c r="L19" s="60"/>
      <c r="M19" s="9"/>
      <c r="N19" s="9"/>
      <c r="O19" s="9"/>
      <c r="P19" s="9"/>
      <c r="Q19" s="9"/>
      <c r="R19" s="9"/>
      <c r="S19" s="60"/>
      <c r="T19" s="9"/>
      <c r="U19" s="9"/>
      <c r="V19" s="9"/>
      <c r="W19" s="60"/>
      <c r="X19" s="9"/>
      <c r="Y19" s="9"/>
      <c r="Z19" s="9"/>
      <c r="AA19" s="60"/>
    </row>
    <row r="20" spans="1:27" x14ac:dyDescent="0.25">
      <c r="A20" s="12" t="s">
        <v>100</v>
      </c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90"/>
      <c r="N20" s="90"/>
      <c r="O20" s="90"/>
      <c r="P20" s="90"/>
      <c r="Q20" s="90"/>
      <c r="R20" s="90"/>
      <c r="S20" s="91"/>
      <c r="T20" s="90"/>
      <c r="U20" s="90"/>
      <c r="V20" s="90"/>
      <c r="W20" s="91"/>
      <c r="X20" s="90"/>
      <c r="Y20" s="90"/>
      <c r="Z20" s="90"/>
      <c r="AA20" s="91"/>
    </row>
    <row r="21" spans="1:27" x14ac:dyDescent="0.25">
      <c r="A21" s="8"/>
      <c r="B21" s="61"/>
      <c r="C21" s="13"/>
      <c r="D21" s="13"/>
      <c r="E21" s="13"/>
      <c r="F21" s="13"/>
      <c r="G21" s="13"/>
      <c r="H21" s="13"/>
      <c r="I21" s="13"/>
      <c r="J21" s="13"/>
      <c r="K21" s="13"/>
      <c r="L21" s="62"/>
      <c r="M21" s="13"/>
      <c r="N21" s="13"/>
      <c r="O21" s="13"/>
      <c r="P21" s="13"/>
      <c r="Q21" s="13"/>
      <c r="R21" s="13"/>
      <c r="S21" s="62"/>
      <c r="T21" s="13"/>
      <c r="U21" s="13"/>
      <c r="V21" s="13"/>
      <c r="W21" s="62"/>
      <c r="X21" s="13"/>
      <c r="Y21" s="13"/>
      <c r="Z21" s="13"/>
      <c r="AA21" s="62"/>
    </row>
    <row r="22" spans="1:27" x14ac:dyDescent="0.25">
      <c r="A22" s="6"/>
      <c r="B22" s="59"/>
      <c r="C22" s="9"/>
      <c r="D22" s="9"/>
      <c r="E22" s="9"/>
      <c r="F22" s="9"/>
      <c r="G22" s="9"/>
      <c r="H22" s="9"/>
      <c r="I22" s="9"/>
      <c r="J22" s="9"/>
      <c r="K22" s="9"/>
      <c r="L22" s="60"/>
      <c r="M22" s="9"/>
      <c r="N22" s="9"/>
      <c r="O22" s="9"/>
      <c r="P22" s="9"/>
      <c r="Q22" s="9"/>
      <c r="R22" s="9"/>
      <c r="S22" s="60"/>
      <c r="T22" s="9"/>
      <c r="U22" s="9"/>
      <c r="V22" s="9"/>
      <c r="W22" s="60"/>
      <c r="X22" s="9"/>
      <c r="Y22" s="9"/>
      <c r="Z22" s="9"/>
      <c r="AA22" s="60"/>
    </row>
    <row r="23" spans="1:27" x14ac:dyDescent="0.25">
      <c r="A23" s="6" t="s">
        <v>125</v>
      </c>
      <c r="B23" s="59"/>
      <c r="C23" s="9"/>
      <c r="D23" s="9"/>
      <c r="E23" s="9"/>
      <c r="F23" s="9"/>
      <c r="G23" s="9"/>
      <c r="H23" s="9"/>
      <c r="I23" s="9"/>
      <c r="J23" s="9"/>
      <c r="K23" s="9"/>
      <c r="L23" s="60"/>
      <c r="M23" s="9"/>
      <c r="N23" s="9"/>
      <c r="O23" s="9"/>
      <c r="P23" s="9"/>
      <c r="Q23" s="9"/>
      <c r="R23" s="9"/>
      <c r="S23" s="60"/>
      <c r="T23" s="9">
        <v>8.3000000000000001E-3</v>
      </c>
      <c r="U23" s="9">
        <v>8.3000000000000001E-3</v>
      </c>
      <c r="V23" s="9"/>
      <c r="W23" s="60">
        <v>2.8111000000000002</v>
      </c>
      <c r="X23" s="9">
        <v>3.0999999999999999E-3</v>
      </c>
      <c r="Y23" s="9">
        <v>3.0999999999999999E-3</v>
      </c>
      <c r="Z23" s="9">
        <v>1.1795</v>
      </c>
      <c r="AA23" s="60">
        <v>1.0491999999999999</v>
      </c>
    </row>
    <row r="24" spans="1:27" x14ac:dyDescent="0.25">
      <c r="A24" s="6" t="s">
        <v>126</v>
      </c>
      <c r="B24" s="59">
        <v>3.1999999999999997E-3</v>
      </c>
      <c r="C24" s="9">
        <v>4.7000000000000002E-3</v>
      </c>
      <c r="D24" s="9">
        <v>-0.99730000000000008</v>
      </c>
      <c r="E24" s="9">
        <v>0.52049999999999996</v>
      </c>
      <c r="F24" s="9">
        <v>1.2860999999999998</v>
      </c>
      <c r="G24" s="9">
        <v>0.60519999999999996</v>
      </c>
      <c r="H24" s="9">
        <v>0.37769999999999998</v>
      </c>
      <c r="I24" s="9">
        <v>0</v>
      </c>
      <c r="J24" s="9"/>
      <c r="K24" s="9">
        <v>0.49159999999999993</v>
      </c>
      <c r="L24" s="60">
        <v>1.1633</v>
      </c>
      <c r="M24" s="9">
        <v>-8.0000000000000004E-4</v>
      </c>
      <c r="N24" s="9">
        <v>-8.0000000000000004E-4</v>
      </c>
      <c r="O24" s="9">
        <v>-0.28370000000000001</v>
      </c>
      <c r="P24" s="9">
        <v>0</v>
      </c>
      <c r="Q24" s="9">
        <v>-8.0000000000000004E-4</v>
      </c>
      <c r="R24" s="9">
        <v>-0.13</v>
      </c>
      <c r="S24" s="60">
        <v>-0.25369999999999998</v>
      </c>
      <c r="T24" s="9">
        <v>-4.0000000000000002E-4</v>
      </c>
      <c r="U24" s="9">
        <v>-4.0000000000000002E-4</v>
      </c>
      <c r="V24" s="9">
        <v>0</v>
      </c>
      <c r="W24" s="60">
        <v>-0.1371</v>
      </c>
      <c r="X24" s="9">
        <v>-2.9999999999999997E-4</v>
      </c>
      <c r="Y24" s="9">
        <v>-2.9999999999999997E-4</v>
      </c>
      <c r="Z24" s="9">
        <v>-0.1012</v>
      </c>
      <c r="AA24" s="60">
        <v>-9.0899999999999995E-2</v>
      </c>
    </row>
    <row r="25" spans="1:27" x14ac:dyDescent="0.25">
      <c r="A25" s="6"/>
      <c r="B25" s="59"/>
      <c r="C25" s="9"/>
      <c r="D25" s="9"/>
      <c r="E25" s="9"/>
      <c r="F25" s="9"/>
      <c r="G25" s="9"/>
      <c r="H25" s="9"/>
      <c r="I25" s="9"/>
      <c r="J25" s="9"/>
      <c r="K25" s="9"/>
      <c r="L25" s="60"/>
      <c r="M25" s="9"/>
      <c r="N25" s="9"/>
      <c r="O25" s="9"/>
      <c r="P25" s="9"/>
      <c r="Q25" s="9"/>
      <c r="R25" s="9"/>
      <c r="S25" s="60"/>
      <c r="T25" s="9"/>
      <c r="U25" s="9"/>
      <c r="V25" s="9"/>
      <c r="W25" s="60"/>
      <c r="X25" s="9"/>
      <c r="Y25" s="9"/>
      <c r="Z25" s="9"/>
      <c r="AA25" s="60"/>
    </row>
    <row r="26" spans="1:27" x14ac:dyDescent="0.25">
      <c r="A26" s="6" t="s">
        <v>38</v>
      </c>
      <c r="B26" s="59">
        <v>7.4000000000000003E-3</v>
      </c>
      <c r="C26" s="9">
        <v>6.4999999999999997E-3</v>
      </c>
      <c r="D26" s="9">
        <v>2.7467999999999999</v>
      </c>
      <c r="E26" s="9">
        <v>2.7467999999999999</v>
      </c>
      <c r="F26" s="9">
        <v>2.927</v>
      </c>
      <c r="G26" s="9">
        <v>2.927</v>
      </c>
      <c r="H26" s="9">
        <v>2.927</v>
      </c>
      <c r="I26" s="9">
        <v>6.4999999999999997E-3</v>
      </c>
      <c r="J26" s="9"/>
      <c r="K26" s="9">
        <v>2.0867</v>
      </c>
      <c r="L26" s="60">
        <v>2.0714999999999999</v>
      </c>
      <c r="M26" s="9">
        <v>7.1999999999999998E-3</v>
      </c>
      <c r="N26" s="9">
        <v>6.4999999999999997E-3</v>
      </c>
      <c r="O26" s="9">
        <v>2.6280000000000001</v>
      </c>
      <c r="P26" s="9">
        <v>3.0907</v>
      </c>
      <c r="Q26" s="9">
        <v>6.4999999999999997E-3</v>
      </c>
      <c r="R26" s="9">
        <v>1.992</v>
      </c>
      <c r="S26" s="60">
        <v>1.9817</v>
      </c>
      <c r="T26" s="9">
        <v>7.6E-3</v>
      </c>
      <c r="U26" s="9">
        <v>7.1000000000000004E-3</v>
      </c>
      <c r="V26" s="9">
        <v>2.1549</v>
      </c>
      <c r="W26" s="60">
        <v>2.1440000000000001</v>
      </c>
      <c r="X26" s="9">
        <v>7.4450068112693092E-3</v>
      </c>
      <c r="Y26" s="9">
        <v>6.817114670559849E-3</v>
      </c>
      <c r="Z26" s="9">
        <v>2.7835355586422796</v>
      </c>
      <c r="AA26" s="60">
        <v>2.1000301140414104</v>
      </c>
    </row>
    <row r="27" spans="1:27" x14ac:dyDescent="0.25">
      <c r="A27" s="6" t="s">
        <v>39</v>
      </c>
      <c r="B27" s="59">
        <v>5.3E-3</v>
      </c>
      <c r="C27" s="9">
        <v>4.7000000000000002E-3</v>
      </c>
      <c r="D27" s="9">
        <v>1.8887</v>
      </c>
      <c r="E27" s="9">
        <v>1.8887</v>
      </c>
      <c r="F27" s="9">
        <v>2.0684999999999998</v>
      </c>
      <c r="G27" s="9">
        <v>2.0684999999999998</v>
      </c>
      <c r="H27" s="9">
        <v>2.0684999999999998</v>
      </c>
      <c r="I27" s="9">
        <v>4.7000000000000002E-3</v>
      </c>
      <c r="J27" s="9"/>
      <c r="K27" s="9">
        <v>1.4890000000000001</v>
      </c>
      <c r="L27" s="60">
        <v>1.4591000000000001</v>
      </c>
      <c r="M27" s="9">
        <v>5.1000000000000004E-3</v>
      </c>
      <c r="N27" s="9">
        <v>4.5999999999999999E-3</v>
      </c>
      <c r="O27" s="9">
        <v>1.829</v>
      </c>
      <c r="P27" s="9">
        <v>2.2930000000000001</v>
      </c>
      <c r="Q27" s="9">
        <v>4.5999999999999999E-3</v>
      </c>
      <c r="R27" s="9">
        <v>1.4239999999999999</v>
      </c>
      <c r="S27" s="60">
        <v>1.4138999999999999</v>
      </c>
      <c r="T27" s="9">
        <v>5.5999999999999999E-3</v>
      </c>
      <c r="U27" s="9">
        <v>5.0000000000000001E-3</v>
      </c>
      <c r="V27" s="9">
        <v>1.5445</v>
      </c>
      <c r="W27" s="60">
        <v>1.5128999999999999</v>
      </c>
      <c r="X27" s="9">
        <v>3.7551994493456586E-3</v>
      </c>
      <c r="Y27" s="9">
        <v>3.2187423851534214E-3</v>
      </c>
      <c r="Z27" s="9">
        <v>1.2831158880371321</v>
      </c>
      <c r="AA27" s="60">
        <v>0.99253497826633719</v>
      </c>
    </row>
    <row r="28" spans="1:27" x14ac:dyDescent="0.25">
      <c r="A28" s="6" t="s">
        <v>40</v>
      </c>
      <c r="B28" s="59"/>
      <c r="C28" s="9"/>
      <c r="D28" s="9">
        <v>2.9129</v>
      </c>
      <c r="E28" s="9">
        <v>2.9129</v>
      </c>
      <c r="F28" s="9"/>
      <c r="G28" s="9"/>
      <c r="H28" s="9"/>
      <c r="I28" s="9"/>
      <c r="J28" s="9"/>
      <c r="K28" s="9"/>
      <c r="L28" s="60"/>
      <c r="M28" s="9"/>
      <c r="N28" s="9"/>
      <c r="O28" s="9">
        <v>2.9177</v>
      </c>
      <c r="P28" s="9"/>
      <c r="Q28" s="9"/>
      <c r="R28" s="9"/>
      <c r="S28" s="60"/>
      <c r="T28" s="9"/>
      <c r="U28" s="9"/>
      <c r="V28" s="9"/>
      <c r="W28" s="60"/>
      <c r="X28" s="9"/>
      <c r="Y28" s="9"/>
      <c r="Z28" s="9"/>
      <c r="AA28" s="60"/>
    </row>
    <row r="29" spans="1:27" x14ac:dyDescent="0.25">
      <c r="A29" s="6" t="s">
        <v>41</v>
      </c>
      <c r="B29" s="59"/>
      <c r="C29" s="9"/>
      <c r="D29" s="9">
        <v>2.0676999999999999</v>
      </c>
      <c r="E29" s="9">
        <v>2.0676999999999999</v>
      </c>
      <c r="F29" s="9"/>
      <c r="G29" s="9"/>
      <c r="H29" s="9"/>
      <c r="I29" s="9"/>
      <c r="J29" s="9"/>
      <c r="K29" s="9"/>
      <c r="L29" s="60"/>
      <c r="M29" s="9"/>
      <c r="N29" s="9"/>
      <c r="O29" s="9">
        <v>2.0592000000000001</v>
      </c>
      <c r="P29" s="9"/>
      <c r="Q29" s="9"/>
      <c r="R29" s="9"/>
      <c r="S29" s="60"/>
      <c r="T29" s="9"/>
      <c r="U29" s="9"/>
      <c r="V29" s="9"/>
      <c r="W29" s="60"/>
      <c r="X29" s="9"/>
      <c r="Y29" s="9"/>
      <c r="Z29" s="9"/>
      <c r="AA29" s="60"/>
    </row>
    <row r="30" spans="1:27" x14ac:dyDescent="0.25">
      <c r="A30" s="6"/>
      <c r="B30" s="63"/>
      <c r="C30" s="46"/>
      <c r="D30" s="46"/>
      <c r="E30" s="46"/>
      <c r="F30" s="46"/>
      <c r="G30" s="46"/>
      <c r="H30" s="46"/>
      <c r="I30" s="46"/>
      <c r="J30" s="46"/>
      <c r="K30" s="46"/>
      <c r="L30" s="64"/>
      <c r="M30" s="46"/>
      <c r="N30" s="46"/>
      <c r="O30" s="46"/>
      <c r="P30" s="46"/>
      <c r="Q30" s="46"/>
      <c r="R30" s="46"/>
      <c r="S30" s="64"/>
      <c r="T30" s="46"/>
      <c r="U30" s="46"/>
      <c r="V30" s="46"/>
      <c r="W30" s="64"/>
      <c r="X30" s="46"/>
      <c r="Y30" s="46"/>
      <c r="Z30" s="46"/>
      <c r="AA30" s="64"/>
    </row>
    <row r="31" spans="1:27" ht="15.75" thickBot="1" x14ac:dyDescent="0.3">
      <c r="A31" s="31" t="s">
        <v>42</v>
      </c>
      <c r="B31" s="65">
        <v>3.8300000000000001E-2</v>
      </c>
      <c r="C31" s="66">
        <v>4.5500000000000006E-2</v>
      </c>
      <c r="D31" s="66">
        <v>17.442</v>
      </c>
      <c r="E31" s="66">
        <v>18.959799999999998</v>
      </c>
      <c r="F31" s="66">
        <v>17.788799999999998</v>
      </c>
      <c r="G31" s="66">
        <v>17.107900000000001</v>
      </c>
      <c r="H31" s="66">
        <v>14.6286</v>
      </c>
      <c r="I31" s="66">
        <v>1.7399999999999999E-2</v>
      </c>
      <c r="J31" s="66">
        <v>3.5070000000000001</v>
      </c>
      <c r="K31" s="66">
        <v>6.5350999999999999</v>
      </c>
      <c r="L31" s="67">
        <v>8.6598999999999986</v>
      </c>
      <c r="M31" s="66"/>
      <c r="N31" s="66"/>
      <c r="O31" s="66"/>
      <c r="P31" s="66"/>
      <c r="Q31" s="66"/>
      <c r="R31" s="66"/>
      <c r="S31" s="67"/>
      <c r="T31" s="66"/>
      <c r="U31" s="66"/>
      <c r="V31" s="66"/>
      <c r="W31" s="67"/>
      <c r="X31" s="66"/>
      <c r="Y31" s="66"/>
      <c r="Z31" s="66"/>
      <c r="AA31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0" zoomScaleNormal="110" workbookViewId="0">
      <selection activeCell="F32" sqref="F32"/>
    </sheetView>
  </sheetViews>
  <sheetFormatPr defaultRowHeight="15" x14ac:dyDescent="0.25"/>
  <cols>
    <col min="1" max="1" width="34.140625" bestFit="1" customWidth="1"/>
    <col min="2" max="9" width="12.7109375" customWidth="1"/>
  </cols>
  <sheetData>
    <row r="1" spans="1:9" s="73" customFormat="1" x14ac:dyDescent="0.25">
      <c r="A1" s="74" t="s">
        <v>32</v>
      </c>
      <c r="B1" s="74" t="s">
        <v>70</v>
      </c>
      <c r="C1" s="74" t="s">
        <v>71</v>
      </c>
      <c r="D1" s="74" t="s">
        <v>97</v>
      </c>
      <c r="E1" s="74" t="s">
        <v>84</v>
      </c>
      <c r="F1" s="74" t="s">
        <v>85</v>
      </c>
      <c r="G1" s="74" t="s">
        <v>88</v>
      </c>
      <c r="H1" s="74" t="s">
        <v>80</v>
      </c>
      <c r="I1" s="74" t="s">
        <v>98</v>
      </c>
    </row>
    <row r="2" spans="1:9" x14ac:dyDescent="0.25">
      <c r="A2" s="2" t="s">
        <v>33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" t="s">
        <v>5</v>
      </c>
      <c r="B3" s="7">
        <v>18.98</v>
      </c>
      <c r="C3" s="7">
        <v>30.08</v>
      </c>
      <c r="D3" s="7">
        <v>98.89</v>
      </c>
      <c r="E3" s="7">
        <v>1484.36</v>
      </c>
      <c r="F3" s="7">
        <v>8.06</v>
      </c>
      <c r="G3" s="7">
        <v>7.42</v>
      </c>
      <c r="H3" s="7">
        <v>1.1200000000000001</v>
      </c>
      <c r="I3" s="7">
        <v>65.150000000000006</v>
      </c>
    </row>
    <row r="4" spans="1:9" x14ac:dyDescent="0.25">
      <c r="A4" s="1"/>
      <c r="B4" s="7">
        <v>0</v>
      </c>
      <c r="C4" s="7">
        <v>0</v>
      </c>
      <c r="D4" s="7">
        <v>0</v>
      </c>
      <c r="E4" s="7">
        <v>1484.36</v>
      </c>
      <c r="F4" s="7">
        <v>0</v>
      </c>
      <c r="G4" s="7">
        <v>0</v>
      </c>
      <c r="H4" s="7">
        <v>0</v>
      </c>
      <c r="I4" s="7">
        <v>0</v>
      </c>
    </row>
    <row r="5" spans="1:9" x14ac:dyDescent="0.25">
      <c r="A5" s="1" t="s">
        <v>96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spans="1:9" x14ac:dyDescent="0.25">
      <c r="A6" s="1" t="s">
        <v>96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spans="1:9" x14ac:dyDescent="0.25">
      <c r="A7" s="1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spans="1:9" x14ac:dyDescent="0.25">
      <c r="A8" s="1" t="s">
        <v>99</v>
      </c>
      <c r="B8" s="7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 x14ac:dyDescent="0.25">
      <c r="A9" s="76" t="s">
        <v>35</v>
      </c>
      <c r="B9" s="77">
        <f>SUM(B3:B8)</f>
        <v>19.77</v>
      </c>
      <c r="C9" s="77"/>
      <c r="D9" s="77"/>
      <c r="E9" s="77"/>
      <c r="F9" s="77"/>
      <c r="G9" s="77"/>
      <c r="H9" s="77"/>
      <c r="I9" s="77"/>
    </row>
    <row r="10" spans="1:9" x14ac:dyDescent="0.25">
      <c r="A10" s="2" t="s">
        <v>36</v>
      </c>
      <c r="B10" s="75"/>
      <c r="C10" s="75"/>
      <c r="D10" s="75"/>
      <c r="E10" s="75"/>
      <c r="F10" s="75"/>
      <c r="G10" s="75"/>
      <c r="H10" s="75"/>
      <c r="I10" s="75"/>
    </row>
    <row r="11" spans="1:9" x14ac:dyDescent="0.25">
      <c r="A11" s="1" t="s">
        <v>7</v>
      </c>
      <c r="B11" s="9">
        <v>8.6E-3</v>
      </c>
      <c r="C11" s="9">
        <v>0.01</v>
      </c>
      <c r="D11" s="9">
        <v>3.2711999999999999</v>
      </c>
      <c r="E11" s="9">
        <v>2.9331</v>
      </c>
      <c r="F11" s="9">
        <v>1.5E-3</v>
      </c>
      <c r="G11" s="9">
        <v>0.66539999999999999</v>
      </c>
      <c r="H11" s="9">
        <v>0.94140000000000001</v>
      </c>
      <c r="I11" s="9">
        <v>0</v>
      </c>
    </row>
    <row r="12" spans="1:9" x14ac:dyDescent="0.25">
      <c r="A12" s="1"/>
      <c r="B12" s="9">
        <v>0</v>
      </c>
      <c r="C12" s="9">
        <v>0</v>
      </c>
      <c r="D12" s="9">
        <v>0</v>
      </c>
      <c r="E12" s="9">
        <v>1.2151000000000001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25">
      <c r="A13" s="1" t="s">
        <v>8</v>
      </c>
      <c r="B13" s="9">
        <v>1.8E-3</v>
      </c>
      <c r="C13" s="9">
        <v>1.6000000000000001E-3</v>
      </c>
      <c r="D13" s="9">
        <v>0.6512</v>
      </c>
      <c r="E13" s="9">
        <v>0.71589999999999998</v>
      </c>
      <c r="F13" s="9">
        <v>1.6000000000000001E-3</v>
      </c>
      <c r="G13" s="9">
        <v>0.4894</v>
      </c>
      <c r="H13" s="9">
        <v>0.47799999999999998</v>
      </c>
      <c r="I13" s="9">
        <v>0</v>
      </c>
    </row>
    <row r="14" spans="1:9" x14ac:dyDescent="0.25">
      <c r="A14" s="1" t="s">
        <v>87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78" t="s">
        <v>9</v>
      </c>
      <c r="B15" s="9">
        <v>2.0000000000000001E-4</v>
      </c>
      <c r="C15" s="9">
        <v>6.9999999999999999E-4</v>
      </c>
      <c r="D15" s="9">
        <v>6.3500000000000001E-2</v>
      </c>
      <c r="E15" s="9">
        <v>0.318</v>
      </c>
      <c r="F15" s="9">
        <v>0</v>
      </c>
      <c r="G15" s="9">
        <v>0</v>
      </c>
      <c r="H15" s="9">
        <v>5.9999999999999995E-4</v>
      </c>
      <c r="I15" s="9">
        <v>0</v>
      </c>
    </row>
    <row r="16" spans="1:9" x14ac:dyDescent="0.25">
      <c r="A16" s="1" t="s">
        <v>110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x14ac:dyDescent="0.25">
      <c r="A17" s="1" t="s">
        <v>107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1" t="s">
        <v>114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5">
      <c r="A19" s="78" t="s">
        <v>108</v>
      </c>
      <c r="B19" s="9">
        <v>1.5E-3</v>
      </c>
      <c r="C19" s="9">
        <v>1.5E-3</v>
      </c>
      <c r="D19" s="9">
        <v>0.58379999999999999</v>
      </c>
      <c r="E19" s="9">
        <v>0.66500000000000004</v>
      </c>
      <c r="F19" s="9">
        <v>1.6000000000000001E-3</v>
      </c>
      <c r="G19" s="9">
        <v>0.55349999999999999</v>
      </c>
      <c r="H19" s="9">
        <v>0.51600000000000001</v>
      </c>
      <c r="I19" s="9">
        <v>0</v>
      </c>
    </row>
    <row r="20" spans="1:9" x14ac:dyDescent="0.25">
      <c r="A20" s="78" t="s">
        <v>109</v>
      </c>
      <c r="B20" s="9">
        <v>0.47</v>
      </c>
      <c r="C20" s="9">
        <v>6.9999999999999999E-4</v>
      </c>
      <c r="D20" s="9">
        <v>0.2777</v>
      </c>
      <c r="E20" s="9">
        <v>0.316</v>
      </c>
      <c r="F20" s="9">
        <v>6.9999999999999999E-4</v>
      </c>
      <c r="G20" s="9">
        <v>0.26379999999999998</v>
      </c>
      <c r="H20" s="9">
        <v>0.24629999999999999</v>
      </c>
      <c r="I20" s="9">
        <v>0</v>
      </c>
    </row>
    <row r="21" spans="1:9" x14ac:dyDescent="0.25">
      <c r="A21" s="78" t="s">
        <v>100</v>
      </c>
      <c r="B21" s="9">
        <v>-1.4</v>
      </c>
      <c r="C21" s="9">
        <v>-2.2000000000000001E-3</v>
      </c>
      <c r="D21" s="9">
        <v>-0.82540000000000002</v>
      </c>
      <c r="E21" s="9">
        <v>-0.93930000000000002</v>
      </c>
      <c r="F21" s="9">
        <v>-2.2000000000000001E-3</v>
      </c>
      <c r="G21" s="9">
        <v>-0.7843</v>
      </c>
      <c r="H21" s="9">
        <v>-0.73219999999999996</v>
      </c>
      <c r="I21" s="9">
        <v>0</v>
      </c>
    </row>
    <row r="22" spans="1:9" x14ac:dyDescent="0.25">
      <c r="A22" s="78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76" t="s">
        <v>37</v>
      </c>
      <c r="B23" s="79"/>
      <c r="C23" s="79"/>
      <c r="D23" s="79"/>
      <c r="E23" s="79"/>
      <c r="F23" s="79"/>
      <c r="G23" s="79"/>
      <c r="H23" s="79"/>
      <c r="I23" s="79"/>
    </row>
    <row r="24" spans="1:9" x14ac:dyDescent="0.25">
      <c r="A24" s="78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6" t="s">
        <v>125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5">
      <c r="A26" s="6" t="s">
        <v>126</v>
      </c>
      <c r="B26" s="9">
        <v>3.3999999999999998E-3</v>
      </c>
      <c r="C26" s="9">
        <v>3.5999999999999999E-3</v>
      </c>
      <c r="D26" s="9">
        <v>1.3655999999999999</v>
      </c>
      <c r="E26" s="9">
        <v>-8.2699999999999996E-2</v>
      </c>
      <c r="F26" s="9">
        <v>4.3E-3</v>
      </c>
      <c r="G26" s="9">
        <v>0</v>
      </c>
      <c r="H26" s="9">
        <v>1.1696</v>
      </c>
      <c r="I26" s="9">
        <v>0</v>
      </c>
    </row>
    <row r="27" spans="1:9" x14ac:dyDescent="0.25">
      <c r="A27" s="1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1" t="s">
        <v>38</v>
      </c>
      <c r="B28" s="9">
        <v>7.3000000000000001E-3</v>
      </c>
      <c r="C28" s="9">
        <v>6.4000000000000003E-3</v>
      </c>
      <c r="D28" s="9">
        <v>2.7772999999999999</v>
      </c>
      <c r="E28" s="9">
        <v>2.9468999999999999</v>
      </c>
      <c r="F28" s="9">
        <v>6.4000000000000003E-3</v>
      </c>
      <c r="G28" s="9">
        <v>2.0402999999999998</v>
      </c>
      <c r="H28" s="9">
        <v>2.0192000000000001</v>
      </c>
      <c r="I28" s="9">
        <v>0</v>
      </c>
    </row>
    <row r="29" spans="1:9" x14ac:dyDescent="0.25">
      <c r="A29" s="1" t="s">
        <v>39</v>
      </c>
      <c r="B29" s="9">
        <v>5.4000000000000003E-3</v>
      </c>
      <c r="C29" s="9">
        <v>4.7999999999999996E-3</v>
      </c>
      <c r="D29" s="9">
        <v>2.0087000000000002</v>
      </c>
      <c r="E29" s="9">
        <v>2.2082999999999999</v>
      </c>
      <c r="F29" s="9">
        <v>4.7999999999999996E-3</v>
      </c>
      <c r="G29" s="9">
        <v>1.5096000000000001</v>
      </c>
      <c r="H29" s="9">
        <v>1.4744999999999999</v>
      </c>
      <c r="I29" s="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I24" sqref="I24"/>
    </sheetView>
  </sheetViews>
  <sheetFormatPr defaultRowHeight="15" x14ac:dyDescent="0.25"/>
  <cols>
    <col min="1" max="1" width="5.28515625" customWidth="1"/>
    <col min="2" max="2" width="43.5703125" customWidth="1"/>
    <col min="3" max="3" width="6.855468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146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154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8.75" x14ac:dyDescent="0.3">
      <c r="A4" s="162"/>
      <c r="B4" s="71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x14ac:dyDescent="0.25">
      <c r="A5" s="317" t="s">
        <v>145</v>
      </c>
      <c r="B5" s="319" t="s">
        <v>166</v>
      </c>
      <c r="C5" s="321" t="s">
        <v>131</v>
      </c>
      <c r="D5" s="311" t="s">
        <v>179</v>
      </c>
      <c r="E5" s="312"/>
      <c r="F5" s="312"/>
      <c r="G5" s="313"/>
      <c r="H5" s="308" t="s">
        <v>180</v>
      </c>
      <c r="I5" s="309"/>
      <c r="J5" s="309"/>
      <c r="K5" s="310"/>
    </row>
    <row r="6" spans="1:19" ht="51" x14ac:dyDescent="0.25">
      <c r="A6" s="318"/>
      <c r="B6" s="320"/>
      <c r="C6" s="322"/>
      <c r="D6" s="296" t="s">
        <v>135</v>
      </c>
      <c r="E6" s="289" t="s">
        <v>136</v>
      </c>
      <c r="F6" s="289" t="s">
        <v>137</v>
      </c>
      <c r="G6" s="290" t="s">
        <v>153</v>
      </c>
      <c r="H6" s="296" t="s">
        <v>135</v>
      </c>
      <c r="I6" s="289" t="s">
        <v>136</v>
      </c>
      <c r="J6" s="289" t="s">
        <v>137</v>
      </c>
      <c r="K6" s="290" t="s">
        <v>153</v>
      </c>
    </row>
    <row r="7" spans="1:19" x14ac:dyDescent="0.25">
      <c r="A7" s="291">
        <v>1</v>
      </c>
      <c r="B7" s="292" t="s">
        <v>183</v>
      </c>
      <c r="C7" s="295"/>
      <c r="D7" s="297"/>
      <c r="E7" s="293"/>
      <c r="F7" s="293"/>
      <c r="G7" s="294"/>
      <c r="H7" s="297"/>
      <c r="I7" s="293"/>
      <c r="J7" s="293"/>
      <c r="K7" s="294"/>
    </row>
    <row r="8" spans="1:19" x14ac:dyDescent="0.25">
      <c r="A8" s="234">
        <f>A7+1</f>
        <v>2</v>
      </c>
      <c r="B8" s="78" t="s">
        <v>181</v>
      </c>
      <c r="C8" s="299" t="s">
        <v>138</v>
      </c>
      <c r="D8" s="282">
        <f>'Residential Detail'!$D$63</f>
        <v>26.3</v>
      </c>
      <c r="E8" s="283">
        <f>'Residential Detail'!$F$63</f>
        <v>24.46</v>
      </c>
      <c r="F8" s="283">
        <f>E8-D8</f>
        <v>-1.8399999999999999</v>
      </c>
      <c r="G8" s="284">
        <f>F8/D8</f>
        <v>-6.996197718631178E-2</v>
      </c>
      <c r="H8" s="282">
        <f>'Residential Detail'!$I$63</f>
        <v>28.49</v>
      </c>
      <c r="I8" s="283">
        <f>'Residential Detail'!$K$63</f>
        <v>24.46</v>
      </c>
      <c r="J8" s="283">
        <f>I8-H8</f>
        <v>-4.0299999999999976</v>
      </c>
      <c r="K8" s="284">
        <f>J8/H8</f>
        <v>-0.14145314145314139</v>
      </c>
    </row>
    <row r="9" spans="1:19" x14ac:dyDescent="0.25">
      <c r="A9" s="236">
        <f t="shared" ref="A9:A15" si="0">A8+1</f>
        <v>3</v>
      </c>
      <c r="B9" s="285" t="s">
        <v>182</v>
      </c>
      <c r="C9" s="300" t="s">
        <v>138</v>
      </c>
      <c r="D9" s="286">
        <f>'GS&lt;50 Detail'!$D$63</f>
        <v>67.05</v>
      </c>
      <c r="E9" s="287">
        <f>'GS&lt;50 Detail'!$F$63</f>
        <v>45.68</v>
      </c>
      <c r="F9" s="287">
        <f>E9-D9</f>
        <v>-21.369999999999997</v>
      </c>
      <c r="G9" s="288">
        <f>F9/D9</f>
        <v>-0.31871737509321402</v>
      </c>
      <c r="H9" s="286">
        <f>'GS&lt;50 Detail'!$I$63</f>
        <v>39.96</v>
      </c>
      <c r="I9" s="287">
        <f>'GS&lt;50 Detail'!$K$63</f>
        <v>45.68</v>
      </c>
      <c r="J9" s="287">
        <f>I9-H9</f>
        <v>5.7199999999999989</v>
      </c>
      <c r="K9" s="298">
        <f>J9/H9</f>
        <v>0.14314314314314311</v>
      </c>
    </row>
    <row r="10" spans="1:19" x14ac:dyDescent="0.25">
      <c r="A10" s="291">
        <f t="shared" si="0"/>
        <v>4</v>
      </c>
      <c r="B10" s="292" t="s">
        <v>184</v>
      </c>
      <c r="C10" s="301"/>
      <c r="D10" s="297"/>
      <c r="E10" s="293"/>
      <c r="F10" s="293"/>
      <c r="G10" s="294"/>
      <c r="H10" s="297"/>
      <c r="I10" s="293"/>
      <c r="J10" s="293"/>
      <c r="K10" s="294"/>
    </row>
    <row r="11" spans="1:19" x14ac:dyDescent="0.25">
      <c r="A11" s="234">
        <f t="shared" si="0"/>
        <v>5</v>
      </c>
      <c r="B11" s="78" t="s">
        <v>181</v>
      </c>
      <c r="C11" s="299" t="s">
        <v>138</v>
      </c>
      <c r="D11" s="282">
        <f>'Residential Detail'!$D$63+'Residential Detail'!$D$23</f>
        <v>29.7972736</v>
      </c>
      <c r="E11" s="283">
        <f>'Residential Detail'!$F$63+'Residential Detail'!$F$23</f>
        <v>27.981787199999992</v>
      </c>
      <c r="F11" s="283">
        <f>E11-D11</f>
        <v>-1.8154864000000082</v>
      </c>
      <c r="G11" s="284">
        <f>F11/D11</f>
        <v>-6.0927936708948034E-2</v>
      </c>
      <c r="H11" s="282">
        <f>'Residential Detail'!$I$63+'Residential Detail'!$I$23</f>
        <v>33.458089599999994</v>
      </c>
      <c r="I11" s="283">
        <f>'Residential Detail'!$K$63+'Residential Detail'!$K$23</f>
        <v>27.981787199999992</v>
      </c>
      <c r="J11" s="283">
        <f>I11-H11</f>
        <v>-5.4763024000000016</v>
      </c>
      <c r="K11" s="284">
        <f>J11/H11</f>
        <v>-0.16367648199495535</v>
      </c>
    </row>
    <row r="12" spans="1:19" x14ac:dyDescent="0.25">
      <c r="A12" s="236">
        <f t="shared" si="0"/>
        <v>6</v>
      </c>
      <c r="B12" s="285" t="s">
        <v>182</v>
      </c>
      <c r="C12" s="300" t="s">
        <v>138</v>
      </c>
      <c r="D12" s="286">
        <f>'GS&lt;50 Detail'!$D$63+'GS&lt;50 Detail'!$D$23</f>
        <v>75.793183999999982</v>
      </c>
      <c r="E12" s="287">
        <f>'GS&lt;50 Detail'!$F$63+'GS&lt;50 Detail'!$F$23</f>
        <v>54.484467999999978</v>
      </c>
      <c r="F12" s="287">
        <f>E12-D12</f>
        <v>-21.308716000000004</v>
      </c>
      <c r="G12" s="288">
        <f>F12/D12</f>
        <v>-0.28114290593729391</v>
      </c>
      <c r="H12" s="286">
        <f>'GS&lt;50 Detail'!$I$63+'GS&lt;50 Detail'!$I$23</f>
        <v>52.380223999999991</v>
      </c>
      <c r="I12" s="287">
        <f>'GS&lt;50 Detail'!$K$63+'GS&lt;50 Detail'!$K$23</f>
        <v>54.484467999999978</v>
      </c>
      <c r="J12" s="287">
        <f>I12-H12</f>
        <v>2.1042439999999871</v>
      </c>
      <c r="K12" s="298">
        <f>J12/H12</f>
        <v>4.0172489525817749E-2</v>
      </c>
    </row>
    <row r="13" spans="1:19" x14ac:dyDescent="0.25">
      <c r="A13" s="291">
        <f t="shared" si="0"/>
        <v>7</v>
      </c>
      <c r="B13" s="292" t="s">
        <v>185</v>
      </c>
      <c r="C13" s="301"/>
      <c r="D13" s="297"/>
      <c r="E13" s="293"/>
      <c r="F13" s="293"/>
      <c r="G13" s="294"/>
      <c r="H13" s="297"/>
      <c r="I13" s="293"/>
      <c r="J13" s="293"/>
      <c r="K13" s="294"/>
    </row>
    <row r="14" spans="1:19" x14ac:dyDescent="0.25">
      <c r="A14" s="234">
        <f t="shared" si="0"/>
        <v>8</v>
      </c>
      <c r="B14" s="78" t="s">
        <v>181</v>
      </c>
      <c r="C14" s="299" t="s">
        <v>138</v>
      </c>
      <c r="D14" s="282">
        <f>'Residential Summary'!D7</f>
        <v>137.72141752320002</v>
      </c>
      <c r="E14" s="283">
        <f>'Residential Summary'!E7</f>
        <v>137.25250892640003</v>
      </c>
      <c r="F14" s="283">
        <f>'Residential Summary'!F7</f>
        <v>-0.46890859679999153</v>
      </c>
      <c r="G14" s="284">
        <f>'Residential Summary'!G7</f>
        <v>-3.4047616211981043E-3</v>
      </c>
      <c r="H14" s="282">
        <f>'Residential Summary'!H7</f>
        <v>140.9619049632</v>
      </c>
      <c r="I14" s="283">
        <f>'Residential Summary'!I7</f>
        <v>137.25250892640003</v>
      </c>
      <c r="J14" s="283">
        <f>'Residential Summary'!J7</f>
        <v>-3.7093960367999728</v>
      </c>
      <c r="K14" s="284">
        <f>'Residential Summary'!K7</f>
        <v>-2.6314883001675952E-2</v>
      </c>
    </row>
    <row r="15" spans="1:19" x14ac:dyDescent="0.25">
      <c r="A15" s="236">
        <f t="shared" si="0"/>
        <v>9</v>
      </c>
      <c r="B15" s="285" t="s">
        <v>182</v>
      </c>
      <c r="C15" s="300" t="s">
        <v>138</v>
      </c>
      <c r="D15" s="286">
        <f>'GS&lt;50 Summary'!D7</f>
        <v>342.07794100800004</v>
      </c>
      <c r="E15" s="287">
        <f>'GS&lt;50 Summary'!E7</f>
        <v>323.46828921600002</v>
      </c>
      <c r="F15" s="287">
        <f>'GS&lt;50 Summary'!F7</f>
        <v>-18.609651792000022</v>
      </c>
      <c r="G15" s="288">
        <f>'GS&lt;50 Summary'!G7</f>
        <v>-5.4401788484703277E-2</v>
      </c>
      <c r="H15" s="286">
        <f>'GS&lt;50 Summary'!H7</f>
        <v>316.43253676799998</v>
      </c>
      <c r="I15" s="287">
        <f>'GS&lt;50 Summary'!I7</f>
        <v>323.46828921600002</v>
      </c>
      <c r="J15" s="287">
        <f>'GS&lt;50 Summary'!J7</f>
        <v>7.0357524480000393</v>
      </c>
      <c r="K15" s="298">
        <f>'GS&lt;50 Summary'!K7</f>
        <v>2.2234604948853501E-2</v>
      </c>
    </row>
    <row r="16" spans="1:19" ht="4.5" customHeight="1" x14ac:dyDescent="0.25"/>
    <row r="17" spans="1:11" x14ac:dyDescent="0.25">
      <c r="A17" s="317" t="s">
        <v>145</v>
      </c>
      <c r="B17" s="319" t="s">
        <v>166</v>
      </c>
      <c r="C17" s="321" t="s">
        <v>131</v>
      </c>
      <c r="D17" s="314" t="s">
        <v>20</v>
      </c>
      <c r="E17" s="315"/>
      <c r="F17" s="315"/>
      <c r="G17" s="316"/>
      <c r="H17" s="314" t="s">
        <v>21</v>
      </c>
      <c r="I17" s="315"/>
      <c r="J17" s="315"/>
      <c r="K17" s="316"/>
    </row>
    <row r="18" spans="1:11" ht="51" x14ac:dyDescent="0.25">
      <c r="A18" s="318"/>
      <c r="B18" s="320"/>
      <c r="C18" s="322"/>
      <c r="D18" s="296" t="s">
        <v>135</v>
      </c>
      <c r="E18" s="289" t="s">
        <v>136</v>
      </c>
      <c r="F18" s="289" t="s">
        <v>137</v>
      </c>
      <c r="G18" s="290" t="s">
        <v>153</v>
      </c>
      <c r="H18" s="296" t="s">
        <v>135</v>
      </c>
      <c r="I18" s="289" t="s">
        <v>136</v>
      </c>
      <c r="J18" s="289" t="s">
        <v>137</v>
      </c>
      <c r="K18" s="290" t="s">
        <v>153</v>
      </c>
    </row>
    <row r="19" spans="1:11" x14ac:dyDescent="0.25">
      <c r="A19" s="291">
        <v>10</v>
      </c>
      <c r="B19" s="292" t="s">
        <v>183</v>
      </c>
      <c r="C19" s="295"/>
      <c r="D19" s="297"/>
      <c r="E19" s="293"/>
      <c r="F19" s="293"/>
      <c r="G19" s="294"/>
      <c r="H19" s="297"/>
      <c r="I19" s="293"/>
      <c r="J19" s="293"/>
      <c r="K19" s="294"/>
    </row>
    <row r="20" spans="1:11" x14ac:dyDescent="0.25">
      <c r="A20" s="234">
        <f>A19+1</f>
        <v>11</v>
      </c>
      <c r="B20" s="78" t="s">
        <v>181</v>
      </c>
      <c r="C20" s="299" t="s">
        <v>138</v>
      </c>
      <c r="D20" s="282">
        <f>'Residential Detail'!$N$63</f>
        <v>27.13</v>
      </c>
      <c r="E20" s="283">
        <f>'Residential Detail'!$P$63</f>
        <v>24.46</v>
      </c>
      <c r="F20" s="283">
        <f>E20-D20</f>
        <v>-2.6699999999999982</v>
      </c>
      <c r="G20" s="284">
        <f>F20/D20</f>
        <v>-9.8415038702543242E-2</v>
      </c>
      <c r="H20" s="282">
        <f>'Residential Detail'!$S$63</f>
        <v>25.77</v>
      </c>
      <c r="I20" s="283">
        <f>'Residential Detail'!$U$63</f>
        <v>24.46</v>
      </c>
      <c r="J20" s="283">
        <f>I20-H20</f>
        <v>-1.3099999999999987</v>
      </c>
      <c r="K20" s="284">
        <f>J20/H20</f>
        <v>-5.0834303453628202E-2</v>
      </c>
    </row>
    <row r="21" spans="1:11" x14ac:dyDescent="0.25">
      <c r="A21" s="236">
        <f t="shared" ref="A21:A27" si="1">A20+1</f>
        <v>12</v>
      </c>
      <c r="B21" s="285" t="s">
        <v>182</v>
      </c>
      <c r="C21" s="300" t="s">
        <v>138</v>
      </c>
      <c r="D21" s="286">
        <f>'GS&lt;50 Detail'!$N$63</f>
        <v>45.7</v>
      </c>
      <c r="E21" s="287">
        <f>'GS&lt;50 Detail'!$P$63</f>
        <v>45.68</v>
      </c>
      <c r="F21" s="287">
        <f>E21-D21</f>
        <v>-2.0000000000003126E-2</v>
      </c>
      <c r="G21" s="288">
        <f>F21/D21</f>
        <v>-4.3763676148803336E-4</v>
      </c>
      <c r="H21" s="286">
        <f>'GS&lt;50 Detail'!$S$63</f>
        <v>50.010000000000005</v>
      </c>
      <c r="I21" s="287">
        <f>'GS&lt;50 Detail'!$U$63</f>
        <v>45.68</v>
      </c>
      <c r="J21" s="287">
        <f>I21-H21</f>
        <v>-4.3300000000000054</v>
      </c>
      <c r="K21" s="288">
        <f>J21/H21</f>
        <v>-8.6582683463307442E-2</v>
      </c>
    </row>
    <row r="22" spans="1:11" x14ac:dyDescent="0.25">
      <c r="A22" s="291">
        <f t="shared" si="1"/>
        <v>13</v>
      </c>
      <c r="B22" s="292" t="s">
        <v>184</v>
      </c>
      <c r="C22" s="301"/>
      <c r="D22" s="297"/>
      <c r="E22" s="293"/>
      <c r="F22" s="293"/>
      <c r="G22" s="294"/>
      <c r="H22" s="297"/>
      <c r="I22" s="293"/>
      <c r="J22" s="293"/>
      <c r="K22" s="294"/>
    </row>
    <row r="23" spans="1:11" x14ac:dyDescent="0.25">
      <c r="A23" s="234">
        <f t="shared" si="1"/>
        <v>14</v>
      </c>
      <c r="B23" s="78" t="s">
        <v>181</v>
      </c>
      <c r="C23" s="299" t="s">
        <v>138</v>
      </c>
      <c r="D23" s="282">
        <f>'Residential Detail'!$N$63+'Residential Detail'!$N$23</f>
        <v>32.539334400000001</v>
      </c>
      <c r="E23" s="283">
        <f>'Residential Detail'!$P$63+'Residential Detail'!$P$23</f>
        <v>27.981787199999992</v>
      </c>
      <c r="F23" s="283">
        <f>E23-D23</f>
        <v>-4.557547200000009</v>
      </c>
      <c r="G23" s="284">
        <f>F23/D23</f>
        <v>-0.14006270515478059</v>
      </c>
      <c r="H23" s="282">
        <f>'Residential Detail'!$S$63+'Residential Detail'!$S$23</f>
        <v>30.50929600000001</v>
      </c>
      <c r="I23" s="283">
        <f>'Residential Detail'!$U$63+'Residential Detail'!$U$23</f>
        <v>27.981787199999992</v>
      </c>
      <c r="J23" s="283">
        <f>I23-H23</f>
        <v>-2.5275088000000174</v>
      </c>
      <c r="K23" s="284">
        <f>J23/H23</f>
        <v>-8.2843891252030746E-2</v>
      </c>
    </row>
    <row r="24" spans="1:11" x14ac:dyDescent="0.25">
      <c r="A24" s="236">
        <f t="shared" si="1"/>
        <v>15</v>
      </c>
      <c r="B24" s="285" t="s">
        <v>182</v>
      </c>
      <c r="C24" s="300" t="s">
        <v>138</v>
      </c>
      <c r="D24" s="286">
        <f>'GS&lt;50 Detail'!$N$63+'GS&lt;50 Detail'!$N$23</f>
        <v>59.22333600000001</v>
      </c>
      <c r="E24" s="287">
        <f>'GS&lt;50 Detail'!$P$63+'GS&lt;50 Detail'!$P$23</f>
        <v>54.484467999999978</v>
      </c>
      <c r="F24" s="287">
        <f>E24-D24</f>
        <v>-4.7388680000000321</v>
      </c>
      <c r="G24" s="288">
        <f>F24/D24</f>
        <v>-8.0016904147379192E-2</v>
      </c>
      <c r="H24" s="286">
        <f>'GS&lt;50 Detail'!$S$63+'GS&lt;50 Detail'!$S$23</f>
        <v>61.858240000000002</v>
      </c>
      <c r="I24" s="287">
        <f>'GS&lt;50 Detail'!$U$63+'GS&lt;50 Detail'!$U$23</f>
        <v>54.484467999999978</v>
      </c>
      <c r="J24" s="287">
        <f>I24-H24</f>
        <v>-7.3737720000000238</v>
      </c>
      <c r="K24" s="288">
        <f>J24/H24</f>
        <v>-0.11920436145612975</v>
      </c>
    </row>
    <row r="25" spans="1:11" x14ac:dyDescent="0.25">
      <c r="A25" s="291">
        <f t="shared" si="1"/>
        <v>16</v>
      </c>
      <c r="B25" s="292" t="s">
        <v>185</v>
      </c>
      <c r="C25" s="301"/>
      <c r="D25" s="297"/>
      <c r="E25" s="293"/>
      <c r="F25" s="293"/>
      <c r="G25" s="294"/>
      <c r="H25" s="297"/>
      <c r="I25" s="293"/>
      <c r="J25" s="293"/>
      <c r="K25" s="294"/>
    </row>
    <row r="26" spans="1:11" x14ac:dyDescent="0.25">
      <c r="A26" s="234">
        <f t="shared" si="1"/>
        <v>17</v>
      </c>
      <c r="B26" s="78" t="s">
        <v>181</v>
      </c>
      <c r="C26" s="299" t="s">
        <v>138</v>
      </c>
      <c r="D26" s="282">
        <f>'Residential Summary'!L7</f>
        <v>142.10772713279999</v>
      </c>
      <c r="E26" s="283">
        <f>'Residential Summary'!M7</f>
        <v>137.57794892639998</v>
      </c>
      <c r="F26" s="283">
        <f>'Residential Summary'!N7</f>
        <v>-4.5297782064000103</v>
      </c>
      <c r="G26" s="284">
        <f>'Residential Summary'!O7</f>
        <v>-3.1875664313221488E-2</v>
      </c>
      <c r="H26" s="282">
        <f>'Residential Summary'!P7</f>
        <v>145.02992629882723</v>
      </c>
      <c r="I26" s="283">
        <f>'Residential Summary'!Q7</f>
        <v>139.12378892640001</v>
      </c>
      <c r="J26" s="283">
        <f>'Residential Summary'!R7</f>
        <v>-5.9061373724272244</v>
      </c>
      <c r="K26" s="284">
        <f>'Residential Summary'!S7</f>
        <v>-4.072357701029173E-2</v>
      </c>
    </row>
    <row r="27" spans="1:11" x14ac:dyDescent="0.25">
      <c r="A27" s="236">
        <f t="shared" si="1"/>
        <v>18</v>
      </c>
      <c r="B27" s="285" t="s">
        <v>182</v>
      </c>
      <c r="C27" s="300" t="s">
        <v>138</v>
      </c>
      <c r="D27" s="286">
        <f>'GS&lt;50 Summary'!L7</f>
        <v>328.59275695199989</v>
      </c>
      <c r="E27" s="287">
        <f>'GS&lt;50 Summary'!M7</f>
        <v>324.28188921599997</v>
      </c>
      <c r="F27" s="287">
        <f>'GS&lt;50 Summary'!N7</f>
        <v>-4.3108677359999206</v>
      </c>
      <c r="G27" s="288">
        <f>'GS&lt;50 Summary'!O7</f>
        <v>-1.3119180641676904E-2</v>
      </c>
      <c r="H27" s="286">
        <f>'GS&lt;50 Summary'!P7</f>
        <v>347.89059385989736</v>
      </c>
      <c r="I27" s="287">
        <f>'GS&lt;50 Summary'!Q7</f>
        <v>328.14648921599991</v>
      </c>
      <c r="J27" s="287">
        <f>'GS&lt;50 Summary'!R7</f>
        <v>-19.744104643897458</v>
      </c>
      <c r="K27" s="288">
        <f>'GS&lt;50 Summary'!S7</f>
        <v>-5.6753775446567005E-2</v>
      </c>
    </row>
  </sheetData>
  <mergeCells count="10">
    <mergeCell ref="H5:K5"/>
    <mergeCell ref="D5:G5"/>
    <mergeCell ref="D17:G17"/>
    <mergeCell ref="H17:K17"/>
    <mergeCell ref="A5:A6"/>
    <mergeCell ref="B5:B6"/>
    <mergeCell ref="C5:C6"/>
    <mergeCell ref="A17:A18"/>
    <mergeCell ref="B17:B18"/>
    <mergeCell ref="C17:C18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34"/>
  <sheetViews>
    <sheetView tabSelected="1" zoomScale="110" zoomScaleNormal="110" workbookViewId="0">
      <pane xSplit="3" ySplit="5" topLeftCell="D6" activePane="bottomRight" state="frozen"/>
      <selection activeCell="A4" sqref="A4"/>
      <selection pane="topRight" activeCell="A4" sqref="A4"/>
      <selection pane="bottomLeft" activeCell="A4" sqref="A4"/>
      <selection pane="bottomRight" activeCell="D6" sqref="D6"/>
    </sheetView>
  </sheetViews>
  <sheetFormatPr defaultRowHeight="15" x14ac:dyDescent="0.25"/>
  <cols>
    <col min="1" max="1" width="6.7109375" style="9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71" t="s">
        <v>43</v>
      </c>
      <c r="B1" s="71"/>
      <c r="C1" s="205"/>
      <c r="D1" s="205"/>
      <c r="E1" s="205"/>
      <c r="F1" s="205"/>
      <c r="G1" s="206"/>
      <c r="H1" s="206"/>
      <c r="I1" s="206"/>
      <c r="J1" s="206"/>
    </row>
    <row r="2" spans="1:10" ht="18.75" x14ac:dyDescent="0.3">
      <c r="A2" s="71" t="s">
        <v>146</v>
      </c>
      <c r="B2" s="71"/>
      <c r="C2" s="205"/>
      <c r="D2" s="205"/>
      <c r="E2" s="205"/>
      <c r="F2" s="205"/>
      <c r="G2" s="206"/>
      <c r="H2" s="206"/>
      <c r="I2" s="206"/>
      <c r="J2" s="206"/>
    </row>
    <row r="3" spans="1:10" ht="19.5" thickBot="1" x14ac:dyDescent="0.35">
      <c r="A3" s="207" t="s">
        <v>147</v>
      </c>
      <c r="B3" s="207"/>
      <c r="C3" s="208"/>
      <c r="D3" s="208"/>
      <c r="E3" s="208"/>
      <c r="F3" s="208"/>
      <c r="G3" s="209"/>
      <c r="H3" s="209"/>
      <c r="I3" s="209"/>
      <c r="J3" s="209"/>
    </row>
    <row r="4" spans="1:10" x14ac:dyDescent="0.25">
      <c r="G4" s="35"/>
      <c r="H4" s="35"/>
      <c r="I4" s="35"/>
      <c r="J4" s="35"/>
    </row>
    <row r="5" spans="1:10" ht="60" x14ac:dyDescent="0.25">
      <c r="A5" s="210" t="s">
        <v>145</v>
      </c>
      <c r="B5" s="211" t="s">
        <v>130</v>
      </c>
      <c r="C5" s="211" t="s">
        <v>131</v>
      </c>
      <c r="D5" s="211" t="s">
        <v>132</v>
      </c>
      <c r="E5" s="211" t="s">
        <v>133</v>
      </c>
      <c r="F5" s="211" t="s">
        <v>134</v>
      </c>
      <c r="G5" s="212" t="s">
        <v>135</v>
      </c>
      <c r="H5" s="212" t="s">
        <v>136</v>
      </c>
      <c r="I5" s="226" t="s">
        <v>137</v>
      </c>
      <c r="J5" s="213" t="s">
        <v>153</v>
      </c>
    </row>
    <row r="6" spans="1:10" x14ac:dyDescent="0.25">
      <c r="A6" s="232">
        <v>1</v>
      </c>
      <c r="B6" s="100" t="s">
        <v>1</v>
      </c>
      <c r="C6" s="100"/>
      <c r="D6" s="100"/>
      <c r="E6" s="100"/>
      <c r="F6" s="100"/>
      <c r="G6" s="101"/>
      <c r="H6" s="101"/>
      <c r="I6" s="227"/>
      <c r="J6" s="214"/>
    </row>
    <row r="7" spans="1:10" x14ac:dyDescent="0.25">
      <c r="A7" s="233">
        <f>A6+1</f>
        <v>2</v>
      </c>
      <c r="B7" s="98" t="s">
        <v>70</v>
      </c>
      <c r="C7" s="98" t="s">
        <v>138</v>
      </c>
      <c r="D7" s="215">
        <f>'Residential Detail'!$D$7</f>
        <v>800</v>
      </c>
      <c r="E7" s="215">
        <v>0</v>
      </c>
      <c r="F7" s="215"/>
      <c r="G7" s="99">
        <f>'Residential Detail'!$D$51</f>
        <v>137.72141752320002</v>
      </c>
      <c r="H7" s="99">
        <f>'Residential Detail'!$F$51</f>
        <v>137.25250892640003</v>
      </c>
      <c r="I7" s="228">
        <f>H7-G7</f>
        <v>-0.46890859679999153</v>
      </c>
      <c r="J7" s="230">
        <f>I7/G7</f>
        <v>-3.4047616211981043E-3</v>
      </c>
    </row>
    <row r="8" spans="1:10" x14ac:dyDescent="0.25">
      <c r="A8" s="234">
        <f t="shared" ref="A8:A34" si="0">A7+1</f>
        <v>3</v>
      </c>
      <c r="B8" s="1" t="s">
        <v>144</v>
      </c>
      <c r="C8" s="1" t="s">
        <v>138</v>
      </c>
      <c r="D8" s="81">
        <f>'GS&lt;50 Detail'!$D$7</f>
        <v>2000</v>
      </c>
      <c r="E8" s="81">
        <v>0</v>
      </c>
      <c r="F8" s="215"/>
      <c r="G8" s="7">
        <f>'GS&lt;50 Detail'!$D$51</f>
        <v>342.07794100800004</v>
      </c>
      <c r="H8" s="7">
        <f>'GS&lt;50 Detail'!$F$51</f>
        <v>323.46828921600002</v>
      </c>
      <c r="I8" s="228">
        <f t="shared" ref="I8:I15" si="1">H8-G8</f>
        <v>-18.609651792000022</v>
      </c>
      <c r="J8" s="230">
        <f t="shared" ref="J8:J15" si="2">I8/G8</f>
        <v>-5.4401788484703277E-2</v>
      </c>
    </row>
    <row r="9" spans="1:10" x14ac:dyDescent="0.25">
      <c r="A9" s="234">
        <f t="shared" si="0"/>
        <v>4</v>
      </c>
      <c r="B9" s="1" t="s">
        <v>148</v>
      </c>
      <c r="C9" s="1" t="s">
        <v>139</v>
      </c>
      <c r="D9" s="81">
        <f>'GS&gt;50'!$D$7</f>
        <v>162500</v>
      </c>
      <c r="E9" s="81">
        <f>'GS&gt;50'!$D$8</f>
        <v>500</v>
      </c>
      <c r="F9" s="81"/>
      <c r="G9" s="7">
        <f>'GS&gt;50'!$D$59</f>
        <v>23971.551602399999</v>
      </c>
      <c r="H9" s="7">
        <f>'GS&gt;50'!$F$59</f>
        <v>25020.970714799994</v>
      </c>
      <c r="I9" s="228">
        <f t="shared" si="1"/>
        <v>1049.4191123999954</v>
      </c>
      <c r="J9" s="230">
        <f t="shared" si="2"/>
        <v>4.3777688228363532E-2</v>
      </c>
    </row>
    <row r="10" spans="1:10" s="197" customFormat="1" ht="30" x14ac:dyDescent="0.25">
      <c r="A10" s="237">
        <f t="shared" si="0"/>
        <v>5</v>
      </c>
      <c r="B10" s="238" t="s">
        <v>149</v>
      </c>
      <c r="C10" s="239" t="s">
        <v>139</v>
      </c>
      <c r="D10" s="240">
        <f>'CK Inter to GS&gt;50'!D7</f>
        <v>1825000</v>
      </c>
      <c r="E10" s="240">
        <f>'CK Inter to GS&gt;50'!D8</f>
        <v>2500</v>
      </c>
      <c r="F10" s="240"/>
      <c r="G10" s="241">
        <f>'CK Inter to GS&gt;50'!D59</f>
        <v>252413.67673079995</v>
      </c>
      <c r="H10" s="241">
        <f>'CK Inter to GS&gt;50'!F59</f>
        <v>247739.74040159999</v>
      </c>
      <c r="I10" s="242">
        <f t="shared" si="1"/>
        <v>-4673.9363291999616</v>
      </c>
      <c r="J10" s="243">
        <f t="shared" si="2"/>
        <v>-1.8516969404097427E-2</v>
      </c>
    </row>
    <row r="11" spans="1:10" s="197" customFormat="1" ht="30" x14ac:dyDescent="0.25">
      <c r="A11" s="237">
        <f t="shared" si="0"/>
        <v>6</v>
      </c>
      <c r="B11" s="238" t="s">
        <v>150</v>
      </c>
      <c r="C11" s="239" t="s">
        <v>139</v>
      </c>
      <c r="D11" s="240">
        <f>'Large Use'!D7</f>
        <v>2763934.5836784667</v>
      </c>
      <c r="E11" s="240">
        <f>'Large Use'!D8</f>
        <v>7200</v>
      </c>
      <c r="F11" s="240"/>
      <c r="G11" s="241">
        <f>'Large Use'!D60</f>
        <v>406026.52205874975</v>
      </c>
      <c r="H11" s="241">
        <f>'Large Use'!F60</f>
        <v>399483.70220019907</v>
      </c>
      <c r="I11" s="242">
        <f t="shared" si="1"/>
        <v>-6542.8198585506761</v>
      </c>
      <c r="J11" s="243">
        <f t="shared" si="2"/>
        <v>-1.6114267179827151E-2</v>
      </c>
    </row>
    <row r="12" spans="1:10" x14ac:dyDescent="0.25">
      <c r="A12" s="234">
        <f t="shared" si="0"/>
        <v>7</v>
      </c>
      <c r="B12" s="1" t="s">
        <v>140</v>
      </c>
      <c r="C12" s="1" t="s">
        <v>138</v>
      </c>
      <c r="D12" s="81">
        <f>USL!D7</f>
        <v>150</v>
      </c>
      <c r="E12" s="81">
        <f>USL!D8</f>
        <v>0</v>
      </c>
      <c r="F12" s="81"/>
      <c r="G12" s="7">
        <f>USL!D51</f>
        <v>31.979805825599996</v>
      </c>
      <c r="H12" s="7">
        <f>USL!F51</f>
        <v>28.949508691199998</v>
      </c>
      <c r="I12" s="228">
        <f t="shared" si="1"/>
        <v>-3.0302971343999978</v>
      </c>
      <c r="J12" s="230">
        <f t="shared" si="2"/>
        <v>-9.475658329276751E-2</v>
      </c>
    </row>
    <row r="13" spans="1:10" x14ac:dyDescent="0.25">
      <c r="A13" s="234">
        <f t="shared" si="0"/>
        <v>8</v>
      </c>
      <c r="B13" s="1" t="s">
        <v>141</v>
      </c>
      <c r="C13" s="1" t="s">
        <v>138</v>
      </c>
      <c r="D13" s="81">
        <f>Sentinel!$D$7</f>
        <v>150</v>
      </c>
      <c r="E13" s="81">
        <f>Sentinel!$D$8</f>
        <v>1</v>
      </c>
      <c r="F13" s="81"/>
      <c r="G13" s="7">
        <f>Sentinel!$D$51</f>
        <v>32.226627657599998</v>
      </c>
      <c r="H13" s="7">
        <f>Sentinel!$F$51</f>
        <v>30.846510655199999</v>
      </c>
      <c r="I13" s="228">
        <f t="shared" si="1"/>
        <v>-1.3801170023999987</v>
      </c>
      <c r="J13" s="230">
        <f t="shared" si="2"/>
        <v>-4.2825362214855452E-2</v>
      </c>
    </row>
    <row r="14" spans="1:10" x14ac:dyDescent="0.25">
      <c r="A14" s="235">
        <f t="shared" si="0"/>
        <v>9</v>
      </c>
      <c r="B14" s="68" t="s">
        <v>142</v>
      </c>
      <c r="C14" s="68" t="s">
        <v>139</v>
      </c>
      <c r="D14" s="216">
        <f>Street!$D$7</f>
        <v>150</v>
      </c>
      <c r="E14" s="216">
        <f>Street!$D$8</f>
        <v>1</v>
      </c>
      <c r="F14" s="216"/>
      <c r="G14" s="70">
        <f>Street!$D$59</f>
        <v>27.0270117576</v>
      </c>
      <c r="H14" s="70">
        <f>Street!$F$59</f>
        <v>25.8384975552</v>
      </c>
      <c r="I14" s="228">
        <f t="shared" si="1"/>
        <v>-1.1885142024000004</v>
      </c>
      <c r="J14" s="230">
        <f t="shared" si="2"/>
        <v>-4.3975050333331434E-2</v>
      </c>
    </row>
    <row r="15" spans="1:10" s="197" customFormat="1" ht="30" x14ac:dyDescent="0.25">
      <c r="A15" s="245">
        <f t="shared" si="0"/>
        <v>10</v>
      </c>
      <c r="B15" s="246" t="s">
        <v>152</v>
      </c>
      <c r="C15" s="247" t="s">
        <v>139</v>
      </c>
      <c r="D15" s="248">
        <f>Embedded!D7</f>
        <v>368500.41666666669</v>
      </c>
      <c r="E15" s="248">
        <f>Embedded!D8</f>
        <v>14</v>
      </c>
      <c r="F15" s="248"/>
      <c r="G15" s="249">
        <f>Embedded!D59</f>
        <v>49881.059674215743</v>
      </c>
      <c r="H15" s="249">
        <f>Embedded!F59</f>
        <v>49829.318924008126</v>
      </c>
      <c r="I15" s="242">
        <f t="shared" si="1"/>
        <v>-51.740750207616657</v>
      </c>
      <c r="J15" s="243">
        <f t="shared" si="2"/>
        <v>-1.037282498518415E-3</v>
      </c>
    </row>
    <row r="16" spans="1:10" x14ac:dyDescent="0.25">
      <c r="A16" s="232">
        <f t="shared" si="0"/>
        <v>11</v>
      </c>
      <c r="B16" s="100" t="s">
        <v>19</v>
      </c>
      <c r="C16" s="100"/>
      <c r="D16" s="250"/>
      <c r="E16" s="250"/>
      <c r="F16" s="100"/>
      <c r="G16" s="101"/>
      <c r="H16" s="101"/>
      <c r="I16" s="227"/>
      <c r="J16" s="214"/>
    </row>
    <row r="17" spans="1:10" x14ac:dyDescent="0.25">
      <c r="A17" s="233">
        <f t="shared" si="0"/>
        <v>12</v>
      </c>
      <c r="B17" s="98" t="s">
        <v>70</v>
      </c>
      <c r="C17" s="98" t="s">
        <v>138</v>
      </c>
      <c r="D17" s="215">
        <f>'Residential Detail'!$I$7</f>
        <v>800</v>
      </c>
      <c r="E17" s="215">
        <v>0</v>
      </c>
      <c r="F17" s="215"/>
      <c r="G17" s="99">
        <f>'Residential Detail'!$I$51</f>
        <v>140.9619049632</v>
      </c>
      <c r="H17" s="99">
        <f>'Residential Detail'!$K$51</f>
        <v>137.25250892640003</v>
      </c>
      <c r="I17" s="228">
        <f t="shared" ref="I17:I23" si="3">H17-G17</f>
        <v>-3.7093960367999728</v>
      </c>
      <c r="J17" s="230">
        <f t="shared" ref="J17:J23" si="4">I17/G17</f>
        <v>-2.6314883001675952E-2</v>
      </c>
    </row>
    <row r="18" spans="1:10" x14ac:dyDescent="0.25">
      <c r="A18" s="234">
        <f t="shared" si="0"/>
        <v>13</v>
      </c>
      <c r="B18" s="1" t="s">
        <v>144</v>
      </c>
      <c r="C18" s="1" t="s">
        <v>138</v>
      </c>
      <c r="D18" s="81">
        <f>'GS&lt;50 Detail'!$I$7</f>
        <v>2000</v>
      </c>
      <c r="E18" s="81">
        <v>0</v>
      </c>
      <c r="F18" s="215"/>
      <c r="G18" s="7">
        <f>'GS&lt;50 Detail'!$I$51</f>
        <v>316.43253676799998</v>
      </c>
      <c r="H18" s="7">
        <f>'GS&lt;50 Detail'!$K$51</f>
        <v>323.46828921600002</v>
      </c>
      <c r="I18" s="228">
        <f t="shared" si="3"/>
        <v>7.0357524480000393</v>
      </c>
      <c r="J18" s="230">
        <f t="shared" si="4"/>
        <v>2.2234604948853501E-2</v>
      </c>
    </row>
    <row r="19" spans="1:10" x14ac:dyDescent="0.25">
      <c r="A19" s="234">
        <f t="shared" si="0"/>
        <v>14</v>
      </c>
      <c r="B19" s="1" t="s">
        <v>148</v>
      </c>
      <c r="C19" s="1" t="s">
        <v>139</v>
      </c>
      <c r="D19" s="81">
        <f>'GS&gt;50'!$I$7</f>
        <v>162500</v>
      </c>
      <c r="E19" s="81">
        <f>'GS&gt;50'!$I$8</f>
        <v>500</v>
      </c>
      <c r="F19" s="81"/>
      <c r="G19" s="7">
        <f>'GS&gt;50'!$I$59</f>
        <v>23322.911036400001</v>
      </c>
      <c r="H19" s="7">
        <f>'GS&gt;50'!$K$59</f>
        <v>25020.970714799994</v>
      </c>
      <c r="I19" s="228">
        <f t="shared" si="3"/>
        <v>1698.0596783999936</v>
      </c>
      <c r="J19" s="230">
        <f t="shared" si="4"/>
        <v>7.2806506689916908E-2</v>
      </c>
    </row>
    <row r="20" spans="1:10" x14ac:dyDescent="0.25">
      <c r="A20" s="234">
        <f t="shared" si="0"/>
        <v>15</v>
      </c>
      <c r="B20" s="1" t="s">
        <v>84</v>
      </c>
      <c r="C20" s="1" t="s">
        <v>139</v>
      </c>
      <c r="D20" s="81">
        <f>'Large Use'!I7</f>
        <v>2631116.8335822164</v>
      </c>
      <c r="E20" s="81">
        <f>'Large Use'!I8</f>
        <v>5500.25</v>
      </c>
      <c r="F20" s="81"/>
      <c r="G20" s="7">
        <f>'Large Use'!I60</f>
        <v>360296.16682973993</v>
      </c>
      <c r="H20" s="7">
        <f>'Large Use'!K60</f>
        <v>358506.67541033257</v>
      </c>
      <c r="I20" s="228">
        <f t="shared" si="3"/>
        <v>-1789.4914194073644</v>
      </c>
      <c r="J20" s="230">
        <f t="shared" si="4"/>
        <v>-4.9667234463057694E-3</v>
      </c>
    </row>
    <row r="21" spans="1:10" x14ac:dyDescent="0.25">
      <c r="A21" s="234">
        <f t="shared" si="0"/>
        <v>16</v>
      </c>
      <c r="B21" s="1" t="s">
        <v>140</v>
      </c>
      <c r="C21" s="1" t="s">
        <v>138</v>
      </c>
      <c r="D21" s="81">
        <f>USL!I7</f>
        <v>150</v>
      </c>
      <c r="E21" s="81">
        <f>USL!I8</f>
        <v>0</v>
      </c>
      <c r="F21" s="81"/>
      <c r="G21" s="7">
        <f>USL!I51</f>
        <v>31.354855257600001</v>
      </c>
      <c r="H21" s="7">
        <f>USL!K51</f>
        <v>28.949508691199998</v>
      </c>
      <c r="I21" s="228">
        <f t="shared" si="3"/>
        <v>-2.4053465664000022</v>
      </c>
      <c r="J21" s="230">
        <f t="shared" si="4"/>
        <v>-7.6713687454097818E-2</v>
      </c>
    </row>
    <row r="22" spans="1:10" x14ac:dyDescent="0.25">
      <c r="A22" s="234">
        <f t="shared" si="0"/>
        <v>17</v>
      </c>
      <c r="B22" s="1" t="s">
        <v>141</v>
      </c>
      <c r="C22" s="1" t="s">
        <v>138</v>
      </c>
      <c r="D22" s="81">
        <f>Sentinel!$I$7</f>
        <v>150</v>
      </c>
      <c r="E22" s="81">
        <f>Sentinel!$I$8</f>
        <v>1</v>
      </c>
      <c r="F22" s="81"/>
      <c r="G22" s="7">
        <f>Sentinel!$I$51</f>
        <v>70.093759428000013</v>
      </c>
      <c r="H22" s="7">
        <f>Sentinel!$K$51</f>
        <v>30.846510655199999</v>
      </c>
      <c r="I22" s="228">
        <f t="shared" si="3"/>
        <v>-39.247248772800013</v>
      </c>
      <c r="J22" s="230">
        <f t="shared" si="4"/>
        <v>-0.55992500749106777</v>
      </c>
    </row>
    <row r="23" spans="1:10" x14ac:dyDescent="0.25">
      <c r="A23" s="235">
        <f t="shared" si="0"/>
        <v>18</v>
      </c>
      <c r="B23" s="68" t="s">
        <v>142</v>
      </c>
      <c r="C23" s="68" t="s">
        <v>139</v>
      </c>
      <c r="D23" s="216">
        <f>Street!$I$7</f>
        <v>150</v>
      </c>
      <c r="E23" s="216">
        <f>Street!$I$8</f>
        <v>1</v>
      </c>
      <c r="F23" s="216"/>
      <c r="G23" s="70">
        <f>Street!$I$59</f>
        <v>23.283198813600002</v>
      </c>
      <c r="H23" s="70">
        <f>Street!$K$59</f>
        <v>25.8384975552</v>
      </c>
      <c r="I23" s="228">
        <f t="shared" si="3"/>
        <v>2.5552987415999979</v>
      </c>
      <c r="J23" s="230">
        <f t="shared" si="4"/>
        <v>0.10974861152271811</v>
      </c>
    </row>
    <row r="24" spans="1:10" x14ac:dyDescent="0.25">
      <c r="A24" s="232">
        <f t="shared" si="0"/>
        <v>19</v>
      </c>
      <c r="B24" s="100" t="s">
        <v>20</v>
      </c>
      <c r="C24" s="100"/>
      <c r="D24" s="250"/>
      <c r="E24" s="250"/>
      <c r="F24" s="100"/>
      <c r="G24" s="101"/>
      <c r="H24" s="101"/>
      <c r="I24" s="227"/>
      <c r="J24" s="214"/>
    </row>
    <row r="25" spans="1:10" x14ac:dyDescent="0.25">
      <c r="A25" s="233">
        <f t="shared" si="0"/>
        <v>20</v>
      </c>
      <c r="B25" s="98" t="s">
        <v>70</v>
      </c>
      <c r="C25" s="98" t="s">
        <v>138</v>
      </c>
      <c r="D25" s="215">
        <f>'Residential Detail'!$N$7</f>
        <v>800</v>
      </c>
      <c r="E25" s="215">
        <v>0</v>
      </c>
      <c r="F25" s="215"/>
      <c r="G25" s="99">
        <f>'Residential Detail'!$N$51</f>
        <v>142.10772713279999</v>
      </c>
      <c r="H25" s="99">
        <f>'Residential Detail'!$P$51</f>
        <v>137.57794892639998</v>
      </c>
      <c r="I25" s="228">
        <f t="shared" ref="I25:I29" si="5">H25-G25</f>
        <v>-4.5297782064000103</v>
      </c>
      <c r="J25" s="230">
        <f t="shared" ref="J25:J29" si="6">I25/G25</f>
        <v>-3.1875664313221488E-2</v>
      </c>
    </row>
    <row r="26" spans="1:10" x14ac:dyDescent="0.25">
      <c r="A26" s="234">
        <f t="shared" si="0"/>
        <v>21</v>
      </c>
      <c r="B26" s="1" t="s">
        <v>144</v>
      </c>
      <c r="C26" s="1" t="s">
        <v>138</v>
      </c>
      <c r="D26" s="81">
        <f>'GS&lt;50 Detail'!$N$7</f>
        <v>2000</v>
      </c>
      <c r="E26" s="81">
        <v>0</v>
      </c>
      <c r="F26" s="215"/>
      <c r="G26" s="7">
        <f>'GS&lt;50 Detail'!$N$51</f>
        <v>328.59275695199989</v>
      </c>
      <c r="H26" s="7">
        <f>'GS&lt;50 Detail'!$P$51</f>
        <v>324.28188921599997</v>
      </c>
      <c r="I26" s="228">
        <f t="shared" si="5"/>
        <v>-4.3108677359999206</v>
      </c>
      <c r="J26" s="230">
        <f t="shared" si="6"/>
        <v>-1.3119180641676904E-2</v>
      </c>
    </row>
    <row r="27" spans="1:10" s="197" customFormat="1" ht="30" x14ac:dyDescent="0.25">
      <c r="A27" s="237">
        <f t="shared" si="0"/>
        <v>22</v>
      </c>
      <c r="B27" s="238" t="s">
        <v>151</v>
      </c>
      <c r="C27" s="239" t="s">
        <v>138</v>
      </c>
      <c r="D27" s="240">
        <f>'DU GS&lt;50 to GS&gt;50'!D7</f>
        <v>440000</v>
      </c>
      <c r="E27" s="240">
        <f>'DU GS&lt;50 to GS&gt;50'!D8</f>
        <v>96</v>
      </c>
      <c r="F27" s="244"/>
      <c r="G27" s="241">
        <f>'DU GS&lt;50 to GS&gt;50'!D51</f>
        <v>63341.658531360008</v>
      </c>
      <c r="H27" s="241">
        <f>'DU GS&lt;50 to GS&gt;50'!F51</f>
        <v>54429.215317919996</v>
      </c>
      <c r="I27" s="242">
        <f t="shared" si="5"/>
        <v>-8912.4432134400122</v>
      </c>
      <c r="J27" s="243">
        <f t="shared" si="6"/>
        <v>-0.14070429193178649</v>
      </c>
    </row>
    <row r="28" spans="1:10" x14ac:dyDescent="0.25">
      <c r="A28" s="234">
        <f t="shared" si="0"/>
        <v>23</v>
      </c>
      <c r="B28" s="1" t="s">
        <v>141</v>
      </c>
      <c r="C28" s="1" t="s">
        <v>138</v>
      </c>
      <c r="D28" s="81">
        <f>Sentinel!$N$7</f>
        <v>150</v>
      </c>
      <c r="E28" s="81">
        <f>Sentinel!$N$8</f>
        <v>1</v>
      </c>
      <c r="F28" s="81"/>
      <c r="G28" s="7">
        <f>Sentinel!$N$51</f>
        <v>30.293939570400003</v>
      </c>
      <c r="H28" s="7">
        <f>Sentinel!$P$51</f>
        <v>30.846510655199999</v>
      </c>
      <c r="I28" s="228">
        <f t="shared" si="5"/>
        <v>0.55257108479999673</v>
      </c>
      <c r="J28" s="230">
        <f t="shared" si="6"/>
        <v>1.8240317787519129E-2</v>
      </c>
    </row>
    <row r="29" spans="1:10" x14ac:dyDescent="0.25">
      <c r="A29" s="235">
        <f t="shared" si="0"/>
        <v>24</v>
      </c>
      <c r="B29" s="68" t="s">
        <v>142</v>
      </c>
      <c r="C29" s="68" t="s">
        <v>139</v>
      </c>
      <c r="D29" s="216">
        <f>Street!$N$7</f>
        <v>150</v>
      </c>
      <c r="E29" s="216">
        <f>Street!$N$8</f>
        <v>1</v>
      </c>
      <c r="F29" s="216"/>
      <c r="G29" s="70">
        <f>Street!$N$59</f>
        <v>30.258649670400004</v>
      </c>
      <c r="H29" s="70">
        <f>Street!$P$59</f>
        <v>28.697386255200001</v>
      </c>
      <c r="I29" s="228">
        <f t="shared" si="5"/>
        <v>-1.5612634152000027</v>
      </c>
      <c r="J29" s="230">
        <f t="shared" si="6"/>
        <v>-5.1597260029990079E-2</v>
      </c>
    </row>
    <row r="30" spans="1:10" x14ac:dyDescent="0.25">
      <c r="A30" s="232">
        <f t="shared" si="0"/>
        <v>25</v>
      </c>
      <c r="B30" s="100" t="s">
        <v>21</v>
      </c>
      <c r="C30" s="100"/>
      <c r="D30" s="250"/>
      <c r="E30" s="250"/>
      <c r="F30" s="100"/>
      <c r="G30" s="101"/>
      <c r="H30" s="101"/>
      <c r="I30" s="227"/>
      <c r="J30" s="214"/>
    </row>
    <row r="31" spans="1:10" x14ac:dyDescent="0.25">
      <c r="A31" s="233">
        <f t="shared" si="0"/>
        <v>26</v>
      </c>
      <c r="B31" s="98" t="s">
        <v>70</v>
      </c>
      <c r="C31" s="98" t="s">
        <v>138</v>
      </c>
      <c r="D31" s="215">
        <f>'Residential Detail'!$S$7</f>
        <v>800</v>
      </c>
      <c r="E31" s="215">
        <v>0</v>
      </c>
      <c r="F31" s="215"/>
      <c r="G31" s="99">
        <f>'Residential Detail'!$S$51</f>
        <v>145.02992629882723</v>
      </c>
      <c r="H31" s="99">
        <f>'Residential Detail'!$U$51</f>
        <v>139.12378892640001</v>
      </c>
      <c r="I31" s="228">
        <f t="shared" ref="I31:I34" si="7">H31-G31</f>
        <v>-5.9061373724272244</v>
      </c>
      <c r="J31" s="230">
        <f t="shared" ref="J31:J34" si="8">I31/G31</f>
        <v>-4.072357701029173E-2</v>
      </c>
    </row>
    <row r="32" spans="1:10" x14ac:dyDescent="0.25">
      <c r="A32" s="234">
        <f t="shared" si="0"/>
        <v>27</v>
      </c>
      <c r="B32" s="1" t="s">
        <v>144</v>
      </c>
      <c r="C32" s="1" t="s">
        <v>138</v>
      </c>
      <c r="D32" s="81">
        <f>'GS&lt;50 Detail'!$S$7</f>
        <v>2000</v>
      </c>
      <c r="E32" s="81">
        <v>0</v>
      </c>
      <c r="F32" s="215"/>
      <c r="G32" s="7">
        <f>'GS&lt;50 Detail'!$S$51</f>
        <v>347.89059385989736</v>
      </c>
      <c r="H32" s="7">
        <f>'GS&lt;50 Detail'!$U$51</f>
        <v>328.14648921599991</v>
      </c>
      <c r="I32" s="228">
        <f t="shared" si="7"/>
        <v>-19.744104643897458</v>
      </c>
      <c r="J32" s="230">
        <f t="shared" si="8"/>
        <v>-5.6753775446567005E-2</v>
      </c>
    </row>
    <row r="33" spans="1:10" x14ac:dyDescent="0.25">
      <c r="A33" s="234">
        <f t="shared" si="0"/>
        <v>28</v>
      </c>
      <c r="B33" s="1" t="s">
        <v>148</v>
      </c>
      <c r="C33" s="1" t="s">
        <v>139</v>
      </c>
      <c r="D33" s="81">
        <f>'GS&gt;50'!$S$7</f>
        <v>162500</v>
      </c>
      <c r="E33" s="81">
        <f>'GS&gt;50'!$S$8</f>
        <v>500</v>
      </c>
      <c r="F33" s="81"/>
      <c r="G33" s="7">
        <f>'GS&gt;50'!$S$51</f>
        <v>25258.362234636479</v>
      </c>
      <c r="H33" s="7">
        <f>'GS&gt;50'!$U$51</f>
        <v>24769.110664799999</v>
      </c>
      <c r="I33" s="228">
        <f t="shared" si="7"/>
        <v>-489.25156983648048</v>
      </c>
      <c r="J33" s="230">
        <f t="shared" si="8"/>
        <v>-1.9369884923321586E-2</v>
      </c>
    </row>
    <row r="34" spans="1:10" x14ac:dyDescent="0.25">
      <c r="A34" s="236">
        <f t="shared" si="0"/>
        <v>29</v>
      </c>
      <c r="B34" s="217" t="s">
        <v>142</v>
      </c>
      <c r="C34" s="217" t="s">
        <v>139</v>
      </c>
      <c r="D34" s="218">
        <f>Street!$S$7</f>
        <v>150</v>
      </c>
      <c r="E34" s="218">
        <f>Street!$S$8</f>
        <v>1</v>
      </c>
      <c r="F34" s="218"/>
      <c r="G34" s="219">
        <f>Street!$S$59</f>
        <v>31.141326234876978</v>
      </c>
      <c r="H34" s="219">
        <f>Street!$U$59</f>
        <v>27.692895355200001</v>
      </c>
      <c r="I34" s="229">
        <f t="shared" si="7"/>
        <v>-3.4484308796769767</v>
      </c>
      <c r="J34" s="231">
        <f t="shared" si="8"/>
        <v>-0.1107348753764661</v>
      </c>
    </row>
  </sheetData>
  <printOptions verticalCentered="1"/>
  <pageMargins left="0.25" right="0.25" top="0.25" bottom="0.4" header="0.3" footer="0.3"/>
  <pageSetup scale="92" orientation="landscape" r:id="rId1"/>
  <headerFoot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9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146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154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51" x14ac:dyDescent="0.25">
      <c r="A5" s="276" t="s">
        <v>145</v>
      </c>
      <c r="B5" s="277" t="s">
        <v>166</v>
      </c>
      <c r="C5" s="278" t="s">
        <v>131</v>
      </c>
      <c r="D5" s="272" t="s">
        <v>135</v>
      </c>
      <c r="E5" s="273" t="s">
        <v>136</v>
      </c>
      <c r="F5" s="273" t="s">
        <v>137</v>
      </c>
      <c r="G5" s="274" t="s">
        <v>153</v>
      </c>
      <c r="H5" s="272" t="s">
        <v>135</v>
      </c>
      <c r="I5" s="273" t="s">
        <v>136</v>
      </c>
      <c r="J5" s="273" t="s">
        <v>137</v>
      </c>
      <c r="K5" s="274" t="s">
        <v>153</v>
      </c>
      <c r="L5" s="272" t="s">
        <v>135</v>
      </c>
      <c r="M5" s="273" t="s">
        <v>136</v>
      </c>
      <c r="N5" s="273" t="s">
        <v>137</v>
      </c>
      <c r="O5" s="274" t="s">
        <v>153</v>
      </c>
      <c r="P5" s="275" t="s">
        <v>135</v>
      </c>
      <c r="Q5" s="273" t="s">
        <v>136</v>
      </c>
      <c r="R5" s="273" t="s">
        <v>137</v>
      </c>
      <c r="S5" s="274" t="s">
        <v>153</v>
      </c>
    </row>
    <row r="6" spans="1:19" x14ac:dyDescent="0.25">
      <c r="A6" s="269">
        <v>1</v>
      </c>
      <c r="B6" s="270" t="s">
        <v>163</v>
      </c>
      <c r="C6" s="279"/>
      <c r="D6" s="323" t="s">
        <v>1</v>
      </c>
      <c r="E6" s="324"/>
      <c r="F6" s="324"/>
      <c r="G6" s="325"/>
      <c r="H6" s="323" t="s">
        <v>19</v>
      </c>
      <c r="I6" s="324"/>
      <c r="J6" s="324"/>
      <c r="K6" s="325"/>
      <c r="L6" s="323" t="s">
        <v>20</v>
      </c>
      <c r="M6" s="324"/>
      <c r="N6" s="324"/>
      <c r="O6" s="325"/>
      <c r="P6" s="326" t="s">
        <v>21</v>
      </c>
      <c r="Q6" s="324"/>
      <c r="R6" s="324"/>
      <c r="S6" s="325"/>
    </row>
    <row r="7" spans="1:19" x14ac:dyDescent="0.25">
      <c r="A7" s="262">
        <f>A6+1</f>
        <v>2</v>
      </c>
      <c r="B7" s="263" t="s">
        <v>155</v>
      </c>
      <c r="C7" s="280" t="s">
        <v>138</v>
      </c>
      <c r="D7" s="265">
        <f>'Residential Detail'!$D$51</f>
        <v>137.72141752320002</v>
      </c>
      <c r="E7" s="266">
        <f>'Residential Detail'!$F$51</f>
        <v>137.25250892640003</v>
      </c>
      <c r="F7" s="266">
        <f>E7-D7</f>
        <v>-0.46890859679999153</v>
      </c>
      <c r="G7" s="267">
        <f>F7/D7</f>
        <v>-3.4047616211981043E-3</v>
      </c>
      <c r="H7" s="265">
        <f>'Residential Detail'!$I$51</f>
        <v>140.9619049632</v>
      </c>
      <c r="I7" s="266">
        <f>'Residential Detail'!$K$51</f>
        <v>137.25250892640003</v>
      </c>
      <c r="J7" s="266">
        <f>I7-H7</f>
        <v>-3.7093960367999728</v>
      </c>
      <c r="K7" s="267">
        <f>J7/H7</f>
        <v>-2.6314883001675952E-2</v>
      </c>
      <c r="L7" s="265">
        <f>'Residential Detail'!$N$51</f>
        <v>142.10772713279999</v>
      </c>
      <c r="M7" s="266">
        <f>'Residential Detail'!$P$51</f>
        <v>137.57794892639998</v>
      </c>
      <c r="N7" s="266">
        <f>M7-L7</f>
        <v>-4.5297782064000103</v>
      </c>
      <c r="O7" s="267">
        <f>N7/L7</f>
        <v>-3.1875664313221488E-2</v>
      </c>
      <c r="P7" s="268">
        <f>'Residential Detail'!$S$51</f>
        <v>145.02992629882723</v>
      </c>
      <c r="Q7" s="266">
        <f>'Residential Detail'!$U$51</f>
        <v>139.12378892640001</v>
      </c>
      <c r="R7" s="266">
        <f>Q7-P7</f>
        <v>-5.9061373724272244</v>
      </c>
      <c r="S7" s="267">
        <f>R7/P7</f>
        <v>-4.072357701029173E-2</v>
      </c>
    </row>
    <row r="8" spans="1:19" x14ac:dyDescent="0.25">
      <c r="A8" s="234">
        <f t="shared" ref="A8:A14" si="0">A7+1</f>
        <v>3</v>
      </c>
      <c r="B8" s="1" t="s">
        <v>162</v>
      </c>
      <c r="C8" s="40" t="s">
        <v>138</v>
      </c>
      <c r="D8" s="260">
        <f>'Residential Detail'!$D$492</f>
        <v>54.897853669343988</v>
      </c>
      <c r="E8" s="7">
        <f>'Residential Detail'!$F$492</f>
        <v>54.176733783287993</v>
      </c>
      <c r="F8" s="7">
        <f t="shared" ref="F8:F22" si="1">E8-D8</f>
        <v>-0.72111988605599464</v>
      </c>
      <c r="G8" s="253">
        <f t="shared" ref="G8:G22" si="2">F8/D8</f>
        <v>-1.3135666293975383E-2</v>
      </c>
      <c r="H8" s="260">
        <f>'Residential Detail'!$I$492</f>
        <v>53.995484214144</v>
      </c>
      <c r="I8" s="7">
        <f>'Residential Detail'!$K$492</f>
        <v>54.176733783287993</v>
      </c>
      <c r="J8" s="7">
        <f t="shared" ref="J8:J22" si="3">I8-H8</f>
        <v>0.18124956914399348</v>
      </c>
      <c r="K8" s="253">
        <f t="shared" ref="K8:K22" si="4">J8/H8</f>
        <v>3.3567542134665318E-3</v>
      </c>
      <c r="L8" s="260">
        <f>'Residential Detail'!$N$492</f>
        <v>52.465069354176009</v>
      </c>
      <c r="M8" s="7">
        <f>'Residential Detail'!$P$492</f>
        <v>54.272738583287996</v>
      </c>
      <c r="N8" s="7">
        <f t="shared" ref="N8:N22" si="5">M8-L8</f>
        <v>1.8076692291119869</v>
      </c>
      <c r="O8" s="253">
        <f t="shared" ref="O8:O22" si="6">N8/L8</f>
        <v>3.4454719137202543E-2</v>
      </c>
      <c r="P8" s="113">
        <f>'Residential Detail'!$S$492</f>
        <v>52.338187308154033</v>
      </c>
      <c r="Q8" s="7">
        <f>'Residential Detail'!$U$492</f>
        <v>54.728761383288003</v>
      </c>
      <c r="R8" s="7">
        <f t="shared" ref="R8:R22" si="7">Q8-P8</f>
        <v>2.3905740751339692</v>
      </c>
      <c r="S8" s="253">
        <f t="shared" ref="S8:S22" si="8">R8/P8</f>
        <v>4.5675522941955794E-2</v>
      </c>
    </row>
    <row r="9" spans="1:19" x14ac:dyDescent="0.25">
      <c r="A9" s="234">
        <f t="shared" si="0"/>
        <v>4</v>
      </c>
      <c r="B9" s="1" t="s">
        <v>156</v>
      </c>
      <c r="C9" s="40" t="s">
        <v>138</v>
      </c>
      <c r="D9" s="260">
        <f>'Residential Detail'!$D$114</f>
        <v>35.279639690400003</v>
      </c>
      <c r="E9" s="7">
        <f>'Residential Detail'!$F$114</f>
        <v>33.752533567724996</v>
      </c>
      <c r="F9" s="7">
        <f t="shared" si="1"/>
        <v>-1.5271061226750078</v>
      </c>
      <c r="G9" s="253">
        <f t="shared" si="2"/>
        <v>-4.3285763008814142E-2</v>
      </c>
      <c r="H9" s="260">
        <f>'Residential Detail'!$I$114</f>
        <v>33.5045068704</v>
      </c>
      <c r="I9" s="7">
        <f>'Residential Detail'!$K$114</f>
        <v>33.752533567724996</v>
      </c>
      <c r="J9" s="7">
        <f t="shared" si="3"/>
        <v>0.24802669732499538</v>
      </c>
      <c r="K9" s="253">
        <f t="shared" si="4"/>
        <v>7.4027860873880774E-3</v>
      </c>
      <c r="L9" s="260">
        <f>'Residential Detail'!$N$114</f>
        <v>33.790114641599999</v>
      </c>
      <c r="M9" s="7">
        <f>'Residential Detail'!$P$114</f>
        <v>33.793213567724997</v>
      </c>
      <c r="N9" s="7">
        <f t="shared" si="5"/>
        <v>3.0989261249985134E-3</v>
      </c>
      <c r="O9" s="253">
        <f t="shared" si="6"/>
        <v>9.1711027259532729E-5</v>
      </c>
      <c r="P9" s="113">
        <f>'Residential Detail'!$S$114</f>
        <v>33.016349537353413</v>
      </c>
      <c r="Q9" s="7">
        <f>'Residential Detail'!$U$114</f>
        <v>33.986443567724997</v>
      </c>
      <c r="R9" s="7">
        <f t="shared" si="7"/>
        <v>0.97009403037158393</v>
      </c>
      <c r="S9" s="253">
        <f t="shared" si="8"/>
        <v>2.9382231650838846E-2</v>
      </c>
    </row>
    <row r="10" spans="1:19" x14ac:dyDescent="0.25">
      <c r="A10" s="234">
        <f t="shared" si="0"/>
        <v>5</v>
      </c>
      <c r="B10" s="1" t="s">
        <v>157</v>
      </c>
      <c r="C10" s="40" t="s">
        <v>138</v>
      </c>
      <c r="D10" s="260">
        <f>'Residential Detail'!$D$177</f>
        <v>56.946689225999997</v>
      </c>
      <c r="E10" s="7">
        <f>'Residential Detail'!$F$177</f>
        <v>56.238898414499999</v>
      </c>
      <c r="F10" s="7">
        <f t="shared" si="1"/>
        <v>-0.70779081149999712</v>
      </c>
      <c r="G10" s="253">
        <f t="shared" si="2"/>
        <v>-1.2429007219208857E-2</v>
      </c>
      <c r="H10" s="260">
        <f>'Residential Detail'!$I$177</f>
        <v>56.144632176000002</v>
      </c>
      <c r="I10" s="7">
        <f>'Residential Detail'!$K$177</f>
        <v>56.238898414499999</v>
      </c>
      <c r="J10" s="7">
        <f t="shared" si="3"/>
        <v>9.4266238499997712E-2</v>
      </c>
      <c r="K10" s="253">
        <f t="shared" si="4"/>
        <v>1.6789893324885554E-3</v>
      </c>
      <c r="L10" s="260">
        <f>'Residential Detail'!$N$177</f>
        <v>54.631421603999996</v>
      </c>
      <c r="M10" s="7">
        <f>'Residential Detail'!$P$177</f>
        <v>56.340598414499993</v>
      </c>
      <c r="N10" s="7">
        <f t="shared" si="5"/>
        <v>1.7091768104999971</v>
      </c>
      <c r="O10" s="253">
        <f t="shared" si="6"/>
        <v>3.1285600123846215E-2</v>
      </c>
      <c r="P10" s="113">
        <f>'Residential Detail'!$S$177</f>
        <v>54.578458843383508</v>
      </c>
      <c r="Q10" s="7">
        <f>'Residential Detail'!$U$177</f>
        <v>56.8236734145</v>
      </c>
      <c r="R10" s="7">
        <f t="shared" si="7"/>
        <v>2.2452145711164917</v>
      </c>
      <c r="S10" s="253">
        <f t="shared" si="8"/>
        <v>4.1137375783352241E-2</v>
      </c>
    </row>
    <row r="11" spans="1:19" s="197" customFormat="1" x14ac:dyDescent="0.25">
      <c r="A11" s="234">
        <f t="shared" si="0"/>
        <v>6</v>
      </c>
      <c r="B11" s="1" t="s">
        <v>158</v>
      </c>
      <c r="C11" s="40" t="s">
        <v>138</v>
      </c>
      <c r="D11" s="260">
        <f>'Residential Detail'!$D$240</f>
        <v>93.533038452</v>
      </c>
      <c r="E11" s="7">
        <f>'Residential Detail'!$F$240</f>
        <v>93.063266828999986</v>
      </c>
      <c r="F11" s="7">
        <f t="shared" si="1"/>
        <v>-0.46977162300001396</v>
      </c>
      <c r="G11" s="253">
        <f t="shared" si="2"/>
        <v>-5.0225207132674832E-3</v>
      </c>
      <c r="H11" s="260">
        <f>'Residential Detail'!$I$240</f>
        <v>94.522274352000011</v>
      </c>
      <c r="I11" s="7">
        <f>'Residential Detail'!$K$240</f>
        <v>93.063266828999986</v>
      </c>
      <c r="J11" s="7">
        <f t="shared" si="3"/>
        <v>-1.4590075230000252</v>
      </c>
      <c r="K11" s="253">
        <f t="shared" si="4"/>
        <v>-1.5435594763269191E-2</v>
      </c>
      <c r="L11" s="260">
        <f>'Residential Detail'!$N$240</f>
        <v>93.316283207999987</v>
      </c>
      <c r="M11" s="7">
        <f>'Residential Detail'!$P$240</f>
        <v>93.266666828999988</v>
      </c>
      <c r="N11" s="7">
        <f t="shared" si="5"/>
        <v>-4.9616378999999711E-2</v>
      </c>
      <c r="O11" s="253">
        <f t="shared" si="6"/>
        <v>-5.3170119184243407E-4</v>
      </c>
      <c r="P11" s="113">
        <f>'Residential Detail'!$S$240</f>
        <v>94.583307686767029</v>
      </c>
      <c r="Q11" s="7">
        <f>'Residential Detail'!$U$240</f>
        <v>94.232816829000001</v>
      </c>
      <c r="R11" s="7">
        <f t="shared" si="7"/>
        <v>-0.35049085776702782</v>
      </c>
      <c r="S11" s="253">
        <f t="shared" si="8"/>
        <v>-3.7056312190704272E-3</v>
      </c>
    </row>
    <row r="12" spans="1:19" s="197" customFormat="1" x14ac:dyDescent="0.25">
      <c r="A12" s="234">
        <f t="shared" si="0"/>
        <v>7</v>
      </c>
      <c r="B12" s="1" t="s">
        <v>159</v>
      </c>
      <c r="C12" s="40" t="s">
        <v>138</v>
      </c>
      <c r="D12" s="260">
        <f>'Residential Detail'!$D$303</f>
        <v>166.70573690400002</v>
      </c>
      <c r="E12" s="7">
        <f>'Residential Detail'!$F$303</f>
        <v>166.71200365800001</v>
      </c>
      <c r="F12" s="7">
        <f t="shared" si="1"/>
        <v>6.2667539999949895E-3</v>
      </c>
      <c r="G12" s="253">
        <f t="shared" si="2"/>
        <v>3.7591711697383237E-5</v>
      </c>
      <c r="H12" s="260">
        <f>'Residential Detail'!$I$303</f>
        <v>171.277558704</v>
      </c>
      <c r="I12" s="7">
        <f>'Residential Detail'!$K$303</f>
        <v>166.71200365800001</v>
      </c>
      <c r="J12" s="7">
        <f t="shared" si="3"/>
        <v>-4.5655550459999859</v>
      </c>
      <c r="K12" s="253">
        <f t="shared" si="4"/>
        <v>-2.6655885806325205E-2</v>
      </c>
      <c r="L12" s="260">
        <f>'Residential Detail'!$N$303</f>
        <v>170.686006416</v>
      </c>
      <c r="M12" s="7">
        <f>'Residential Detail'!$P$303</f>
        <v>167.11880365799999</v>
      </c>
      <c r="N12" s="7">
        <f t="shared" si="5"/>
        <v>-3.5672027580000076</v>
      </c>
      <c r="O12" s="253">
        <f t="shared" si="6"/>
        <v>-2.0899210385800088E-2</v>
      </c>
      <c r="P12" s="113">
        <f>'Residential Detail'!$S$303</f>
        <v>174.59300537353406</v>
      </c>
      <c r="Q12" s="7">
        <f>'Residential Detail'!$U$303</f>
        <v>169.05110365799999</v>
      </c>
      <c r="R12" s="7">
        <f t="shared" si="7"/>
        <v>-5.5419017155340669</v>
      </c>
      <c r="S12" s="253">
        <f t="shared" si="8"/>
        <v>-3.1741831258803366E-2</v>
      </c>
    </row>
    <row r="13" spans="1:19" x14ac:dyDescent="0.25">
      <c r="A13" s="234">
        <f t="shared" si="0"/>
        <v>8</v>
      </c>
      <c r="B13" s="1" t="s">
        <v>160</v>
      </c>
      <c r="C13" s="40" t="s">
        <v>138</v>
      </c>
      <c r="D13" s="260">
        <f>'Residential Detail'!$D$366</f>
        <v>239.87843535599995</v>
      </c>
      <c r="E13" s="7">
        <f>'Residential Detail'!$F$366</f>
        <v>240.36074048699996</v>
      </c>
      <c r="F13" s="7">
        <f t="shared" si="1"/>
        <v>0.48230513100000394</v>
      </c>
      <c r="G13" s="253">
        <f t="shared" si="2"/>
        <v>2.0106231320219433E-3</v>
      </c>
      <c r="H13" s="260">
        <f>'Residential Detail'!$I$366</f>
        <v>248.03284305599996</v>
      </c>
      <c r="I13" s="7">
        <f>'Residential Detail'!$K$366</f>
        <v>240.36074048699996</v>
      </c>
      <c r="J13" s="7">
        <f t="shared" si="3"/>
        <v>-7.6721025690000033</v>
      </c>
      <c r="K13" s="253">
        <f t="shared" si="4"/>
        <v>-3.0931801105339198E-2</v>
      </c>
      <c r="L13" s="260">
        <f>'Residential Detail'!$N$366</f>
        <v>248.05572962399995</v>
      </c>
      <c r="M13" s="7">
        <f>'Residential Detail'!$P$366</f>
        <v>240.97094048699995</v>
      </c>
      <c r="N13" s="7">
        <f t="shared" si="5"/>
        <v>-7.0847891370000013</v>
      </c>
      <c r="O13" s="253">
        <f t="shared" si="6"/>
        <v>-2.8561279950029956E-2</v>
      </c>
      <c r="P13" s="113">
        <f>'Residential Detail'!$S$366</f>
        <v>254.60270306030105</v>
      </c>
      <c r="Q13" s="7">
        <f>'Residential Detail'!$U$366</f>
        <v>243.86939048699998</v>
      </c>
      <c r="R13" s="7">
        <f t="shared" si="7"/>
        <v>-10.733312573301077</v>
      </c>
      <c r="S13" s="253">
        <f t="shared" si="8"/>
        <v>-4.2157103771042682E-2</v>
      </c>
    </row>
    <row r="14" spans="1:19" x14ac:dyDescent="0.25">
      <c r="A14" s="234">
        <f t="shared" si="0"/>
        <v>9</v>
      </c>
      <c r="B14" s="1" t="s">
        <v>161</v>
      </c>
      <c r="C14" s="40" t="s">
        <v>138</v>
      </c>
      <c r="D14" s="260">
        <f>'Residential Detail'!$D$429</f>
        <v>313.05113380799997</v>
      </c>
      <c r="E14" s="7">
        <f>'Residential Detail'!$F$429</f>
        <v>314.00947731600002</v>
      </c>
      <c r="F14" s="7">
        <f t="shared" si="1"/>
        <v>0.95834350800004131</v>
      </c>
      <c r="G14" s="253">
        <f t="shared" si="2"/>
        <v>3.0613002302295159E-3</v>
      </c>
      <c r="H14" s="260">
        <f>'Residential Detail'!$I$429</f>
        <v>324.78812740799998</v>
      </c>
      <c r="I14" s="7">
        <f>'Residential Detail'!$K$429</f>
        <v>314.00947731600002</v>
      </c>
      <c r="J14" s="7">
        <f t="shared" si="3"/>
        <v>-10.778650091999964</v>
      </c>
      <c r="K14" s="253">
        <f t="shared" si="4"/>
        <v>-3.3186712143759449E-2</v>
      </c>
      <c r="L14" s="260">
        <f>'Residential Detail'!$N$429</f>
        <v>325.42545283199996</v>
      </c>
      <c r="M14" s="7">
        <f>'Residential Detail'!$P$429</f>
        <v>314.82307731599997</v>
      </c>
      <c r="N14" s="7">
        <f t="shared" si="5"/>
        <v>-10.602375515999995</v>
      </c>
      <c r="O14" s="253">
        <f t="shared" si="6"/>
        <v>-3.25800438279591E-2</v>
      </c>
      <c r="P14" s="113">
        <f>'Residential Detail'!$S$429</f>
        <v>334.61240074706808</v>
      </c>
      <c r="Q14" s="7">
        <f>'Residential Detail'!$U$429</f>
        <v>318.68767731600002</v>
      </c>
      <c r="R14" s="7">
        <f t="shared" si="7"/>
        <v>-15.92472343106806</v>
      </c>
      <c r="S14" s="253">
        <f t="shared" si="8"/>
        <v>-4.7591551883653833E-2</v>
      </c>
    </row>
    <row r="15" spans="1:19" x14ac:dyDescent="0.25">
      <c r="A15" s="262">
        <f>A14+1</f>
        <v>10</v>
      </c>
      <c r="B15" s="263" t="s">
        <v>155</v>
      </c>
      <c r="C15" s="280" t="s">
        <v>139</v>
      </c>
      <c r="D15" s="265">
        <f>'Residential Detail'!$D$59</f>
        <v>140.32493752320002</v>
      </c>
      <c r="E15" s="266">
        <f>'Residential Detail'!$F$59</f>
        <v>140.01874892640001</v>
      </c>
      <c r="F15" s="266">
        <f t="shared" si="1"/>
        <v>-0.30618859680001265</v>
      </c>
      <c r="G15" s="267">
        <f t="shared" si="2"/>
        <v>-2.1819970292122188E-3</v>
      </c>
      <c r="H15" s="265">
        <f>'Residential Detail'!$I$59</f>
        <v>140.31102496320003</v>
      </c>
      <c r="I15" s="266">
        <f>'Residential Detail'!$K$59</f>
        <v>140.01874892640001</v>
      </c>
      <c r="J15" s="266">
        <f t="shared" si="3"/>
        <v>-0.29227603680001835</v>
      </c>
      <c r="K15" s="267">
        <f t="shared" si="4"/>
        <v>-2.0830582406241764E-3</v>
      </c>
      <c r="L15" s="265">
        <f>'Residential Detail'!$N$59</f>
        <v>148.53516713280001</v>
      </c>
      <c r="M15" s="266">
        <f>'Residential Detail'!$P$59</f>
        <v>147.0970689264</v>
      </c>
      <c r="N15" s="266">
        <f t="shared" si="5"/>
        <v>-1.4380982064000136</v>
      </c>
      <c r="O15" s="267">
        <f t="shared" si="6"/>
        <v>-9.6818701871070108E-3</v>
      </c>
      <c r="P15" s="268">
        <f>'Residential Detail'!$S$59</f>
        <v>147.30800629882722</v>
      </c>
      <c r="Q15" s="266">
        <f>'Residential Detail'!$U$59</f>
        <v>144.41218892640001</v>
      </c>
      <c r="R15" s="266">
        <f t="shared" si="7"/>
        <v>-2.8958173724272172</v>
      </c>
      <c r="S15" s="267">
        <f t="shared" si="8"/>
        <v>-1.9658248354490641E-2</v>
      </c>
    </row>
    <row r="16" spans="1:19" x14ac:dyDescent="0.25">
      <c r="A16" s="234">
        <f t="shared" ref="A16:A22" si="9">A15+1</f>
        <v>11</v>
      </c>
      <c r="B16" s="1" t="s">
        <v>162</v>
      </c>
      <c r="C16" s="40" t="s">
        <v>139</v>
      </c>
      <c r="D16" s="260">
        <f>'Residential Detail'!$D$500</f>
        <v>55.665892069343997</v>
      </c>
      <c r="E16" s="7">
        <f>'Residential Detail'!$F$500</f>
        <v>54.992774583287996</v>
      </c>
      <c r="F16" s="7">
        <f t="shared" si="1"/>
        <v>-0.6731174860560003</v>
      </c>
      <c r="G16" s="253">
        <f t="shared" si="2"/>
        <v>-1.2092099147849563E-2</v>
      </c>
      <c r="H16" s="260">
        <f>'Residential Detail'!$I$500</f>
        <v>53.803474614144001</v>
      </c>
      <c r="I16" s="7">
        <f>'Residential Detail'!$K$500</f>
        <v>54.992774583287996</v>
      </c>
      <c r="J16" s="7">
        <f t="shared" si="3"/>
        <v>1.1892999691439954</v>
      </c>
      <c r="K16" s="253">
        <f t="shared" si="4"/>
        <v>2.2104519785630147E-2</v>
      </c>
      <c r="L16" s="260">
        <f>'Residential Detail'!$N$500</f>
        <v>52.369064554176006</v>
      </c>
      <c r="M16" s="7">
        <f>'Residential Detail'!$P$500</f>
        <v>55.088779383287999</v>
      </c>
      <c r="N16" s="7">
        <f t="shared" si="5"/>
        <v>2.719714829111993</v>
      </c>
      <c r="O16" s="253">
        <f t="shared" si="6"/>
        <v>5.1933614859559642E-2</v>
      </c>
      <c r="P16" s="113">
        <f>'Residential Detail'!$S$500</f>
        <v>53.010220908154032</v>
      </c>
      <c r="Q16" s="7">
        <f>'Residential Detail'!$U$500</f>
        <v>56.288839383287993</v>
      </c>
      <c r="R16" s="7">
        <f t="shared" si="7"/>
        <v>3.2786184751339604</v>
      </c>
      <c r="S16" s="253">
        <f t="shared" si="8"/>
        <v>6.1848798570647782E-2</v>
      </c>
    </row>
    <row r="17" spans="1:19" x14ac:dyDescent="0.25">
      <c r="A17" s="234">
        <f t="shared" si="9"/>
        <v>12</v>
      </c>
      <c r="B17" s="1" t="s">
        <v>156</v>
      </c>
      <c r="C17" s="40" t="s">
        <v>139</v>
      </c>
      <c r="D17" s="260">
        <f>'Residential Detail'!$D$122</f>
        <v>35.605079690400004</v>
      </c>
      <c r="E17" s="7">
        <f>'Residential Detail'!$F$122</f>
        <v>34.098313567725008</v>
      </c>
      <c r="F17" s="7">
        <f t="shared" si="1"/>
        <v>-1.5067661226749962</v>
      </c>
      <c r="G17" s="253">
        <f t="shared" si="2"/>
        <v>-4.2318852696775655E-2</v>
      </c>
      <c r="H17" s="260">
        <f>'Residential Detail'!$I$122</f>
        <v>33.423146870400004</v>
      </c>
      <c r="I17" s="7">
        <f>'Residential Detail'!$K$122</f>
        <v>34.098313567725008</v>
      </c>
      <c r="J17" s="7">
        <f t="shared" si="3"/>
        <v>0.6751666973250039</v>
      </c>
      <c r="K17" s="253">
        <f t="shared" si="4"/>
        <v>2.0200572374079497E-2</v>
      </c>
      <c r="L17" s="260">
        <f>'Residential Detail'!$N$122</f>
        <v>33.749434641600004</v>
      </c>
      <c r="M17" s="7">
        <f>'Residential Detail'!$P$122</f>
        <v>34.138993567725002</v>
      </c>
      <c r="N17" s="7">
        <f t="shared" si="5"/>
        <v>0.3895589261249981</v>
      </c>
      <c r="O17" s="253">
        <f t="shared" si="6"/>
        <v>1.1542680055588918E-2</v>
      </c>
      <c r="P17" s="113">
        <f>'Residential Detail'!$S$122</f>
        <v>33.301109537353412</v>
      </c>
      <c r="Q17" s="7">
        <f>'Residential Detail'!$U$122</f>
        <v>34.647493567725007</v>
      </c>
      <c r="R17" s="7">
        <f t="shared" si="7"/>
        <v>1.3463840303715955</v>
      </c>
      <c r="S17" s="253">
        <f t="shared" si="8"/>
        <v>4.0430605738868079E-2</v>
      </c>
    </row>
    <row r="18" spans="1:19" x14ac:dyDescent="0.25">
      <c r="A18" s="234">
        <f t="shared" si="9"/>
        <v>13</v>
      </c>
      <c r="B18" s="1" t="s">
        <v>157</v>
      </c>
      <c r="C18" s="40" t="s">
        <v>139</v>
      </c>
      <c r="D18" s="260">
        <f>'Residential Detail'!$D$185</f>
        <v>57.760289225999998</v>
      </c>
      <c r="E18" s="7">
        <f>'Residential Detail'!$F$185</f>
        <v>57.103348414499997</v>
      </c>
      <c r="F18" s="7">
        <f t="shared" si="1"/>
        <v>-0.65694081150000017</v>
      </c>
      <c r="G18" s="253">
        <f t="shared" si="2"/>
        <v>-1.1373572056219678E-2</v>
      </c>
      <c r="H18" s="260">
        <f>'Residential Detail'!$I$185</f>
        <v>55.941232176</v>
      </c>
      <c r="I18" s="7">
        <f>'Residential Detail'!$K$185</f>
        <v>57.103348414499997</v>
      </c>
      <c r="J18" s="7">
        <f t="shared" si="3"/>
        <v>1.1621162384999977</v>
      </c>
      <c r="K18" s="253">
        <f t="shared" si="4"/>
        <v>2.0773876321561805E-2</v>
      </c>
      <c r="L18" s="260">
        <f>'Residential Detail'!$N$185</f>
        <v>54.529721604000002</v>
      </c>
      <c r="M18" s="7">
        <f>'Residential Detail'!$P$185</f>
        <v>57.205048414499998</v>
      </c>
      <c r="N18" s="7">
        <f t="shared" si="5"/>
        <v>2.6753268104999961</v>
      </c>
      <c r="O18" s="253">
        <f t="shared" si="6"/>
        <v>4.9061809446387286E-2</v>
      </c>
      <c r="P18" s="113">
        <f>'Residential Detail'!$S$185</f>
        <v>55.290358843383501</v>
      </c>
      <c r="Q18" s="7">
        <f>'Residential Detail'!$U$185</f>
        <v>58.476298414499993</v>
      </c>
      <c r="R18" s="7">
        <f t="shared" si="7"/>
        <v>3.1859395711164922</v>
      </c>
      <c r="S18" s="253">
        <f t="shared" si="8"/>
        <v>5.762197312086622E-2</v>
      </c>
    </row>
    <row r="19" spans="1:19" x14ac:dyDescent="0.25">
      <c r="A19" s="234">
        <f t="shared" si="9"/>
        <v>14</v>
      </c>
      <c r="B19" s="1" t="s">
        <v>158</v>
      </c>
      <c r="C19" s="40" t="s">
        <v>139</v>
      </c>
      <c r="D19" s="260">
        <f>'Residential Detail'!$D$248</f>
        <v>95.160238451999987</v>
      </c>
      <c r="E19" s="7">
        <f>'Residential Detail'!$F$248</f>
        <v>94.792166828999996</v>
      </c>
      <c r="F19" s="7">
        <f t="shared" si="1"/>
        <v>-0.36807162299999163</v>
      </c>
      <c r="G19" s="253">
        <f t="shared" si="2"/>
        <v>-3.8679140467439196E-3</v>
      </c>
      <c r="H19" s="260">
        <f>'Residential Detail'!$I$248</f>
        <v>94.115474351999993</v>
      </c>
      <c r="I19" s="7">
        <f>'Residential Detail'!$K$248</f>
        <v>94.792166828999996</v>
      </c>
      <c r="J19" s="7">
        <f t="shared" si="3"/>
        <v>0.67669247700000312</v>
      </c>
      <c r="K19" s="253">
        <f t="shared" si="4"/>
        <v>7.190023549890583E-3</v>
      </c>
      <c r="L19" s="260">
        <f>'Residential Detail'!$N$248</f>
        <v>93.112883208</v>
      </c>
      <c r="M19" s="7">
        <f>'Residential Detail'!$P$248</f>
        <v>94.995566828999983</v>
      </c>
      <c r="N19" s="7">
        <f t="shared" si="5"/>
        <v>1.882683620999984</v>
      </c>
      <c r="O19" s="253">
        <f t="shared" si="6"/>
        <v>2.0219367676483128E-2</v>
      </c>
      <c r="P19" s="113">
        <f>'Residential Detail'!$S$248</f>
        <v>96.007107686767029</v>
      </c>
      <c r="Q19" s="7">
        <f>'Residential Detail'!$U$248</f>
        <v>97.538066828999987</v>
      </c>
      <c r="R19" s="7">
        <f t="shared" si="7"/>
        <v>1.5309591422329589</v>
      </c>
      <c r="S19" s="253">
        <f t="shared" si="8"/>
        <v>1.5946310425555877E-2</v>
      </c>
    </row>
    <row r="20" spans="1:19" x14ac:dyDescent="0.25">
      <c r="A20" s="234">
        <f t="shared" si="9"/>
        <v>15</v>
      </c>
      <c r="B20" s="1" t="s">
        <v>159</v>
      </c>
      <c r="C20" s="40" t="s">
        <v>139</v>
      </c>
      <c r="D20" s="260">
        <f>'Residential Detail'!$D$311</f>
        <v>169.96013690400002</v>
      </c>
      <c r="E20" s="7">
        <f>'Residential Detail'!$F$311</f>
        <v>170.16980365800001</v>
      </c>
      <c r="F20" s="7">
        <f t="shared" si="1"/>
        <v>0.2096667539999828</v>
      </c>
      <c r="G20" s="253">
        <f t="shared" si="2"/>
        <v>1.2336231178632822E-3</v>
      </c>
      <c r="H20" s="260">
        <f>'Residential Detail'!$I$311</f>
        <v>170.46395870399999</v>
      </c>
      <c r="I20" s="7">
        <f>'Residential Detail'!$K$311</f>
        <v>170.16980365800001</v>
      </c>
      <c r="J20" s="7">
        <f t="shared" si="3"/>
        <v>-0.29415504599998599</v>
      </c>
      <c r="K20" s="253">
        <f t="shared" si="4"/>
        <v>-1.7256143071906938E-3</v>
      </c>
      <c r="L20" s="260">
        <f>'Residential Detail'!$N$311</f>
        <v>170.27920641599997</v>
      </c>
      <c r="M20" s="7">
        <f>'Residential Detail'!$P$311</f>
        <v>170.57660365799998</v>
      </c>
      <c r="N20" s="7">
        <f t="shared" si="5"/>
        <v>0.2973972420000166</v>
      </c>
      <c r="O20" s="253">
        <f t="shared" si="6"/>
        <v>1.7465270614044407E-3</v>
      </c>
      <c r="P20" s="113">
        <f>'Residential Detail'!$S$311</f>
        <v>177.44060537353403</v>
      </c>
      <c r="Q20" s="7">
        <f>'Residential Detail'!$U$311</f>
        <v>175.66160365799999</v>
      </c>
      <c r="R20" s="7">
        <f t="shared" si="7"/>
        <v>-1.7790017155340365</v>
      </c>
      <c r="S20" s="253">
        <f t="shared" si="8"/>
        <v>-1.0025899718889156E-2</v>
      </c>
    </row>
    <row r="21" spans="1:19" x14ac:dyDescent="0.25">
      <c r="A21" s="234">
        <f t="shared" si="9"/>
        <v>16</v>
      </c>
      <c r="B21" s="1" t="s">
        <v>160</v>
      </c>
      <c r="C21" s="40" t="s">
        <v>139</v>
      </c>
      <c r="D21" s="260">
        <f>'Residential Detail'!$D$374</f>
        <v>244.760035356</v>
      </c>
      <c r="E21" s="7">
        <f>'Residential Detail'!$F$374</f>
        <v>245.54744048699999</v>
      </c>
      <c r="F21" s="7">
        <f t="shared" si="1"/>
        <v>0.78740513099998566</v>
      </c>
      <c r="G21" s="253">
        <f t="shared" si="2"/>
        <v>3.2170494249795152E-3</v>
      </c>
      <c r="H21" s="260">
        <f>'Residential Detail'!$I$374</f>
        <v>246.81244305600001</v>
      </c>
      <c r="I21" s="7">
        <f>'Residential Detail'!$K$374</f>
        <v>245.54744048699999</v>
      </c>
      <c r="J21" s="7">
        <f t="shared" si="3"/>
        <v>-1.2650025690000177</v>
      </c>
      <c r="K21" s="253">
        <f t="shared" si="4"/>
        <v>-5.1253597806371438E-3</v>
      </c>
      <c r="L21" s="260">
        <f>'Residential Detail'!$N$374</f>
        <v>247.44552962399996</v>
      </c>
      <c r="M21" s="7">
        <f>'Residential Detail'!$P$374</f>
        <v>246.15764048699995</v>
      </c>
      <c r="N21" s="7">
        <f t="shared" si="5"/>
        <v>-1.2878891370000076</v>
      </c>
      <c r="O21" s="253">
        <f t="shared" si="6"/>
        <v>-5.2047379435667691E-3</v>
      </c>
      <c r="P21" s="113">
        <f>'Residential Detail'!$S$374</f>
        <v>258.87410306030102</v>
      </c>
      <c r="Q21" s="7">
        <f>'Residential Detail'!$U$374</f>
        <v>253.78514048699998</v>
      </c>
      <c r="R21" s="7">
        <f t="shared" si="7"/>
        <v>-5.0889625733010462</v>
      </c>
      <c r="S21" s="253">
        <f t="shared" si="8"/>
        <v>-1.9658059702154312E-2</v>
      </c>
    </row>
    <row r="22" spans="1:19" x14ac:dyDescent="0.25">
      <c r="A22" s="236">
        <f t="shared" si="9"/>
        <v>17</v>
      </c>
      <c r="B22" s="217" t="s">
        <v>161</v>
      </c>
      <c r="C22" s="281" t="s">
        <v>139</v>
      </c>
      <c r="D22" s="261">
        <f>'Residential Detail'!$D$437</f>
        <v>319.55993380799993</v>
      </c>
      <c r="E22" s="219">
        <f>'Residential Detail'!$F$437</f>
        <v>320.925077316</v>
      </c>
      <c r="F22" s="219">
        <f t="shared" si="1"/>
        <v>1.3651435080000738</v>
      </c>
      <c r="G22" s="231">
        <f t="shared" si="2"/>
        <v>4.2719482750308993E-3</v>
      </c>
      <c r="H22" s="261">
        <f>'Residential Detail'!$I$437</f>
        <v>323.16092740799996</v>
      </c>
      <c r="I22" s="219">
        <f>'Residential Detail'!$K$437</f>
        <v>320.925077316</v>
      </c>
      <c r="J22" s="219">
        <f t="shared" si="3"/>
        <v>-2.2358500919999642</v>
      </c>
      <c r="K22" s="231">
        <f t="shared" si="4"/>
        <v>-6.918689427998637E-3</v>
      </c>
      <c r="L22" s="261">
        <f>'Residential Detail'!$N$437</f>
        <v>324.61185283199995</v>
      </c>
      <c r="M22" s="219">
        <f>'Residential Detail'!$P$437</f>
        <v>321.73867731600001</v>
      </c>
      <c r="N22" s="219">
        <f t="shared" si="5"/>
        <v>-2.8731755159999466</v>
      </c>
      <c r="O22" s="231">
        <f t="shared" si="6"/>
        <v>-8.8511109219629562E-3</v>
      </c>
      <c r="P22" s="258">
        <f>'Residential Detail'!$S$437</f>
        <v>340.30760074706808</v>
      </c>
      <c r="Q22" s="219">
        <f>'Residential Detail'!$U$437</f>
        <v>331.90867731600002</v>
      </c>
      <c r="R22" s="219">
        <f t="shared" si="7"/>
        <v>-8.3989234310680558</v>
      </c>
      <c r="S22" s="231">
        <f t="shared" si="8"/>
        <v>-2.4680387427815677E-2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7"/>
  <sheetViews>
    <sheetView zoomScale="110" zoomScaleNormal="110" workbookViewId="0">
      <pane xSplit="2" ySplit="6" topLeftCell="C22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154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52">
        <v>800</v>
      </c>
      <c r="E7" s="106"/>
      <c r="F7" s="1">
        <f>D7</f>
        <v>800</v>
      </c>
      <c r="G7" s="85"/>
      <c r="H7" s="86"/>
      <c r="I7" s="40">
        <f>D7</f>
        <v>800</v>
      </c>
      <c r="J7" s="106"/>
      <c r="K7" s="1">
        <f>I7</f>
        <v>800</v>
      </c>
      <c r="L7" s="85"/>
      <c r="M7" s="86"/>
      <c r="N7" s="40">
        <f>D7</f>
        <v>800</v>
      </c>
      <c r="O7" s="106"/>
      <c r="P7" s="1">
        <f>N7</f>
        <v>800</v>
      </c>
      <c r="Q7" s="85"/>
      <c r="R7" s="86"/>
      <c r="S7" s="40">
        <f>D7</f>
        <v>800</v>
      </c>
      <c r="T7" s="106"/>
      <c r="U7" s="1">
        <f>S7</f>
        <v>800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40">
        <f>D7*D9</f>
        <v>834.24</v>
      </c>
      <c r="E10" s="106"/>
      <c r="F10" s="1">
        <f>F7*F9</f>
        <v>834.4799999999999</v>
      </c>
      <c r="G10" s="85"/>
      <c r="H10" s="86"/>
      <c r="I10" s="40">
        <f>I7*I9</f>
        <v>848.64</v>
      </c>
      <c r="J10" s="106"/>
      <c r="K10" s="1">
        <f>K7*K9</f>
        <v>834.4799999999999</v>
      </c>
      <c r="L10" s="85"/>
      <c r="M10" s="86"/>
      <c r="N10" s="40">
        <f>N7*N9</f>
        <v>852.96</v>
      </c>
      <c r="O10" s="106"/>
      <c r="P10" s="1">
        <f>P7*P9</f>
        <v>834.4799999999999</v>
      </c>
      <c r="Q10" s="85"/>
      <c r="R10" s="86"/>
      <c r="S10" s="40">
        <f>S7*S9</f>
        <v>846.40000000000009</v>
      </c>
      <c r="T10" s="106"/>
      <c r="U10" s="1">
        <f>U7*U9</f>
        <v>834.4799999999999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40.96</v>
      </c>
      <c r="E12" s="108">
        <f>'General Input'!$B$11</f>
        <v>0.08</v>
      </c>
      <c r="F12" s="7">
        <f>F$7*E12*TOU_OFF</f>
        <v>40.96</v>
      </c>
      <c r="G12" s="85"/>
      <c r="H12" s="84">
        <f>'General Input'!$B$11</f>
        <v>0.08</v>
      </c>
      <c r="I12" s="42">
        <f>I$7*H12*TOU_OFF</f>
        <v>40.96</v>
      </c>
      <c r="J12" s="108">
        <f>'General Input'!$B$11</f>
        <v>0.08</v>
      </c>
      <c r="K12" s="7">
        <f>K$7*J12*TOU_OFF</f>
        <v>40.96</v>
      </c>
      <c r="L12" s="85"/>
      <c r="M12" s="84">
        <f>'General Input'!$B$11</f>
        <v>0.08</v>
      </c>
      <c r="N12" s="42">
        <f>N$7*M12*TOU_OFF</f>
        <v>40.96</v>
      </c>
      <c r="O12" s="108">
        <f>'General Input'!$B$11</f>
        <v>0.08</v>
      </c>
      <c r="P12" s="7">
        <f>P$7*O12*TOU_OFF</f>
        <v>40.96</v>
      </c>
      <c r="Q12" s="85"/>
      <c r="R12" s="84">
        <f>'General Input'!$B$11</f>
        <v>0.08</v>
      </c>
      <c r="S12" s="42">
        <f>S$7*R12*TOU_OFF</f>
        <v>40.96</v>
      </c>
      <c r="T12" s="108">
        <f>'General Input'!$B$11</f>
        <v>0.08</v>
      </c>
      <c r="U12" s="7">
        <f>U$7*T12*TOU_OFF</f>
        <v>40.96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17.567999999999998</v>
      </c>
      <c r="E13" s="108">
        <f>'General Input'!$B$12</f>
        <v>0.122</v>
      </c>
      <c r="F13" s="7">
        <f>F$7*E13*TOU_MID</f>
        <v>17.567999999999998</v>
      </c>
      <c r="G13" s="85"/>
      <c r="H13" s="84">
        <f>'General Input'!$B$12</f>
        <v>0.122</v>
      </c>
      <c r="I13" s="42">
        <f>I$7*H13*TOU_MID</f>
        <v>17.567999999999998</v>
      </c>
      <c r="J13" s="108">
        <f>'General Input'!$B$12</f>
        <v>0.122</v>
      </c>
      <c r="K13" s="7">
        <f>K$7*J13*TOU_MID</f>
        <v>17.567999999999998</v>
      </c>
      <c r="L13" s="85"/>
      <c r="M13" s="84">
        <f>'General Input'!$B$12</f>
        <v>0.122</v>
      </c>
      <c r="N13" s="42">
        <f>N$7*M13*TOU_MID</f>
        <v>17.567999999999998</v>
      </c>
      <c r="O13" s="108">
        <f>'General Input'!$B$12</f>
        <v>0.122</v>
      </c>
      <c r="P13" s="7">
        <f>P$7*O13*TOU_MID</f>
        <v>17.567999999999998</v>
      </c>
      <c r="Q13" s="85"/>
      <c r="R13" s="84">
        <f>'General Input'!$B$12</f>
        <v>0.122</v>
      </c>
      <c r="S13" s="42">
        <f>S$7*R13*TOU_MID</f>
        <v>17.567999999999998</v>
      </c>
      <c r="T13" s="108">
        <f>'General Input'!$B$12</f>
        <v>0.122</v>
      </c>
      <c r="U13" s="7">
        <f>U$7*T13*TOU_MID</f>
        <v>17.567999999999998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23.184000000000001</v>
      </c>
      <c r="E14" s="109">
        <f>'General Input'!$B$13</f>
        <v>0.161</v>
      </c>
      <c r="F14" s="70">
        <f>F$7*E14*TOU_ON</f>
        <v>23.184000000000001</v>
      </c>
      <c r="G14" s="125"/>
      <c r="H14" s="124">
        <f>'General Input'!$B$13</f>
        <v>0.161</v>
      </c>
      <c r="I14" s="69">
        <f>I$7*H14*TOU_ON</f>
        <v>23.184000000000001</v>
      </c>
      <c r="J14" s="109">
        <f>'General Input'!$B$13</f>
        <v>0.161</v>
      </c>
      <c r="K14" s="70">
        <f>K$7*J14*TOU_ON</f>
        <v>23.184000000000001</v>
      </c>
      <c r="L14" s="125"/>
      <c r="M14" s="124">
        <f>'General Input'!$B$13</f>
        <v>0.161</v>
      </c>
      <c r="N14" s="69">
        <f>N$7*M14*TOU_ON</f>
        <v>23.184000000000001</v>
      </c>
      <c r="O14" s="109">
        <f>'General Input'!$B$13</f>
        <v>0.161</v>
      </c>
      <c r="P14" s="70">
        <f>P$7*O14*TOU_ON</f>
        <v>23.184000000000001</v>
      </c>
      <c r="Q14" s="125"/>
      <c r="R14" s="124">
        <f>'General Input'!$B$13</f>
        <v>0.161</v>
      </c>
      <c r="S14" s="69">
        <f>S$7*R14*TOU_ON</f>
        <v>23.184000000000001</v>
      </c>
      <c r="T14" s="109">
        <f>'General Input'!$B$13</f>
        <v>0.161</v>
      </c>
      <c r="U14" s="70">
        <f>U$7*T14*TOU_ON</f>
        <v>23.184000000000001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81.712000000000003</v>
      </c>
      <c r="E15" s="110"/>
      <c r="F15" s="95">
        <f>SUM(F12:F14)</f>
        <v>81.712000000000003</v>
      </c>
      <c r="G15" s="127">
        <f>D15-F15</f>
        <v>0</v>
      </c>
      <c r="H15" s="126"/>
      <c r="I15" s="96">
        <f>SUM(I12:I14)</f>
        <v>81.712000000000003</v>
      </c>
      <c r="J15" s="110"/>
      <c r="K15" s="95">
        <f>SUM(K12:K14)</f>
        <v>81.712000000000003</v>
      </c>
      <c r="L15" s="127">
        <f>I15-K15</f>
        <v>0</v>
      </c>
      <c r="M15" s="126"/>
      <c r="N15" s="96">
        <f>SUM(N12:N14)</f>
        <v>81.712000000000003</v>
      </c>
      <c r="O15" s="110"/>
      <c r="P15" s="95">
        <f>SUM(P12:P14)</f>
        <v>81.712000000000003</v>
      </c>
      <c r="Q15" s="127">
        <f>N15-P15</f>
        <v>0</v>
      </c>
      <c r="R15" s="126"/>
      <c r="S15" s="96">
        <f>SUM(S12:S14)</f>
        <v>81.712000000000003</v>
      </c>
      <c r="T15" s="110"/>
      <c r="U15" s="95">
        <f>SUM(U12:U14)</f>
        <v>81.712000000000003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Approved'!$B$4</f>
        <v>18.98</v>
      </c>
      <c r="D18" s="42">
        <f>C18</f>
        <v>18.98</v>
      </c>
      <c r="E18" s="113">
        <f>'2016 Proposed'!$B$3</f>
        <v>18.98</v>
      </c>
      <c r="F18" s="7">
        <f>E18</f>
        <v>18.98</v>
      </c>
      <c r="G18" s="85"/>
      <c r="H18" s="55">
        <f>'2015 Approved'!$M$4</f>
        <v>14.43</v>
      </c>
      <c r="I18" s="42">
        <f>H18</f>
        <v>14.43</v>
      </c>
      <c r="J18" s="113">
        <f>'2016 Proposed'!$B$3</f>
        <v>18.98</v>
      </c>
      <c r="K18" s="7">
        <f>J18</f>
        <v>18.98</v>
      </c>
      <c r="L18" s="85"/>
      <c r="M18" s="55">
        <f>'2015 Approved'!$T$4</f>
        <v>13.44</v>
      </c>
      <c r="N18" s="42">
        <f>M18</f>
        <v>13.44</v>
      </c>
      <c r="O18" s="113">
        <f>'2016 Proposed'!$B$3</f>
        <v>18.98</v>
      </c>
      <c r="P18" s="7">
        <f>O18</f>
        <v>18.98</v>
      </c>
      <c r="Q18" s="85"/>
      <c r="R18" s="55">
        <f>'2015 Approved'!$X$4</f>
        <v>12.52</v>
      </c>
      <c r="S18" s="42">
        <f>R18</f>
        <v>12.52</v>
      </c>
      <c r="T18" s="113">
        <f>'2016 Proposed'!$B$3</f>
        <v>18.98</v>
      </c>
      <c r="U18" s="7">
        <f>T18</f>
        <v>18.98</v>
      </c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Approved'!$B$5</f>
        <v>0</v>
      </c>
      <c r="D19" s="42">
        <f t="shared" ref="D19:D22" si="1">C19</f>
        <v>0</v>
      </c>
      <c r="E19" s="113">
        <f>'2016 Proposed'!$B$5</f>
        <v>0</v>
      </c>
      <c r="F19" s="7">
        <f t="shared" ref="F19:F22" si="2">E19</f>
        <v>0</v>
      </c>
      <c r="G19" s="85"/>
      <c r="H19" s="55">
        <f>'2015 Approved'!$M$5</f>
        <v>1.23</v>
      </c>
      <c r="I19" s="42">
        <f t="shared" ref="I19:I22" si="3">H19</f>
        <v>1.23</v>
      </c>
      <c r="J19" s="113">
        <f>'2016 Proposed'!$B$5</f>
        <v>0</v>
      </c>
      <c r="K19" s="7">
        <f t="shared" ref="K19:K22" si="4">J19</f>
        <v>0</v>
      </c>
      <c r="L19" s="85"/>
      <c r="M19" s="55">
        <f>'2015 Approved'!$T$5</f>
        <v>1.2</v>
      </c>
      <c r="N19" s="42">
        <f t="shared" ref="N19:N22" si="5">M19</f>
        <v>1.2</v>
      </c>
      <c r="O19" s="113">
        <f>'2016 Proposed'!$B$5</f>
        <v>0</v>
      </c>
      <c r="P19" s="7">
        <f t="shared" ref="P19:P22" si="6">O19</f>
        <v>0</v>
      </c>
      <c r="Q19" s="85"/>
      <c r="R19" s="55">
        <f>'2015 Approved'!$X$5</f>
        <v>0.77</v>
      </c>
      <c r="S19" s="42">
        <f t="shared" ref="S19:S22" si="7">R19</f>
        <v>0.77</v>
      </c>
      <c r="T19" s="113">
        <f>'2016 Proposed'!$B$5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Approved'!$B$6</f>
        <v>0</v>
      </c>
      <c r="D20" s="42">
        <f t="shared" si="1"/>
        <v>0</v>
      </c>
      <c r="E20" s="113">
        <f>'2016 Proposed'!$B$6</f>
        <v>0</v>
      </c>
      <c r="F20" s="7">
        <f t="shared" si="2"/>
        <v>0</v>
      </c>
      <c r="G20" s="85"/>
      <c r="H20" s="55">
        <f>'2015 Approved'!$M$6</f>
        <v>0.77</v>
      </c>
      <c r="I20" s="42">
        <f t="shared" si="3"/>
        <v>0.77</v>
      </c>
      <c r="J20" s="113">
        <f>'2016 Proposed'!$B$6</f>
        <v>0</v>
      </c>
      <c r="K20" s="7">
        <f t="shared" si="4"/>
        <v>0</v>
      </c>
      <c r="L20" s="85"/>
      <c r="M20" s="55">
        <f>'2015 Approved'!$T$6</f>
        <v>0</v>
      </c>
      <c r="N20" s="42">
        <f t="shared" si="5"/>
        <v>0</v>
      </c>
      <c r="O20" s="113">
        <f>'2016 Proposed'!$B$6</f>
        <v>0</v>
      </c>
      <c r="P20" s="7">
        <f t="shared" si="6"/>
        <v>0</v>
      </c>
      <c r="Q20" s="85"/>
      <c r="R20" s="55">
        <f>'2015 Approved'!$X$6</f>
        <v>0</v>
      </c>
      <c r="S20" s="42">
        <f t="shared" si="7"/>
        <v>0</v>
      </c>
      <c r="T20" s="113">
        <f>'2016 Proposed'!$B$6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Approved'!$B$7</f>
        <v>0.28000000000000003</v>
      </c>
      <c r="D21" s="42">
        <f t="shared" si="1"/>
        <v>0.28000000000000003</v>
      </c>
      <c r="E21" s="113">
        <f>'2016 Proposed'!$B$7</f>
        <v>0</v>
      </c>
      <c r="F21" s="7">
        <f t="shared" si="2"/>
        <v>0</v>
      </c>
      <c r="G21" s="85"/>
      <c r="H21" s="55">
        <f>'2015 Approved'!$M$7</f>
        <v>0.38</v>
      </c>
      <c r="I21" s="42">
        <f t="shared" si="3"/>
        <v>0.38</v>
      </c>
      <c r="J21" s="113">
        <f>'2016 Proposed'!$B$7</f>
        <v>0</v>
      </c>
      <c r="K21" s="7">
        <f t="shared" si="4"/>
        <v>0</v>
      </c>
      <c r="L21" s="85"/>
      <c r="M21" s="55">
        <f>'2015 Approved'!$T$7</f>
        <v>2.33</v>
      </c>
      <c r="N21" s="42">
        <f t="shared" si="5"/>
        <v>2.33</v>
      </c>
      <c r="O21" s="113">
        <f>'2016 Proposed'!$B$7</f>
        <v>0</v>
      </c>
      <c r="P21" s="7">
        <f t="shared" si="6"/>
        <v>0</v>
      </c>
      <c r="Q21" s="85"/>
      <c r="R21" s="55">
        <f>'2015 Approved'!$X$7</f>
        <v>2.4</v>
      </c>
      <c r="S21" s="42">
        <f t="shared" si="7"/>
        <v>2.4</v>
      </c>
      <c r="T21" s="113">
        <f>'2016 Proposed'!$B$7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Approved'!$B$8</f>
        <v>0.79</v>
      </c>
      <c r="D22" s="42">
        <f t="shared" si="1"/>
        <v>0.79</v>
      </c>
      <c r="E22" s="113">
        <f>'2016 Proposed'!$B$8</f>
        <v>0.79</v>
      </c>
      <c r="F22" s="7">
        <f t="shared" si="2"/>
        <v>0.79</v>
      </c>
      <c r="G22" s="85"/>
      <c r="H22" s="55">
        <f>'2015 Approved'!$M$8</f>
        <v>0.79</v>
      </c>
      <c r="I22" s="42">
        <f t="shared" si="3"/>
        <v>0.79</v>
      </c>
      <c r="J22" s="113">
        <f>'2016 Proposed'!$B$8</f>
        <v>0.79</v>
      </c>
      <c r="K22" s="7">
        <f t="shared" si="4"/>
        <v>0.79</v>
      </c>
      <c r="L22" s="85"/>
      <c r="M22" s="55">
        <f>'2015 Approved'!$T$8</f>
        <v>0.79</v>
      </c>
      <c r="N22" s="42">
        <f t="shared" si="5"/>
        <v>0.79</v>
      </c>
      <c r="O22" s="113">
        <f>'2016 Proposed'!$B$8</f>
        <v>0.79</v>
      </c>
      <c r="P22" s="7">
        <f t="shared" si="6"/>
        <v>0.79</v>
      </c>
      <c r="Q22" s="85"/>
      <c r="R22" s="55">
        <f>'2015 Approved'!$X$8</f>
        <v>0.79</v>
      </c>
      <c r="S22" s="42">
        <f t="shared" si="7"/>
        <v>0.79</v>
      </c>
      <c r="T22" s="113">
        <f>'2016 Proposed'!$B$8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3.4972736000000011</v>
      </c>
      <c r="E23" s="114">
        <f>F15/$F$7</f>
        <v>0.10214000000000001</v>
      </c>
      <c r="F23" s="7">
        <f>(F10-F7)*E23</f>
        <v>3.5217871999999906</v>
      </c>
      <c r="G23" s="85"/>
      <c r="H23" s="59">
        <f>I15/I7</f>
        <v>0.10214000000000001</v>
      </c>
      <c r="I23" s="42">
        <f>(I10-I7)*H23</f>
        <v>4.968089599999999</v>
      </c>
      <c r="J23" s="114">
        <f>K15/$F$7</f>
        <v>0.10214000000000001</v>
      </c>
      <c r="K23" s="7">
        <f>(K10-K7)*J23</f>
        <v>3.5217871999999906</v>
      </c>
      <c r="L23" s="85"/>
      <c r="M23" s="59">
        <f>N15/N7</f>
        <v>0.10214000000000001</v>
      </c>
      <c r="N23" s="42">
        <f>(N10-N7)*M23</f>
        <v>5.4093344000000041</v>
      </c>
      <c r="O23" s="114">
        <f>P15/$F$7</f>
        <v>0.10214000000000001</v>
      </c>
      <c r="P23" s="7">
        <f>(P10-P7)*O23</f>
        <v>3.5217871999999906</v>
      </c>
      <c r="Q23" s="85"/>
      <c r="R23" s="59">
        <f>S15/S7</f>
        <v>0.10214000000000001</v>
      </c>
      <c r="S23" s="42">
        <f>(S10-S7)*R23</f>
        <v>4.7392960000000093</v>
      </c>
      <c r="T23" s="114">
        <f>U15/$F$7</f>
        <v>0.10214000000000001</v>
      </c>
      <c r="U23" s="7">
        <f>(U10-U7)*T23</f>
        <v>3.5217871999999906</v>
      </c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Approved'!$B$11</f>
        <v>8.8000000000000005E-3</v>
      </c>
      <c r="D24" s="42">
        <f>C24*D$7</f>
        <v>7.04</v>
      </c>
      <c r="E24" s="114">
        <f>'2016 Proposed'!$B$11</f>
        <v>8.6E-3</v>
      </c>
      <c r="F24" s="7">
        <f>E24*F$7</f>
        <v>6.88</v>
      </c>
      <c r="G24" s="85"/>
      <c r="H24" s="59">
        <f>'2015 Approved'!$M$11</f>
        <v>1.46E-2</v>
      </c>
      <c r="I24" s="42">
        <f>H24*I$7</f>
        <v>11.68</v>
      </c>
      <c r="J24" s="114">
        <f>'2016 Proposed'!$B$11</f>
        <v>8.6E-3</v>
      </c>
      <c r="K24" s="7">
        <f>J24*K$7</f>
        <v>6.88</v>
      </c>
      <c r="L24" s="85"/>
      <c r="M24" s="59">
        <f>'2015 Approved'!$T$11</f>
        <v>1.2699999999999999E-2</v>
      </c>
      <c r="N24" s="42">
        <f>M24*N$7</f>
        <v>10.16</v>
      </c>
      <c r="O24" s="114">
        <f>'2016 Proposed'!$B$11</f>
        <v>8.6E-3</v>
      </c>
      <c r="P24" s="7">
        <f>O24*P$7</f>
        <v>6.88</v>
      </c>
      <c r="Q24" s="85"/>
      <c r="R24" s="59">
        <f>'2015 Approved'!$X$11</f>
        <v>1.26E-2</v>
      </c>
      <c r="S24" s="42">
        <f>R24*S$7</f>
        <v>10.08</v>
      </c>
      <c r="T24" s="114">
        <f>'2016 Proposed'!$B$11</f>
        <v>8.6E-3</v>
      </c>
      <c r="U24" s="7">
        <f>T24*U$7</f>
        <v>6.88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Approved'!$B$12</f>
        <v>2.9999999999999997E-4</v>
      </c>
      <c r="D25" s="42">
        <f t="shared" ref="D25:D33" si="9">C25*D$7</f>
        <v>0.24</v>
      </c>
      <c r="E25" s="114">
        <f>'2016 Proposed'!$B$13</f>
        <v>1.8E-3</v>
      </c>
      <c r="F25" s="7">
        <f t="shared" ref="F25:F31" si="10">E25*F$7</f>
        <v>1.44</v>
      </c>
      <c r="G25" s="85"/>
      <c r="H25" s="59">
        <f>'2015 Approved'!$M$12</f>
        <v>2.9999999999999997E-4</v>
      </c>
      <c r="I25" s="42">
        <f t="shared" ref="I25:I33" si="11">H25*I$7</f>
        <v>0.24</v>
      </c>
      <c r="J25" s="114">
        <f>'2016 Proposed'!$B$13</f>
        <v>1.8E-3</v>
      </c>
      <c r="K25" s="7">
        <f t="shared" ref="K25:K31" si="12">J25*K$7</f>
        <v>1.44</v>
      </c>
      <c r="L25" s="85"/>
      <c r="M25" s="59">
        <f>'2015 Approved'!$T$12</f>
        <v>1.4E-3</v>
      </c>
      <c r="N25" s="42">
        <f t="shared" ref="N25:N33" si="13">M25*N$7</f>
        <v>1.1199999999999999</v>
      </c>
      <c r="O25" s="114">
        <f>'2016 Proposed'!$B$13</f>
        <v>1.8E-3</v>
      </c>
      <c r="P25" s="7">
        <f t="shared" ref="P25:P31" si="14">O25*P$7</f>
        <v>1.44</v>
      </c>
      <c r="Q25" s="85"/>
      <c r="R25" s="59">
        <f>'2015 Approved'!$X$12</f>
        <v>4.3E-3</v>
      </c>
      <c r="S25" s="42">
        <f t="shared" ref="S25:S33" si="15">R25*S$7</f>
        <v>3.44</v>
      </c>
      <c r="T25" s="114">
        <f>'2016 Proposed'!$B$13</f>
        <v>1.8E-3</v>
      </c>
      <c r="U25" s="7">
        <f t="shared" ref="U25:U31" si="16">T25*U$7</f>
        <v>1.44</v>
      </c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Approved'!$B$13</f>
        <v>0</v>
      </c>
      <c r="D26" s="42">
        <f t="shared" si="9"/>
        <v>0</v>
      </c>
      <c r="E26" s="114">
        <f>'2016 Proposed'!$B$14</f>
        <v>0</v>
      </c>
      <c r="F26" s="7">
        <f t="shared" si="10"/>
        <v>0</v>
      </c>
      <c r="G26" s="85"/>
      <c r="H26" s="59">
        <f>'2015 Approved'!$M$13</f>
        <v>2.0000000000000001E-4</v>
      </c>
      <c r="I26" s="42">
        <f t="shared" si="11"/>
        <v>0.16</v>
      </c>
      <c r="J26" s="114">
        <f>'2016 Proposed'!$B$14</f>
        <v>0</v>
      </c>
      <c r="K26" s="7">
        <f t="shared" si="12"/>
        <v>0</v>
      </c>
      <c r="L26" s="85"/>
      <c r="M26" s="59">
        <f>'2015 Approved'!$T$13</f>
        <v>0</v>
      </c>
      <c r="N26" s="42">
        <f t="shared" si="13"/>
        <v>0</v>
      </c>
      <c r="O26" s="114">
        <f>'2016 Proposed'!$B$14</f>
        <v>0</v>
      </c>
      <c r="P26" s="7">
        <f t="shared" si="14"/>
        <v>0</v>
      </c>
      <c r="Q26" s="85"/>
      <c r="R26" s="59">
        <f>'2015 Approved'!$X$13</f>
        <v>0</v>
      </c>
      <c r="S26" s="42">
        <f t="shared" si="15"/>
        <v>0</v>
      </c>
      <c r="T26" s="114">
        <f>'2016 Proposed'!$B$14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Approved'!$B$14</f>
        <v>1E-4</v>
      </c>
      <c r="D27" s="42">
        <f t="shared" si="9"/>
        <v>0.08</v>
      </c>
      <c r="E27" s="114">
        <f>'2016 Proposed'!$B$15</f>
        <v>2.0000000000000001E-4</v>
      </c>
      <c r="F27" s="7">
        <f t="shared" si="10"/>
        <v>0.16</v>
      </c>
      <c r="G27" s="85"/>
      <c r="H27" s="59">
        <f>'2015 Approved'!$M$14</f>
        <v>2.0000000000000001E-4</v>
      </c>
      <c r="I27" s="42">
        <f t="shared" si="11"/>
        <v>0.16</v>
      </c>
      <c r="J27" s="114">
        <f>'2016 Proposed'!$B$15</f>
        <v>2.0000000000000001E-4</v>
      </c>
      <c r="K27" s="7">
        <f t="shared" si="12"/>
        <v>0.16</v>
      </c>
      <c r="L27" s="85"/>
      <c r="M27" s="59">
        <f>'2015 Approved'!$T$14</f>
        <v>0</v>
      </c>
      <c r="N27" s="42">
        <f t="shared" si="13"/>
        <v>0</v>
      </c>
      <c r="O27" s="114">
        <f>'2016 Proposed'!$B$15</f>
        <v>2.0000000000000001E-4</v>
      </c>
      <c r="P27" s="7">
        <f t="shared" si="14"/>
        <v>0.16</v>
      </c>
      <c r="Q27" s="85"/>
      <c r="R27" s="59">
        <f>'2015 Approved'!$X$14</f>
        <v>0</v>
      </c>
      <c r="S27" s="42">
        <f t="shared" si="15"/>
        <v>0</v>
      </c>
      <c r="T27" s="114">
        <f>'2016 Proposed'!$B$15</f>
        <v>2.0000000000000001E-4</v>
      </c>
      <c r="U27" s="7">
        <f t="shared" si="16"/>
        <v>0.16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Approved'!$B$15</f>
        <v>-2.0000000000000001E-4</v>
      </c>
      <c r="D28" s="42">
        <f t="shared" si="9"/>
        <v>-0.16</v>
      </c>
      <c r="E28" s="114">
        <f>'2016 Proposed'!$B$16</f>
        <v>0</v>
      </c>
      <c r="F28" s="7">
        <f t="shared" si="10"/>
        <v>0</v>
      </c>
      <c r="G28" s="85"/>
      <c r="H28" s="59">
        <f>'2015 Approved'!$M$15</f>
        <v>-2.0000000000000001E-4</v>
      </c>
      <c r="I28" s="42">
        <f t="shared" si="11"/>
        <v>-0.16</v>
      </c>
      <c r="J28" s="114">
        <f>'2016 Proposed'!$B$16</f>
        <v>0</v>
      </c>
      <c r="K28" s="7">
        <f t="shared" si="12"/>
        <v>0</v>
      </c>
      <c r="L28" s="85"/>
      <c r="M28" s="59">
        <f>'2015 Approved'!$T$15</f>
        <v>0</v>
      </c>
      <c r="N28" s="42">
        <f t="shared" si="13"/>
        <v>0</v>
      </c>
      <c r="O28" s="114">
        <f>'2016 Proposed'!$B$16</f>
        <v>0</v>
      </c>
      <c r="P28" s="7">
        <f t="shared" si="14"/>
        <v>0</v>
      </c>
      <c r="Q28" s="85"/>
      <c r="R28" s="59">
        <f>'2015 Approved'!$X$15</f>
        <v>0</v>
      </c>
      <c r="S28" s="42">
        <f t="shared" si="15"/>
        <v>0</v>
      </c>
      <c r="T28" s="114">
        <f>'2016 Proposed'!$B$16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Approved'!$B$16</f>
        <v>0</v>
      </c>
      <c r="D29" s="42">
        <f t="shared" si="9"/>
        <v>0</v>
      </c>
      <c r="E29" s="114">
        <f>'2016 Proposed'!$B$17</f>
        <v>0</v>
      </c>
      <c r="F29" s="7">
        <f t="shared" si="10"/>
        <v>0</v>
      </c>
      <c r="G29" s="85"/>
      <c r="H29" s="59">
        <f>'2015 Approved'!$M$16</f>
        <v>0</v>
      </c>
      <c r="I29" s="42">
        <f t="shared" si="11"/>
        <v>0</v>
      </c>
      <c r="J29" s="114">
        <f>'2016 Proposed'!$B$17</f>
        <v>0</v>
      </c>
      <c r="K29" s="7">
        <f t="shared" si="12"/>
        <v>0</v>
      </c>
      <c r="L29" s="85"/>
      <c r="M29" s="59">
        <f>'2015 Approved'!$T$16</f>
        <v>4.0000000000000002E-4</v>
      </c>
      <c r="N29" s="42">
        <f t="shared" si="13"/>
        <v>0.32</v>
      </c>
      <c r="O29" s="114">
        <f>M29</f>
        <v>4.0000000000000002E-4</v>
      </c>
      <c r="P29" s="7">
        <f t="shared" si="14"/>
        <v>0.32</v>
      </c>
      <c r="Q29" s="85"/>
      <c r="R29" s="59">
        <f>'2015 Approved'!$X$16</f>
        <v>2.3E-3</v>
      </c>
      <c r="S29" s="42">
        <f t="shared" si="15"/>
        <v>1.8399999999999999</v>
      </c>
      <c r="T29" s="114">
        <f>R29</f>
        <v>2.3E-3</v>
      </c>
      <c r="U29" s="7">
        <f t="shared" si="16"/>
        <v>1.8399999999999999</v>
      </c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Approved'!$B$17</f>
        <v>2.2000000000000001E-3</v>
      </c>
      <c r="D30" s="42">
        <f t="shared" si="9"/>
        <v>1.76</v>
      </c>
      <c r="E30" s="114">
        <f>'2016 Proposed'!$B$18</f>
        <v>0</v>
      </c>
      <c r="F30" s="7">
        <f t="shared" si="10"/>
        <v>0</v>
      </c>
      <c r="G30" s="85"/>
      <c r="H30" s="59">
        <f>'2015 Approved'!$M$17</f>
        <v>1.4E-3</v>
      </c>
      <c r="I30" s="42">
        <f t="shared" si="11"/>
        <v>1.1199999999999999</v>
      </c>
      <c r="J30" s="114">
        <f>'2016 Proposed'!$B$18</f>
        <v>0</v>
      </c>
      <c r="K30" s="7">
        <f t="shared" si="12"/>
        <v>0</v>
      </c>
      <c r="L30" s="85"/>
      <c r="M30" s="59">
        <f>'2015 Approved'!$T$17</f>
        <v>1.6000000000000001E-3</v>
      </c>
      <c r="N30" s="42">
        <f t="shared" si="13"/>
        <v>1.28</v>
      </c>
      <c r="O30" s="114">
        <f>'2016 Proposed'!$B$18</f>
        <v>0</v>
      </c>
      <c r="P30" s="7">
        <f t="shared" si="14"/>
        <v>0</v>
      </c>
      <c r="Q30" s="85"/>
      <c r="R30" s="59">
        <f>'2015 Approved'!$X$17</f>
        <v>5.1999999999999998E-3</v>
      </c>
      <c r="S30" s="42">
        <f t="shared" si="15"/>
        <v>4.16</v>
      </c>
      <c r="T30" s="114">
        <f>'2016 Proposed'!$B$18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Approved'!$B$18</f>
        <v>0</v>
      </c>
      <c r="D31" s="42">
        <f t="shared" si="9"/>
        <v>0</v>
      </c>
      <c r="E31" s="114">
        <f>'2016 Proposed'!$B$19</f>
        <v>1.5E-3</v>
      </c>
      <c r="F31" s="7">
        <f t="shared" si="10"/>
        <v>1.2</v>
      </c>
      <c r="G31" s="85"/>
      <c r="H31" s="59">
        <f>'2015 Approved'!$M$18</f>
        <v>0</v>
      </c>
      <c r="I31" s="42">
        <f t="shared" si="11"/>
        <v>0</v>
      </c>
      <c r="J31" s="114">
        <f>'2016 Proposed'!$B$19</f>
        <v>1.5E-3</v>
      </c>
      <c r="K31" s="7">
        <f t="shared" si="12"/>
        <v>1.2</v>
      </c>
      <c r="L31" s="85"/>
      <c r="M31" s="59">
        <f>'2015 Approved'!$T$18</f>
        <v>0</v>
      </c>
      <c r="N31" s="42">
        <f t="shared" si="13"/>
        <v>0</v>
      </c>
      <c r="O31" s="114">
        <f>'2016 Proposed'!$B$19</f>
        <v>1.5E-3</v>
      </c>
      <c r="P31" s="7">
        <f t="shared" si="14"/>
        <v>1.2</v>
      </c>
      <c r="Q31" s="85"/>
      <c r="R31" s="59">
        <f>'2015 Approved'!$X$18</f>
        <v>0</v>
      </c>
      <c r="S31" s="42">
        <f t="shared" si="15"/>
        <v>0</v>
      </c>
      <c r="T31" s="114">
        <f>'2016 Proposed'!$B$19</f>
        <v>1.5E-3</v>
      </c>
      <c r="U31" s="7">
        <f t="shared" si="16"/>
        <v>1.2</v>
      </c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Approved'!$B$19</f>
        <v>0</v>
      </c>
      <c r="D32" s="42">
        <f t="shared" si="9"/>
        <v>0</v>
      </c>
      <c r="E32" s="114">
        <f>'2016 Proposed'!$B$20</f>
        <v>0.47</v>
      </c>
      <c r="F32" s="7">
        <f>E32</f>
        <v>0.47</v>
      </c>
      <c r="G32" s="85"/>
      <c r="H32" s="59">
        <f>'2015 Approved'!$M$19</f>
        <v>0</v>
      </c>
      <c r="I32" s="42">
        <f t="shared" si="11"/>
        <v>0</v>
      </c>
      <c r="J32" s="114">
        <f>'2016 Proposed'!$B$20</f>
        <v>0.47</v>
      </c>
      <c r="K32" s="7">
        <f>J32</f>
        <v>0.47</v>
      </c>
      <c r="L32" s="85"/>
      <c r="M32" s="59">
        <f>'2015 Approved'!$T$19</f>
        <v>0</v>
      </c>
      <c r="N32" s="42">
        <f t="shared" si="13"/>
        <v>0</v>
      </c>
      <c r="O32" s="114">
        <f>'2016 Proposed'!$B$20</f>
        <v>0.47</v>
      </c>
      <c r="P32" s="7">
        <f>O32</f>
        <v>0.47</v>
      </c>
      <c r="Q32" s="85"/>
      <c r="R32" s="59">
        <f>'2015 Approved'!$X$19</f>
        <v>0</v>
      </c>
      <c r="S32" s="42">
        <f t="shared" si="15"/>
        <v>0</v>
      </c>
      <c r="T32" s="114">
        <f>'2016 Proposed'!$B$20</f>
        <v>0.47</v>
      </c>
      <c r="U32" s="7">
        <f>T32</f>
        <v>0.47</v>
      </c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Approved'!$B$20</f>
        <v>0</v>
      </c>
      <c r="D33" s="42">
        <f t="shared" si="9"/>
        <v>0</v>
      </c>
      <c r="E33" s="114">
        <f>'2016 Proposed'!$B$21</f>
        <v>-1.4</v>
      </c>
      <c r="F33" s="7">
        <f>E33</f>
        <v>-1.4</v>
      </c>
      <c r="G33" s="85"/>
      <c r="H33" s="59">
        <f>'2015 Approved'!$M$20</f>
        <v>0</v>
      </c>
      <c r="I33" s="42">
        <f t="shared" si="11"/>
        <v>0</v>
      </c>
      <c r="J33" s="114">
        <f>'2016 Proposed'!$B$21</f>
        <v>-1.4</v>
      </c>
      <c r="K33" s="7">
        <f>J33</f>
        <v>-1.4</v>
      </c>
      <c r="L33" s="85"/>
      <c r="M33" s="59">
        <f>'2015 Approved'!$T$20</f>
        <v>0</v>
      </c>
      <c r="N33" s="42">
        <f t="shared" si="13"/>
        <v>0</v>
      </c>
      <c r="O33" s="114">
        <f>'2016 Proposed'!$B$21</f>
        <v>-1.4</v>
      </c>
      <c r="P33" s="7">
        <f>O33</f>
        <v>-1.4</v>
      </c>
      <c r="Q33" s="85"/>
      <c r="R33" s="59">
        <f>'2015 Approved'!$X$20</f>
        <v>0</v>
      </c>
      <c r="S33" s="42">
        <f t="shared" si="15"/>
        <v>0</v>
      </c>
      <c r="T33" s="114">
        <f>'2016 Proposed'!$B$21</f>
        <v>-1.4</v>
      </c>
      <c r="U33" s="7">
        <f>T33</f>
        <v>-1.4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32.507273599999998</v>
      </c>
      <c r="E34" s="110"/>
      <c r="F34" s="95">
        <f>SUM(F18:F33)</f>
        <v>32.041787199999995</v>
      </c>
      <c r="G34" s="127">
        <f>F34-D34</f>
        <v>-0.46548640000000319</v>
      </c>
      <c r="H34" s="126"/>
      <c r="I34" s="96">
        <f>SUM(I18:I33)</f>
        <v>35.768089599999996</v>
      </c>
      <c r="J34" s="110"/>
      <c r="K34" s="95">
        <f>SUM(K18:K33)</f>
        <v>32.041787199999995</v>
      </c>
      <c r="L34" s="127">
        <f>K34-I34</f>
        <v>-3.7263024000000016</v>
      </c>
      <c r="M34" s="126"/>
      <c r="N34" s="96">
        <f>SUM(N18:N33)</f>
        <v>36.049334400000006</v>
      </c>
      <c r="O34" s="110"/>
      <c r="P34" s="95">
        <f>SUM(P18:P33)</f>
        <v>32.361787199999995</v>
      </c>
      <c r="Q34" s="127">
        <f>P34-N34</f>
        <v>-3.6875472000000116</v>
      </c>
      <c r="R34" s="126"/>
      <c r="S34" s="96">
        <f>SUM(S18:S33)</f>
        <v>40.73929600000001</v>
      </c>
      <c r="T34" s="110"/>
      <c r="U34" s="95">
        <f>SUM(U18:U33)</f>
        <v>33.881787199999998</v>
      </c>
      <c r="V34" s="127">
        <f>U34-S34</f>
        <v>-6.8575088000000122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-1.4319453723735331E-2</v>
      </c>
      <c r="H35" s="128"/>
      <c r="I35" s="120"/>
      <c r="J35" s="111"/>
      <c r="K35" s="97"/>
      <c r="L35" s="129">
        <f>L34/I34</f>
        <v>-0.10417951983658646</v>
      </c>
      <c r="M35" s="128"/>
      <c r="N35" s="120"/>
      <c r="O35" s="111"/>
      <c r="P35" s="97"/>
      <c r="Q35" s="129">
        <f>Q34/N34</f>
        <v>-0.10229168613998074</v>
      </c>
      <c r="R35" s="128"/>
      <c r="S35" s="120"/>
      <c r="T35" s="111"/>
      <c r="U35" s="97"/>
      <c r="V35" s="129">
        <f>V34/S34</f>
        <v>-0.16832663971414749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Approved'!$B$26</f>
        <v>7.4000000000000003E-3</v>
      </c>
      <c r="D37" s="42">
        <f>C37*D$10</f>
        <v>6.1733760000000002</v>
      </c>
      <c r="E37" s="114">
        <f>'2016 Proposed'!$B$28</f>
        <v>7.3000000000000001E-3</v>
      </c>
      <c r="F37" s="7">
        <f>E37*F$10</f>
        <v>6.0917039999999991</v>
      </c>
      <c r="G37" s="85"/>
      <c r="H37" s="59">
        <f>'2015 Approved'!$M$26</f>
        <v>7.1999999999999998E-3</v>
      </c>
      <c r="I37" s="42">
        <f>H37*I$10</f>
        <v>6.1102080000000001</v>
      </c>
      <c r="J37" s="114">
        <f>'2016 Proposed'!$B$28</f>
        <v>7.3000000000000001E-3</v>
      </c>
      <c r="K37" s="7">
        <f>J37*K$10</f>
        <v>6.0917039999999991</v>
      </c>
      <c r="L37" s="85"/>
      <c r="M37" s="59">
        <f>'2015 Approved'!$T$26</f>
        <v>7.6E-3</v>
      </c>
      <c r="N37" s="42">
        <f>M37*N$10</f>
        <v>6.4824960000000003</v>
      </c>
      <c r="O37" s="114">
        <f>'2016 Proposed'!$B$28</f>
        <v>7.3000000000000001E-3</v>
      </c>
      <c r="P37" s="7">
        <f>O37*P$10</f>
        <v>6.0917039999999991</v>
      </c>
      <c r="Q37" s="85"/>
      <c r="R37" s="59">
        <f>'2015 Approved'!$X$26</f>
        <v>7.4450068112693092E-3</v>
      </c>
      <c r="S37" s="42">
        <f>R37*S$10</f>
        <v>6.3014537650583442</v>
      </c>
      <c r="T37" s="114">
        <f>'2016 Proposed'!$B$28</f>
        <v>7.3000000000000001E-3</v>
      </c>
      <c r="U37" s="7">
        <f>T37*U$10</f>
        <v>6.0917039999999991</v>
      </c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Approved'!$B$27</f>
        <v>5.3E-3</v>
      </c>
      <c r="D38" s="42">
        <f>C38*D$10</f>
        <v>4.4214719999999996</v>
      </c>
      <c r="E38" s="114">
        <f>'2016 Proposed'!$B$29</f>
        <v>5.4000000000000003E-3</v>
      </c>
      <c r="F38" s="7">
        <f>E38*F$10</f>
        <v>4.5061919999999995</v>
      </c>
      <c r="G38" s="85"/>
      <c r="H38" s="59">
        <f>'2015 Approved'!$M$27</f>
        <v>5.1000000000000004E-3</v>
      </c>
      <c r="I38" s="42">
        <f>H38*I$10</f>
        <v>4.3280640000000004</v>
      </c>
      <c r="J38" s="114">
        <f>'2016 Proposed'!$B$29</f>
        <v>5.4000000000000003E-3</v>
      </c>
      <c r="K38" s="7">
        <f>J38*K$10</f>
        <v>4.5061919999999995</v>
      </c>
      <c r="L38" s="85"/>
      <c r="M38" s="59">
        <f>'2015 Approved'!$T$27</f>
        <v>5.5999999999999999E-3</v>
      </c>
      <c r="N38" s="42">
        <f>M38*N$10</f>
        <v>4.7765760000000004</v>
      </c>
      <c r="O38" s="114">
        <f>'2016 Proposed'!$B$29</f>
        <v>5.4000000000000003E-3</v>
      </c>
      <c r="P38" s="7">
        <f>O38*P$10</f>
        <v>4.5061919999999995</v>
      </c>
      <c r="Q38" s="85"/>
      <c r="R38" s="59">
        <f>'2015 Approved'!$X$27</f>
        <v>3.7551994493456586E-3</v>
      </c>
      <c r="S38" s="42">
        <f>R38*S$10</f>
        <v>3.1784008139261659</v>
      </c>
      <c r="T38" s="114">
        <f>'2016 Proposed'!$B$29</f>
        <v>5.4000000000000003E-3</v>
      </c>
      <c r="U38" s="7">
        <f>T38*U$10</f>
        <v>4.5061919999999995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10.594847999999999</v>
      </c>
      <c r="E39" s="110"/>
      <c r="F39" s="95">
        <f>SUM(F37:F38)</f>
        <v>10.597895999999999</v>
      </c>
      <c r="G39" s="127">
        <f>F39-D39</f>
        <v>3.0479999999997176E-3</v>
      </c>
      <c r="H39" s="126"/>
      <c r="I39" s="96">
        <f>SUM(I37:I38)</f>
        <v>10.438272000000001</v>
      </c>
      <c r="J39" s="110"/>
      <c r="K39" s="95">
        <f>SUM(K37:K38)</f>
        <v>10.597895999999999</v>
      </c>
      <c r="L39" s="127">
        <f>K39-I39</f>
        <v>0.15962399999999732</v>
      </c>
      <c r="M39" s="126"/>
      <c r="N39" s="96">
        <f>SUM(N37:N38)</f>
        <v>11.259072</v>
      </c>
      <c r="O39" s="110"/>
      <c r="P39" s="95">
        <f>SUM(P37:P38)</f>
        <v>10.597895999999999</v>
      </c>
      <c r="Q39" s="127">
        <f>P39-N39</f>
        <v>-0.6611760000000011</v>
      </c>
      <c r="R39" s="126"/>
      <c r="S39" s="96">
        <f>SUM(S37:S38)</f>
        <v>9.4798545789845097</v>
      </c>
      <c r="T39" s="110"/>
      <c r="U39" s="95">
        <f>SUM(U37:U38)</f>
        <v>10.597895999999999</v>
      </c>
      <c r="V39" s="127">
        <f>U39-S39</f>
        <v>1.118041421015489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2.8768699654772942E-4</v>
      </c>
      <c r="H40" s="128"/>
      <c r="I40" s="120"/>
      <c r="J40" s="111"/>
      <c r="K40" s="97"/>
      <c r="L40" s="129">
        <f>L39/I39</f>
        <v>1.5292186292903395E-2</v>
      </c>
      <c r="M40" s="128"/>
      <c r="N40" s="120"/>
      <c r="O40" s="111"/>
      <c r="P40" s="97"/>
      <c r="Q40" s="129">
        <f>Q39/N39</f>
        <v>-5.8723845091318456E-2</v>
      </c>
      <c r="R40" s="128"/>
      <c r="S40" s="120"/>
      <c r="T40" s="111"/>
      <c r="U40" s="97"/>
      <c r="V40" s="129">
        <f>V39/S39</f>
        <v>0.11793866790889682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4.7551680000000003</v>
      </c>
      <c r="E42" s="114">
        <f>WMSR+RRRP</f>
        <v>5.7000000000000002E-3</v>
      </c>
      <c r="F42" s="7">
        <f>E42*F10</f>
        <v>4.7565359999999997</v>
      </c>
      <c r="G42" s="85"/>
      <c r="H42" s="59">
        <f>WMSR+RRRP</f>
        <v>5.7000000000000002E-3</v>
      </c>
      <c r="I42" s="42">
        <f>H42*I10</f>
        <v>4.8372479999999998</v>
      </c>
      <c r="J42" s="114">
        <f>WMSR+RRRP</f>
        <v>5.7000000000000002E-3</v>
      </c>
      <c r="K42" s="7">
        <f>J42*K10</f>
        <v>4.7565359999999997</v>
      </c>
      <c r="L42" s="85"/>
      <c r="M42" s="59">
        <f>WMSR+RRRP</f>
        <v>5.7000000000000002E-3</v>
      </c>
      <c r="N42" s="42">
        <f>M42*N10</f>
        <v>4.861872</v>
      </c>
      <c r="O42" s="114">
        <f>WMSR+RRRP</f>
        <v>5.7000000000000002E-3</v>
      </c>
      <c r="P42" s="7">
        <f>O42*P10</f>
        <v>4.7565359999999997</v>
      </c>
      <c r="Q42" s="85"/>
      <c r="R42" s="59">
        <f>WMSR+RRRP</f>
        <v>5.7000000000000002E-3</v>
      </c>
      <c r="S42" s="42">
        <f>R42*S10</f>
        <v>4.8244800000000003</v>
      </c>
      <c r="T42" s="114">
        <f>WMSR+RRRP</f>
        <v>5.7000000000000002E-3</v>
      </c>
      <c r="U42" s="7">
        <f>T42*U10</f>
        <v>4.7565359999999997</v>
      </c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5.6000000000000005</v>
      </c>
      <c r="E44" s="114">
        <v>7.0000000000000001E-3</v>
      </c>
      <c r="F44" s="7">
        <f>E44*F7</f>
        <v>5.6000000000000005</v>
      </c>
      <c r="G44" s="85"/>
      <c r="H44" s="59">
        <v>7.0000000000000001E-3</v>
      </c>
      <c r="I44" s="42">
        <f>H44*I7</f>
        <v>5.6000000000000005</v>
      </c>
      <c r="J44" s="114">
        <v>7.0000000000000001E-3</v>
      </c>
      <c r="K44" s="7">
        <f>J44*K7</f>
        <v>5.6000000000000005</v>
      </c>
      <c r="L44" s="85"/>
      <c r="M44" s="59">
        <v>7.0000000000000001E-3</v>
      </c>
      <c r="N44" s="42">
        <f>M44*N7</f>
        <v>5.6000000000000005</v>
      </c>
      <c r="O44" s="114">
        <v>7.0000000000000001E-3</v>
      </c>
      <c r="P44" s="7">
        <f>O44*P7</f>
        <v>5.6000000000000005</v>
      </c>
      <c r="Q44" s="85"/>
      <c r="R44" s="59">
        <v>7.0000000000000001E-3</v>
      </c>
      <c r="S44" s="42">
        <f>R44*S7</f>
        <v>5.6000000000000005</v>
      </c>
      <c r="T44" s="114">
        <v>7.0000000000000001E-3</v>
      </c>
      <c r="U44" s="7">
        <f>T44*U7</f>
        <v>5.6000000000000005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10.605168000000001</v>
      </c>
      <c r="E46" s="110"/>
      <c r="F46" s="95">
        <f>SUM(F42:F45)</f>
        <v>10.606536</v>
      </c>
      <c r="G46" s="127">
        <f>F46-D46</f>
        <v>1.3679999999993697E-3</v>
      </c>
      <c r="H46" s="126"/>
      <c r="I46" s="96">
        <f>SUM(I42:I45)</f>
        <v>10.687248</v>
      </c>
      <c r="J46" s="110"/>
      <c r="K46" s="95">
        <f>SUM(K42:K45)</f>
        <v>10.606536</v>
      </c>
      <c r="L46" s="127">
        <f>K46-I46</f>
        <v>-8.0712000000000117E-2</v>
      </c>
      <c r="M46" s="126"/>
      <c r="N46" s="96">
        <f>SUM(N42:N45)</f>
        <v>10.711872</v>
      </c>
      <c r="O46" s="110"/>
      <c r="P46" s="95">
        <f>SUM(P42:P45)</f>
        <v>10.606536</v>
      </c>
      <c r="Q46" s="127">
        <f>P46-N46</f>
        <v>-0.10533599999999943</v>
      </c>
      <c r="R46" s="126"/>
      <c r="S46" s="96">
        <f>SUM(S42:S45)</f>
        <v>10.674480000000001</v>
      </c>
      <c r="T46" s="110"/>
      <c r="U46" s="95">
        <f>SUM(U42:U45)</f>
        <v>10.606536</v>
      </c>
      <c r="V46" s="127">
        <f>U46-S46</f>
        <v>-6.7944000000000671E-2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1.2899371325370514E-4</v>
      </c>
      <c r="H47" s="128"/>
      <c r="I47" s="120"/>
      <c r="J47" s="111"/>
      <c r="K47" s="97"/>
      <c r="L47" s="129">
        <f>L46/I46</f>
        <v>-7.552178072409297E-3</v>
      </c>
      <c r="M47" s="128"/>
      <c r="N47" s="120"/>
      <c r="O47" s="111"/>
      <c r="P47" s="97"/>
      <c r="Q47" s="129">
        <f>Q46/N46</f>
        <v>-9.8335753078452985E-3</v>
      </c>
      <c r="R47" s="128"/>
      <c r="S47" s="120"/>
      <c r="T47" s="111"/>
      <c r="U47" s="97"/>
      <c r="V47" s="129">
        <f>V46/S46</f>
        <v>-6.3650875733525817E-3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135.41928960000001</v>
      </c>
      <c r="E48" s="115"/>
      <c r="F48" s="102">
        <f>F15+F34+F39+F46</f>
        <v>134.9582192</v>
      </c>
      <c r="G48" s="133"/>
      <c r="H48" s="132"/>
      <c r="I48" s="122">
        <f>I15+I34+I39+I46</f>
        <v>138.60560960000001</v>
      </c>
      <c r="J48" s="115"/>
      <c r="K48" s="102">
        <f>K15+K34+K39+K46</f>
        <v>134.9582192</v>
      </c>
      <c r="L48" s="133"/>
      <c r="M48" s="132"/>
      <c r="N48" s="122">
        <f>N15+N34+N39+N46</f>
        <v>139.73227840000001</v>
      </c>
      <c r="O48" s="115"/>
      <c r="P48" s="102">
        <f>P15+P34+P39+P46</f>
        <v>135.2782192</v>
      </c>
      <c r="Q48" s="133"/>
      <c r="R48" s="132"/>
      <c r="S48" s="122">
        <f>S15+S34+S39+S46</f>
        <v>142.60563057898452</v>
      </c>
      <c r="T48" s="115"/>
      <c r="U48" s="102">
        <f>U15+U34+U39+U46</f>
        <v>136.79821920000001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17.604507648000002</v>
      </c>
      <c r="E49" s="116"/>
      <c r="F49" s="99">
        <f>F48*0.13</f>
        <v>17.544568496</v>
      </c>
      <c r="G49" s="134"/>
      <c r="H49" s="87"/>
      <c r="I49" s="43">
        <f>I48*0.13</f>
        <v>18.018729248000003</v>
      </c>
      <c r="J49" s="116"/>
      <c r="K49" s="99">
        <f>K48*0.13</f>
        <v>17.544568496</v>
      </c>
      <c r="L49" s="134"/>
      <c r="M49" s="87"/>
      <c r="N49" s="43">
        <f>N48*0.13</f>
        <v>18.165196192000003</v>
      </c>
      <c r="O49" s="116"/>
      <c r="P49" s="99">
        <f>P48*0.13</f>
        <v>17.586168495999999</v>
      </c>
      <c r="Q49" s="134"/>
      <c r="R49" s="87"/>
      <c r="S49" s="43">
        <f>S48*0.13</f>
        <v>18.538731975267989</v>
      </c>
      <c r="T49" s="116"/>
      <c r="U49" s="99">
        <f>U48*0.13</f>
        <v>17.783768496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-15.302379724800003</v>
      </c>
      <c r="E50" s="117"/>
      <c r="F50" s="70">
        <f>SUM(F48:F49)*-0.1</f>
        <v>-15.250278769600001</v>
      </c>
      <c r="G50" s="125"/>
      <c r="H50" s="88"/>
      <c r="I50" s="69">
        <f>SUM(I48:I49)*-0.1</f>
        <v>-15.662433884800002</v>
      </c>
      <c r="J50" s="117"/>
      <c r="K50" s="70">
        <f>SUM(K48:K49)*-0.1</f>
        <v>-15.250278769600001</v>
      </c>
      <c r="L50" s="125"/>
      <c r="M50" s="88"/>
      <c r="N50" s="69">
        <f>SUM(N48:N49)*-0.1</f>
        <v>-15.789747459200001</v>
      </c>
      <c r="O50" s="117"/>
      <c r="P50" s="70">
        <f>SUM(P48:P49)*-0.1</f>
        <v>-15.2864387696</v>
      </c>
      <c r="Q50" s="125"/>
      <c r="R50" s="88"/>
      <c r="S50" s="69">
        <f>SUM(S48:S49)*-0.1</f>
        <v>-16.11443625542525</v>
      </c>
      <c r="T50" s="117"/>
      <c r="U50" s="70">
        <f>SUM(U48:U49)*-0.1</f>
        <v>-15.458198769600001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137.72141752320002</v>
      </c>
      <c r="E51" s="118"/>
      <c r="F51" s="103">
        <f>SUM(F48:F50)</f>
        <v>137.25250892640003</v>
      </c>
      <c r="G51" s="136">
        <f>F51-D51</f>
        <v>-0.46890859679999153</v>
      </c>
      <c r="H51" s="135"/>
      <c r="I51" s="104">
        <f>SUM(I48:I50)</f>
        <v>140.9619049632</v>
      </c>
      <c r="J51" s="118"/>
      <c r="K51" s="103">
        <f>SUM(K48:K50)</f>
        <v>137.25250892640003</v>
      </c>
      <c r="L51" s="136">
        <f>K51-I51</f>
        <v>-3.7093960367999728</v>
      </c>
      <c r="M51" s="135"/>
      <c r="N51" s="104">
        <f>SUM(N48:N50)</f>
        <v>142.10772713279999</v>
      </c>
      <c r="O51" s="118"/>
      <c r="P51" s="103">
        <f>SUM(P48:P50)</f>
        <v>137.57794892639998</v>
      </c>
      <c r="Q51" s="136">
        <f>P51-N51</f>
        <v>-4.5297782064000103</v>
      </c>
      <c r="R51" s="135"/>
      <c r="S51" s="104">
        <f>SUM(S48:S50)</f>
        <v>145.02992629882723</v>
      </c>
      <c r="T51" s="118"/>
      <c r="U51" s="103">
        <f>SUM(U48:U50)</f>
        <v>139.12378892640001</v>
      </c>
      <c r="V51" s="136">
        <f>U51-S51</f>
        <v>-5.9061373724272244</v>
      </c>
    </row>
    <row r="52" spans="1:22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-3.4047616211981043E-3</v>
      </c>
      <c r="H52" s="137"/>
      <c r="I52" s="123"/>
      <c r="J52" s="119"/>
      <c r="K52" s="105"/>
      <c r="L52" s="138">
        <f>L51/I51</f>
        <v>-2.6314883001675952E-2</v>
      </c>
      <c r="M52" s="137"/>
      <c r="N52" s="123"/>
      <c r="O52" s="119"/>
      <c r="P52" s="105"/>
      <c r="Q52" s="138">
        <f>Q51/N51</f>
        <v>-3.1875664313221488E-2</v>
      </c>
      <c r="R52" s="137"/>
      <c r="S52" s="123"/>
      <c r="T52" s="119"/>
      <c r="U52" s="105"/>
      <c r="V52" s="138">
        <f>V51/S51</f>
        <v>-4.072357701029173E-2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127</v>
      </c>
      <c r="C54" s="202">
        <f>'2015 Approved'!$B$23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Approved'!$M$23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6.64</v>
      </c>
      <c r="O54" s="203">
        <f>M54</f>
        <v>8.3000000000000001E-3</v>
      </c>
      <c r="P54" s="7">
        <f>O54*P7</f>
        <v>6.64</v>
      </c>
      <c r="Q54" s="134"/>
      <c r="R54" s="59">
        <f>'2015 Approved'!$X$23</f>
        <v>3.0999999999999999E-3</v>
      </c>
      <c r="S54" s="43">
        <f>R54*S7</f>
        <v>2.48</v>
      </c>
      <c r="T54" s="203">
        <f>R54</f>
        <v>3.0999999999999999E-3</v>
      </c>
      <c r="U54" s="7">
        <f>T54*U7</f>
        <v>2.48</v>
      </c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Approved'!$B$24</f>
        <v>3.1999999999999997E-3</v>
      </c>
      <c r="D55" s="42">
        <f>C55*D7</f>
        <v>2.5599999999999996</v>
      </c>
      <c r="E55" s="203">
        <f>'2016 Proposed'!$B$26</f>
        <v>3.3999999999999998E-3</v>
      </c>
      <c r="F55" s="7">
        <f>E55*F7</f>
        <v>2.7199999999999998</v>
      </c>
      <c r="G55" s="85"/>
      <c r="H55" s="59">
        <f>'2015 Approved'!$M$24</f>
        <v>-8.0000000000000004E-4</v>
      </c>
      <c r="I55" s="42">
        <f>H55*I7</f>
        <v>-0.64</v>
      </c>
      <c r="J55" s="114">
        <f>'2016 Proposed'!$B$26</f>
        <v>3.3999999999999998E-3</v>
      </c>
      <c r="K55" s="7">
        <f>J55*K7</f>
        <v>2.7199999999999998</v>
      </c>
      <c r="L55" s="85"/>
      <c r="M55" s="59">
        <f>'2015 Approved'!$T$24</f>
        <v>-4.0000000000000002E-4</v>
      </c>
      <c r="N55" s="42">
        <f>M55*N7</f>
        <v>-0.32</v>
      </c>
      <c r="O55" s="114">
        <f>'2016 Proposed'!$B$26</f>
        <v>3.3999999999999998E-3</v>
      </c>
      <c r="P55" s="7">
        <f>O55*P7</f>
        <v>2.7199999999999998</v>
      </c>
      <c r="Q55" s="85"/>
      <c r="R55" s="59">
        <f>'2015 Approved'!$X$24</f>
        <v>-2.9999999999999997E-4</v>
      </c>
      <c r="S55" s="42">
        <f>R55*S7</f>
        <v>-0.24</v>
      </c>
      <c r="T55" s="114">
        <f>'2016 Proposed'!$B$26</f>
        <v>3.3999999999999998E-3</v>
      </c>
      <c r="U55" s="7">
        <f>T55*U7</f>
        <v>2.7199999999999998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137.97928960000002</v>
      </c>
      <c r="E56" s="106"/>
      <c r="F56" s="7">
        <f>F48+SUM(F54:F55)</f>
        <v>137.6782192</v>
      </c>
      <c r="G56" s="85"/>
      <c r="H56" s="86"/>
      <c r="I56" s="42">
        <f>I48+I55+I54</f>
        <v>137.96560960000002</v>
      </c>
      <c r="J56" s="106"/>
      <c r="K56" s="7">
        <f>K48+K55+K54</f>
        <v>137.6782192</v>
      </c>
      <c r="L56" s="85"/>
      <c r="M56" s="86"/>
      <c r="N56" s="42">
        <f>N48+N55+N54</f>
        <v>146.05227840000001</v>
      </c>
      <c r="O56" s="106"/>
      <c r="P56" s="7">
        <f>P48+P55+P54</f>
        <v>144.63821919999998</v>
      </c>
      <c r="Q56" s="85"/>
      <c r="R56" s="86"/>
      <c r="S56" s="42">
        <f>S48+S55+S54</f>
        <v>144.8456305789845</v>
      </c>
      <c r="T56" s="106"/>
      <c r="U56" s="7">
        <f>U48+U55+U54</f>
        <v>141.99821919999999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17.937307648000001</v>
      </c>
      <c r="E57" s="106"/>
      <c r="F57" s="7">
        <f>F56*0.13</f>
        <v>17.898168496</v>
      </c>
      <c r="G57" s="85"/>
      <c r="H57" s="86"/>
      <c r="I57" s="42">
        <f>I56*0.13</f>
        <v>17.935529248000002</v>
      </c>
      <c r="J57" s="106"/>
      <c r="K57" s="7">
        <f>K56*0.13</f>
        <v>17.898168496</v>
      </c>
      <c r="L57" s="85"/>
      <c r="M57" s="86"/>
      <c r="N57" s="42">
        <f>N56*0.13</f>
        <v>18.986796192</v>
      </c>
      <c r="O57" s="106"/>
      <c r="P57" s="7">
        <f>P56*0.13</f>
        <v>18.802968495999998</v>
      </c>
      <c r="Q57" s="85"/>
      <c r="R57" s="86"/>
      <c r="S57" s="42">
        <f>S56*0.13</f>
        <v>18.829931975267986</v>
      </c>
      <c r="T57" s="106"/>
      <c r="U57" s="7">
        <f>U56*0.13</f>
        <v>18.459768495999999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-15.591659724800003</v>
      </c>
      <c r="E58" s="106"/>
      <c r="F58" s="7">
        <f>SUM(F56:F57)*-0.1</f>
        <v>-15.557638769600002</v>
      </c>
      <c r="G58" s="85"/>
      <c r="H58" s="86"/>
      <c r="I58" s="42">
        <f>SUM(I56:I57)*-0.1</f>
        <v>-15.590113884800003</v>
      </c>
      <c r="J58" s="106"/>
      <c r="K58" s="7">
        <f>SUM(K56:K57)*-0.1</f>
        <v>-15.557638769600002</v>
      </c>
      <c r="L58" s="85"/>
      <c r="M58" s="86"/>
      <c r="N58" s="42">
        <f>SUM(N56:N57)*-0.1</f>
        <v>-16.503907459200004</v>
      </c>
      <c r="O58" s="106"/>
      <c r="P58" s="7">
        <f>SUM(P56:P57)*-0.1</f>
        <v>-16.344118769599998</v>
      </c>
      <c r="Q58" s="85"/>
      <c r="R58" s="86"/>
      <c r="S58" s="42">
        <f>SUM(S56:S57)*-0.1</f>
        <v>-16.367556255425249</v>
      </c>
      <c r="T58" s="106"/>
      <c r="U58" s="7">
        <f>SUM(U56:U57)*-0.1</f>
        <v>-16.045798769600001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140.32493752320002</v>
      </c>
      <c r="E59" s="181"/>
      <c r="F59" s="182">
        <f>SUM(F56:F58)</f>
        <v>140.01874892640001</v>
      </c>
      <c r="G59" s="183">
        <f>F59-D59</f>
        <v>-0.30618859680001265</v>
      </c>
      <c r="H59" s="179"/>
      <c r="I59" s="180">
        <f>SUM(I56:I58)</f>
        <v>140.31102496320003</v>
      </c>
      <c r="J59" s="181"/>
      <c r="K59" s="182">
        <f>SUM(K56:K58)</f>
        <v>140.01874892640001</v>
      </c>
      <c r="L59" s="183">
        <f>K59-I59</f>
        <v>-0.29227603680001835</v>
      </c>
      <c r="M59" s="179"/>
      <c r="N59" s="180">
        <f>SUM(N56:N58)</f>
        <v>148.53516713280001</v>
      </c>
      <c r="O59" s="181"/>
      <c r="P59" s="182">
        <f>SUM(P56:P58)</f>
        <v>147.0970689264</v>
      </c>
      <c r="Q59" s="183">
        <f>P59-N59</f>
        <v>-1.4380982064000136</v>
      </c>
      <c r="R59" s="179"/>
      <c r="S59" s="180">
        <f>SUM(S56:S58)</f>
        <v>147.30800629882722</v>
      </c>
      <c r="T59" s="181"/>
      <c r="U59" s="182">
        <f>SUM(U56:U58)</f>
        <v>144.41218892640001</v>
      </c>
      <c r="V59" s="183">
        <f>U59-S59</f>
        <v>-2.8958173724272172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-2.1819970292122188E-3</v>
      </c>
      <c r="H60" s="186"/>
      <c r="I60" s="187"/>
      <c r="J60" s="188"/>
      <c r="K60" s="189"/>
      <c r="L60" s="190">
        <f>L59/I59</f>
        <v>-2.0830582406241764E-3</v>
      </c>
      <c r="M60" s="186"/>
      <c r="N60" s="187"/>
      <c r="O60" s="188"/>
      <c r="P60" s="189"/>
      <c r="Q60" s="190">
        <f>Q59/N59</f>
        <v>-9.6818701871070108E-3</v>
      </c>
      <c r="R60" s="186"/>
      <c r="S60" s="187"/>
      <c r="T60" s="188"/>
      <c r="U60" s="189"/>
      <c r="V60" s="190">
        <f>V59/S59</f>
        <v>-1.9658248354490641E-2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SUM(D18:D21)+D24+D33</f>
        <v>26.3</v>
      </c>
      <c r="E63" s="106"/>
      <c r="F63" s="7">
        <f>SUM(F18:F21)+F24+F33</f>
        <v>24.46</v>
      </c>
      <c r="G63" s="56">
        <f>F63-D63</f>
        <v>-1.8399999999999999</v>
      </c>
      <c r="H63" s="86"/>
      <c r="I63" s="42">
        <f>SUM(I18:I21)+I24+I33</f>
        <v>28.49</v>
      </c>
      <c r="J63" s="106"/>
      <c r="K63" s="7">
        <f>SUM(K18:K21)+K24+K33</f>
        <v>24.46</v>
      </c>
      <c r="L63" s="56">
        <f>K63-I63</f>
        <v>-4.0299999999999976</v>
      </c>
      <c r="M63" s="86"/>
      <c r="N63" s="42">
        <f>SUM(N18:N21)+N24+N33</f>
        <v>27.13</v>
      </c>
      <c r="O63" s="106"/>
      <c r="P63" s="7">
        <f>SUM(P18:P21)+P24+P33</f>
        <v>24.46</v>
      </c>
      <c r="Q63" s="56">
        <f>P63-N63</f>
        <v>-2.6699999999999982</v>
      </c>
      <c r="R63" s="86"/>
      <c r="S63" s="42">
        <f>SUM(S18:S21)+S24+S33</f>
        <v>25.77</v>
      </c>
      <c r="T63" s="106"/>
      <c r="U63" s="7">
        <f>SUM(U18:U21)+U24+U33</f>
        <v>24.46</v>
      </c>
      <c r="V63" s="56">
        <f>U63-S63</f>
        <v>-1.3099999999999987</v>
      </c>
    </row>
    <row r="64" spans="1:22" x14ac:dyDescent="0.25">
      <c r="A64" s="164">
        <f t="shared" ref="A64:A66" si="17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-5.6602716753213031E-2</v>
      </c>
      <c r="H64" s="166"/>
      <c r="I64" s="167"/>
      <c r="J64" s="168"/>
      <c r="K64" s="93"/>
      <c r="L64" s="169">
        <f>L63/SUM(I63:I66)</f>
        <v>-0.11267026125991358</v>
      </c>
      <c r="M64" s="166"/>
      <c r="N64" s="167"/>
      <c r="O64" s="168"/>
      <c r="P64" s="93"/>
      <c r="Q64" s="169">
        <f>Q63/SUM(N63:N66)</f>
        <v>-7.4065167760767242E-2</v>
      </c>
      <c r="R64" s="166"/>
      <c r="S64" s="167"/>
      <c r="T64" s="168"/>
      <c r="U64" s="93"/>
      <c r="V64" s="169">
        <f>V63/SUM(S63:S66)</f>
        <v>-3.2155685753627122E-2</v>
      </c>
    </row>
    <row r="65" spans="1:22" x14ac:dyDescent="0.25">
      <c r="A65" s="139">
        <f t="shared" si="17"/>
        <v>58</v>
      </c>
      <c r="B65" s="85" t="s">
        <v>121</v>
      </c>
      <c r="C65" s="86"/>
      <c r="D65" s="42">
        <f>D22+SUM(D25:D32)+D23</f>
        <v>6.2072736000000006</v>
      </c>
      <c r="E65" s="106"/>
      <c r="F65" s="7">
        <f>F22+SUM(F25:F32)+F23</f>
        <v>7.5817871999999902</v>
      </c>
      <c r="G65" s="56">
        <f>F65-D65</f>
        <v>1.3745135999999896</v>
      </c>
      <c r="H65" s="86"/>
      <c r="I65" s="42">
        <f>I22+SUM(I25:I32)+I23</f>
        <v>7.2780895999999995</v>
      </c>
      <c r="J65" s="106"/>
      <c r="K65" s="7">
        <f>K22+SUM(K25:K32)+K23</f>
        <v>7.5817871999999902</v>
      </c>
      <c r="L65" s="56">
        <f>K65-I65</f>
        <v>0.30369759999999069</v>
      </c>
      <c r="M65" s="86"/>
      <c r="N65" s="42">
        <f>N22+SUM(N25:N32)+N23</f>
        <v>8.9193344000000039</v>
      </c>
      <c r="O65" s="106"/>
      <c r="P65" s="7">
        <f>P22+SUM(P25:P32)+P23</f>
        <v>7.9017871999999905</v>
      </c>
      <c r="Q65" s="56">
        <f>P65-N65</f>
        <v>-1.0175472000000134</v>
      </c>
      <c r="R65" s="86"/>
      <c r="S65" s="42">
        <f>S22+SUM(S25:S32)+S23</f>
        <v>14.969296000000011</v>
      </c>
      <c r="T65" s="106"/>
      <c r="U65" s="7">
        <f>U22+SUM(U25:U32)+U23</f>
        <v>9.42178719999999</v>
      </c>
      <c r="V65" s="56">
        <f>U65-S65</f>
        <v>-5.5475088000000206</v>
      </c>
    </row>
    <row r="66" spans="1:22" ht="15.75" thickBot="1" x14ac:dyDescent="0.3">
      <c r="A66" s="170">
        <f t="shared" si="17"/>
        <v>59</v>
      </c>
      <c r="B66" s="171" t="s">
        <v>118</v>
      </c>
      <c r="C66" s="172"/>
      <c r="D66" s="173"/>
      <c r="E66" s="174"/>
      <c r="F66" s="175"/>
      <c r="G66" s="176">
        <f>G65/SUM(D63:D66)</f>
        <v>4.2283263029477484E-2</v>
      </c>
      <c r="H66" s="172"/>
      <c r="I66" s="173"/>
      <c r="J66" s="174"/>
      <c r="K66" s="175"/>
      <c r="L66" s="176">
        <f>L65/SUM(I63:I66)</f>
        <v>8.4907414233269737E-3</v>
      </c>
      <c r="M66" s="172"/>
      <c r="N66" s="173"/>
      <c r="O66" s="174"/>
      <c r="P66" s="175"/>
      <c r="Q66" s="176">
        <f>Q65/SUM(N63:N66)</f>
        <v>-2.8226518379213493E-2</v>
      </c>
      <c r="R66" s="172"/>
      <c r="S66" s="173"/>
      <c r="T66" s="174"/>
      <c r="U66" s="175"/>
      <c r="V66" s="176">
        <f>V65/SUM(S63:S66)</f>
        <v>-0.13617095396052056</v>
      </c>
    </row>
    <row r="67" spans="1:22" ht="15.75" thickBot="1" x14ac:dyDescent="0.3"/>
    <row r="68" spans="1:22" x14ac:dyDescent="0.25">
      <c r="A68" s="331" t="s">
        <v>111</v>
      </c>
      <c r="B68" s="333" t="s">
        <v>0</v>
      </c>
      <c r="C68" s="329" t="s">
        <v>115</v>
      </c>
      <c r="D68" s="330"/>
      <c r="E68" s="327" t="s">
        <v>116</v>
      </c>
      <c r="F68" s="327"/>
      <c r="G68" s="328"/>
      <c r="H68" s="329" t="s">
        <v>117</v>
      </c>
      <c r="I68" s="330"/>
      <c r="J68" s="327" t="s">
        <v>116</v>
      </c>
      <c r="K68" s="327"/>
      <c r="L68" s="328"/>
      <c r="M68" s="329" t="s">
        <v>124</v>
      </c>
      <c r="N68" s="330"/>
      <c r="O68" s="327" t="s">
        <v>116</v>
      </c>
      <c r="P68" s="327"/>
      <c r="Q68" s="328"/>
      <c r="R68" s="329" t="s">
        <v>123</v>
      </c>
      <c r="S68" s="330"/>
      <c r="T68" s="327" t="s">
        <v>116</v>
      </c>
      <c r="U68" s="327"/>
      <c r="V68" s="328"/>
    </row>
    <row r="69" spans="1:22" x14ac:dyDescent="0.25">
      <c r="A69" s="332"/>
      <c r="B69" s="334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103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103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103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103</v>
      </c>
    </row>
    <row r="70" spans="1:22" x14ac:dyDescent="0.25">
      <c r="A70" s="139">
        <v>1</v>
      </c>
      <c r="B70" s="85" t="s">
        <v>91</v>
      </c>
      <c r="C70" s="86"/>
      <c r="D70" s="252">
        <v>100</v>
      </c>
      <c r="E70" s="106"/>
      <c r="F70" s="1">
        <f>D70</f>
        <v>100</v>
      </c>
      <c r="G70" s="85"/>
      <c r="H70" s="86"/>
      <c r="I70" s="40">
        <f>D70</f>
        <v>100</v>
      </c>
      <c r="J70" s="106"/>
      <c r="K70" s="1">
        <f>I70</f>
        <v>100</v>
      </c>
      <c r="L70" s="85"/>
      <c r="M70" s="86"/>
      <c r="N70" s="40">
        <f>D70</f>
        <v>100</v>
      </c>
      <c r="O70" s="106"/>
      <c r="P70" s="1">
        <f>N70</f>
        <v>100</v>
      </c>
      <c r="Q70" s="85"/>
      <c r="R70" s="86"/>
      <c r="S70" s="40">
        <f>D70</f>
        <v>100</v>
      </c>
      <c r="T70" s="106"/>
      <c r="U70" s="1">
        <f>S70</f>
        <v>100</v>
      </c>
      <c r="V70" s="85"/>
    </row>
    <row r="71" spans="1:22" x14ac:dyDescent="0.25">
      <c r="A71" s="139">
        <f>A70+1</f>
        <v>2</v>
      </c>
      <c r="B71" s="85" t="s">
        <v>92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93</v>
      </c>
      <c r="C73" s="86"/>
      <c r="D73" s="40">
        <f>D70*D72</f>
        <v>104.28</v>
      </c>
      <c r="E73" s="106"/>
      <c r="F73" s="1">
        <f>F70*F72</f>
        <v>104.30999999999999</v>
      </c>
      <c r="G73" s="85"/>
      <c r="H73" s="86"/>
      <c r="I73" s="40">
        <f>I70*I72</f>
        <v>106.08</v>
      </c>
      <c r="J73" s="106"/>
      <c r="K73" s="1">
        <f>K70*K72</f>
        <v>104.30999999999999</v>
      </c>
      <c r="L73" s="85"/>
      <c r="M73" s="86"/>
      <c r="N73" s="40">
        <f>N70*N72</f>
        <v>106.62</v>
      </c>
      <c r="O73" s="106"/>
      <c r="P73" s="1">
        <f>P70*P72</f>
        <v>104.30999999999999</v>
      </c>
      <c r="Q73" s="85"/>
      <c r="R73" s="86"/>
      <c r="S73" s="40">
        <f>S70*S72</f>
        <v>105.80000000000001</v>
      </c>
      <c r="T73" s="106"/>
      <c r="U73" s="1">
        <f>U70*U72</f>
        <v>104.30999999999999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5.12</v>
      </c>
      <c r="E75" s="108">
        <f>'General Input'!$B$11</f>
        <v>0.08</v>
      </c>
      <c r="F75" s="7">
        <f>F$70*E75*TOU_OFF</f>
        <v>5.12</v>
      </c>
      <c r="G75" s="85"/>
      <c r="H75" s="84">
        <f>'General Input'!$B$11</f>
        <v>0.08</v>
      </c>
      <c r="I75" s="42">
        <f>I$70*H75*TOU_OFF</f>
        <v>5.12</v>
      </c>
      <c r="J75" s="108">
        <f>'General Input'!$B$11</f>
        <v>0.08</v>
      </c>
      <c r="K75" s="7">
        <f>K$70*J75*TOU_OFF</f>
        <v>5.12</v>
      </c>
      <c r="L75" s="85"/>
      <c r="M75" s="84">
        <f>'General Input'!$B$11</f>
        <v>0.08</v>
      </c>
      <c r="N75" s="42">
        <f>N$70*M75*TOU_OFF</f>
        <v>5.12</v>
      </c>
      <c r="O75" s="108">
        <f>'General Input'!$B$11</f>
        <v>0.08</v>
      </c>
      <c r="P75" s="7">
        <f>P$70*O75*TOU_OFF</f>
        <v>5.12</v>
      </c>
      <c r="Q75" s="85"/>
      <c r="R75" s="84">
        <f>'General Input'!$B$11</f>
        <v>0.08</v>
      </c>
      <c r="S75" s="42">
        <f>S$70*R75*TOU_OFF</f>
        <v>5.12</v>
      </c>
      <c r="T75" s="108">
        <f>'General Input'!$B$11</f>
        <v>0.08</v>
      </c>
      <c r="U75" s="7">
        <f>U$70*T75*TOU_OFF</f>
        <v>5.12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2.1959999999999997</v>
      </c>
      <c r="E76" s="108">
        <f>'General Input'!$B$12</f>
        <v>0.122</v>
      </c>
      <c r="F76" s="7">
        <f>F$70*E76*TOU_MID</f>
        <v>2.1959999999999997</v>
      </c>
      <c r="G76" s="85"/>
      <c r="H76" s="84">
        <f>'General Input'!$B$12</f>
        <v>0.122</v>
      </c>
      <c r="I76" s="42">
        <f>I$70*H76*TOU_MID</f>
        <v>2.1959999999999997</v>
      </c>
      <c r="J76" s="108">
        <f>'General Input'!$B$12</f>
        <v>0.122</v>
      </c>
      <c r="K76" s="7">
        <f>K$70*J76*TOU_MID</f>
        <v>2.1959999999999997</v>
      </c>
      <c r="L76" s="85"/>
      <c r="M76" s="84">
        <f>'General Input'!$B$12</f>
        <v>0.122</v>
      </c>
      <c r="N76" s="42">
        <f>N$70*M76*TOU_MID</f>
        <v>2.1959999999999997</v>
      </c>
      <c r="O76" s="108">
        <f>'General Input'!$B$12</f>
        <v>0.122</v>
      </c>
      <c r="P76" s="7">
        <f>P$70*O76*TOU_MID</f>
        <v>2.1959999999999997</v>
      </c>
      <c r="Q76" s="85"/>
      <c r="R76" s="84">
        <f>'General Input'!$B$12</f>
        <v>0.122</v>
      </c>
      <c r="S76" s="42">
        <f>S$70*R76*TOU_MID</f>
        <v>2.1959999999999997</v>
      </c>
      <c r="T76" s="108">
        <f>'General Input'!$B$12</f>
        <v>0.122</v>
      </c>
      <c r="U76" s="7">
        <f>U$70*T76*TOU_MID</f>
        <v>2.1959999999999997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2.8980000000000001</v>
      </c>
      <c r="E77" s="109">
        <f>'General Input'!$B$13</f>
        <v>0.161</v>
      </c>
      <c r="F77" s="70">
        <f>F$70*E77*TOU_ON</f>
        <v>2.8980000000000001</v>
      </c>
      <c r="G77" s="125"/>
      <c r="H77" s="124">
        <f>'General Input'!$B$13</f>
        <v>0.161</v>
      </c>
      <c r="I77" s="69">
        <f>I$70*H77*TOU_ON</f>
        <v>2.8980000000000001</v>
      </c>
      <c r="J77" s="109">
        <f>'General Input'!$B$13</f>
        <v>0.161</v>
      </c>
      <c r="K77" s="70">
        <f>K$70*J77*TOU_ON</f>
        <v>2.8980000000000001</v>
      </c>
      <c r="L77" s="125"/>
      <c r="M77" s="124">
        <f>'General Input'!$B$13</f>
        <v>0.161</v>
      </c>
      <c r="N77" s="69">
        <f>N$70*M77*TOU_ON</f>
        <v>2.8980000000000001</v>
      </c>
      <c r="O77" s="109">
        <f>'General Input'!$B$13</f>
        <v>0.161</v>
      </c>
      <c r="P77" s="70">
        <f>P$70*O77*TOU_ON</f>
        <v>2.8980000000000001</v>
      </c>
      <c r="Q77" s="125"/>
      <c r="R77" s="124">
        <f>'General Input'!$B$13</f>
        <v>0.161</v>
      </c>
      <c r="S77" s="69">
        <f>S$70*R77*TOU_ON</f>
        <v>2.8980000000000001</v>
      </c>
      <c r="T77" s="109">
        <f>'General Input'!$B$13</f>
        <v>0.161</v>
      </c>
      <c r="U77" s="70">
        <f>U$70*T77*TOU_ON</f>
        <v>2.8980000000000001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10.214</v>
      </c>
      <c r="E78" s="110"/>
      <c r="F78" s="95">
        <f>SUM(F75:F77)</f>
        <v>10.214</v>
      </c>
      <c r="G78" s="127">
        <f>D78-F78</f>
        <v>0</v>
      </c>
      <c r="H78" s="126"/>
      <c r="I78" s="96">
        <f>SUM(I75:I77)</f>
        <v>10.214</v>
      </c>
      <c r="J78" s="110"/>
      <c r="K78" s="95">
        <f>SUM(K75:K77)</f>
        <v>10.214</v>
      </c>
      <c r="L78" s="127">
        <f>I78-K78</f>
        <v>0</v>
      </c>
      <c r="M78" s="126"/>
      <c r="N78" s="96">
        <f>SUM(N75:N77)</f>
        <v>10.214</v>
      </c>
      <c r="O78" s="110"/>
      <c r="P78" s="95">
        <f>SUM(P75:P77)</f>
        <v>10.214</v>
      </c>
      <c r="Q78" s="127">
        <f>N78-P78</f>
        <v>0</v>
      </c>
      <c r="R78" s="126"/>
      <c r="S78" s="96">
        <f>SUM(S75:S77)</f>
        <v>10.214</v>
      </c>
      <c r="T78" s="110"/>
      <c r="U78" s="95">
        <f>SUM(U75:U77)</f>
        <v>10.214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118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Approved'!$B$4</f>
        <v>18.98</v>
      </c>
      <c r="D81" s="42">
        <f>C81</f>
        <v>18.98</v>
      </c>
      <c r="E81" s="113">
        <f>'2016 Proposed'!$B$3</f>
        <v>18.98</v>
      </c>
      <c r="F81" s="7">
        <f>E81</f>
        <v>18.98</v>
      </c>
      <c r="G81" s="85"/>
      <c r="H81" s="55">
        <f>'2015 Approved'!$M$4</f>
        <v>14.43</v>
      </c>
      <c r="I81" s="42">
        <f>H81</f>
        <v>14.43</v>
      </c>
      <c r="J81" s="113">
        <f>'2016 Proposed'!$B$3</f>
        <v>18.98</v>
      </c>
      <c r="K81" s="7">
        <f>J81</f>
        <v>18.98</v>
      </c>
      <c r="L81" s="85"/>
      <c r="M81" s="55">
        <f>'2015 Approved'!$T$4</f>
        <v>13.44</v>
      </c>
      <c r="N81" s="42">
        <f>M81</f>
        <v>13.44</v>
      </c>
      <c r="O81" s="113">
        <f>'2016 Proposed'!$B$3</f>
        <v>18.98</v>
      </c>
      <c r="P81" s="7">
        <f>O81</f>
        <v>18.98</v>
      </c>
      <c r="Q81" s="85"/>
      <c r="R81" s="55">
        <f>'2015 Approved'!$X$4</f>
        <v>12.52</v>
      </c>
      <c r="S81" s="42">
        <f>R81</f>
        <v>12.52</v>
      </c>
      <c r="T81" s="113">
        <f>'2016 Proposed'!$B$3</f>
        <v>18.98</v>
      </c>
      <c r="U81" s="7">
        <f>T81</f>
        <v>18.98</v>
      </c>
      <c r="V81" s="85"/>
    </row>
    <row r="82" spans="1:22" x14ac:dyDescent="0.25">
      <c r="A82" s="139">
        <f t="shared" si="18"/>
        <v>13</v>
      </c>
      <c r="B82" s="85" t="s">
        <v>86</v>
      </c>
      <c r="C82" s="55">
        <f>'2015 Approved'!$B$5</f>
        <v>0</v>
      </c>
      <c r="D82" s="42">
        <f t="shared" ref="D82:D85" si="19">C82</f>
        <v>0</v>
      </c>
      <c r="E82" s="113">
        <f>'2016 Proposed'!$B$5</f>
        <v>0</v>
      </c>
      <c r="F82" s="7">
        <f t="shared" ref="F82:F85" si="20">E82</f>
        <v>0</v>
      </c>
      <c r="G82" s="85"/>
      <c r="H82" s="55">
        <f>'2015 Approved'!$M$5</f>
        <v>1.23</v>
      </c>
      <c r="I82" s="42">
        <f t="shared" ref="I82:I85" si="21">H82</f>
        <v>1.23</v>
      </c>
      <c r="J82" s="113">
        <f>'2016 Proposed'!$B$5</f>
        <v>0</v>
      </c>
      <c r="K82" s="7">
        <f t="shared" ref="K82:K85" si="22">J82</f>
        <v>0</v>
      </c>
      <c r="L82" s="85"/>
      <c r="M82" s="55">
        <f>'2015 Approved'!$T$5</f>
        <v>1.2</v>
      </c>
      <c r="N82" s="42">
        <f t="shared" ref="N82:N85" si="23">M82</f>
        <v>1.2</v>
      </c>
      <c r="O82" s="113">
        <f>'2016 Proposed'!$B$5</f>
        <v>0</v>
      </c>
      <c r="P82" s="7">
        <f t="shared" ref="P82:P85" si="24">O82</f>
        <v>0</v>
      </c>
      <c r="Q82" s="85"/>
      <c r="R82" s="55">
        <f>'2015 Approved'!$X$5</f>
        <v>0.77</v>
      </c>
      <c r="S82" s="42">
        <f t="shared" ref="S82:S85" si="25">R82</f>
        <v>0.77</v>
      </c>
      <c r="T82" s="113">
        <f>'2016 Proposed'!$B$5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86</v>
      </c>
      <c r="C83" s="55">
        <f>'2015 Approved'!$B$6</f>
        <v>0</v>
      </c>
      <c r="D83" s="42">
        <f t="shared" si="19"/>
        <v>0</v>
      </c>
      <c r="E83" s="113">
        <f>'2016 Proposed'!$B$6</f>
        <v>0</v>
      </c>
      <c r="F83" s="7">
        <f t="shared" si="20"/>
        <v>0</v>
      </c>
      <c r="G83" s="85"/>
      <c r="H83" s="55">
        <f>'2015 Approved'!$M$6</f>
        <v>0.77</v>
      </c>
      <c r="I83" s="42">
        <f t="shared" si="21"/>
        <v>0.77</v>
      </c>
      <c r="J83" s="113">
        <f>'2016 Proposed'!$B$6</f>
        <v>0</v>
      </c>
      <c r="K83" s="7">
        <f t="shared" si="22"/>
        <v>0</v>
      </c>
      <c r="L83" s="85"/>
      <c r="M83" s="55">
        <f>'2015 Approved'!$T$6</f>
        <v>0</v>
      </c>
      <c r="N83" s="42">
        <f t="shared" si="23"/>
        <v>0</v>
      </c>
      <c r="O83" s="113">
        <f>'2016 Proposed'!$B$6</f>
        <v>0</v>
      </c>
      <c r="P83" s="7">
        <f t="shared" si="24"/>
        <v>0</v>
      </c>
      <c r="Q83" s="85"/>
      <c r="R83" s="55">
        <f>'2015 Approved'!$X$6</f>
        <v>0</v>
      </c>
      <c r="S83" s="42">
        <f t="shared" si="25"/>
        <v>0</v>
      </c>
      <c r="T83" s="113">
        <f>'2016 Proposed'!$B$6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Approved'!$B$7</f>
        <v>0.28000000000000003</v>
      </c>
      <c r="D84" s="42">
        <f t="shared" si="19"/>
        <v>0.28000000000000003</v>
      </c>
      <c r="E84" s="113">
        <f>'2016 Proposed'!$B$7</f>
        <v>0</v>
      </c>
      <c r="F84" s="7">
        <f t="shared" si="20"/>
        <v>0</v>
      </c>
      <c r="G84" s="85"/>
      <c r="H84" s="55">
        <f>'2015 Approved'!$M$7</f>
        <v>0.38</v>
      </c>
      <c r="I84" s="42">
        <f t="shared" si="21"/>
        <v>0.38</v>
      </c>
      <c r="J84" s="113">
        <f>'2016 Proposed'!$B$7</f>
        <v>0</v>
      </c>
      <c r="K84" s="7">
        <f t="shared" si="22"/>
        <v>0</v>
      </c>
      <c r="L84" s="85"/>
      <c r="M84" s="55">
        <f>'2015 Approved'!$T$7</f>
        <v>2.33</v>
      </c>
      <c r="N84" s="42">
        <f t="shared" si="23"/>
        <v>2.33</v>
      </c>
      <c r="O84" s="113">
        <f>'2016 Proposed'!$B$7</f>
        <v>0</v>
      </c>
      <c r="P84" s="7">
        <f t="shared" si="24"/>
        <v>0</v>
      </c>
      <c r="Q84" s="85"/>
      <c r="R84" s="55">
        <f>'2015 Approved'!$X$7</f>
        <v>2.4</v>
      </c>
      <c r="S84" s="42">
        <f t="shared" si="25"/>
        <v>2.4</v>
      </c>
      <c r="T84" s="113">
        <f>'2016 Proposed'!$B$7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95</v>
      </c>
      <c r="C85" s="55">
        <f>'2015 Approved'!$B$8</f>
        <v>0.79</v>
      </c>
      <c r="D85" s="42">
        <f t="shared" si="19"/>
        <v>0.79</v>
      </c>
      <c r="E85" s="113">
        <f>'2016 Proposed'!$B$8</f>
        <v>0.79</v>
      </c>
      <c r="F85" s="7">
        <f t="shared" si="20"/>
        <v>0.79</v>
      </c>
      <c r="G85" s="85"/>
      <c r="H85" s="55">
        <f>'2015 Approved'!$M$8</f>
        <v>0.79</v>
      </c>
      <c r="I85" s="42">
        <f t="shared" si="21"/>
        <v>0.79</v>
      </c>
      <c r="J85" s="113">
        <f>'2016 Proposed'!$B$8</f>
        <v>0.79</v>
      </c>
      <c r="K85" s="7">
        <f t="shared" si="22"/>
        <v>0.79</v>
      </c>
      <c r="L85" s="85"/>
      <c r="M85" s="55">
        <f>'2015 Approved'!$T$8</f>
        <v>0.79</v>
      </c>
      <c r="N85" s="42">
        <f t="shared" si="23"/>
        <v>0.79</v>
      </c>
      <c r="O85" s="113">
        <f>'2016 Proposed'!$B$8</f>
        <v>0.79</v>
      </c>
      <c r="P85" s="7">
        <f t="shared" si="24"/>
        <v>0.79</v>
      </c>
      <c r="Q85" s="85"/>
      <c r="R85" s="55">
        <f>'2015 Approved'!$X$8</f>
        <v>0.79</v>
      </c>
      <c r="S85" s="42">
        <f t="shared" si="25"/>
        <v>0.79</v>
      </c>
      <c r="T85" s="113">
        <f>'2016 Proposed'!$B$8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0.10214000000000001</v>
      </c>
      <c r="D86" s="42">
        <f>(D73-D70)*C86</f>
        <v>0.43715920000000014</v>
      </c>
      <c r="E86" s="114">
        <f>F78/$F$7</f>
        <v>1.2767500000000001E-2</v>
      </c>
      <c r="F86" s="7">
        <f>(F73-F70)*E86</f>
        <v>5.5027924999999853E-2</v>
      </c>
      <c r="G86" s="85"/>
      <c r="H86" s="59">
        <f>I78/I70</f>
        <v>0.10214000000000001</v>
      </c>
      <c r="I86" s="42">
        <f>(I73-I70)*H86</f>
        <v>0.62101119999999987</v>
      </c>
      <c r="J86" s="114">
        <f>K78/$F$7</f>
        <v>1.2767500000000001E-2</v>
      </c>
      <c r="K86" s="7">
        <f>(K73-K70)*J86</f>
        <v>5.5027924999999853E-2</v>
      </c>
      <c r="L86" s="85"/>
      <c r="M86" s="59">
        <f>N78/N70</f>
        <v>0.10214000000000001</v>
      </c>
      <c r="N86" s="42">
        <f>(N73-N70)*M86</f>
        <v>0.67616680000000051</v>
      </c>
      <c r="O86" s="114">
        <f>P78/$F$7</f>
        <v>1.2767500000000001E-2</v>
      </c>
      <c r="P86" s="7">
        <f>(P73-P70)*O86</f>
        <v>5.5027924999999853E-2</v>
      </c>
      <c r="Q86" s="85"/>
      <c r="R86" s="59">
        <f>S78/S70</f>
        <v>0.10214000000000001</v>
      </c>
      <c r="S86" s="42">
        <f>(S73-S70)*R86</f>
        <v>0.59241200000000116</v>
      </c>
      <c r="T86" s="114">
        <f>U78/$F$7</f>
        <v>1.2767500000000001E-2</v>
      </c>
      <c r="U86" s="7">
        <f>(U73-U70)*T86</f>
        <v>5.5027924999999853E-2</v>
      </c>
      <c r="V86" s="85"/>
    </row>
    <row r="87" spans="1:22" x14ac:dyDescent="0.25">
      <c r="A87" s="139">
        <f t="shared" si="18"/>
        <v>18</v>
      </c>
      <c r="B87" s="85" t="s">
        <v>90</v>
      </c>
      <c r="C87" s="59">
        <f>'2015 Approved'!$B$11</f>
        <v>8.8000000000000005E-3</v>
      </c>
      <c r="D87" s="42">
        <f>C87*D$70</f>
        <v>0.88</v>
      </c>
      <c r="E87" s="114">
        <f>'2016 Proposed'!$B$11</f>
        <v>8.6E-3</v>
      </c>
      <c r="F87" s="7">
        <f>E87*F$70</f>
        <v>0.86</v>
      </c>
      <c r="G87" s="85"/>
      <c r="H87" s="59">
        <f>'2015 Approved'!$M$11</f>
        <v>1.46E-2</v>
      </c>
      <c r="I87" s="42">
        <f>H87*I$70</f>
        <v>1.46</v>
      </c>
      <c r="J87" s="114">
        <f>'2016 Proposed'!$B$11</f>
        <v>8.6E-3</v>
      </c>
      <c r="K87" s="7">
        <f>J87*K$70</f>
        <v>0.86</v>
      </c>
      <c r="L87" s="85"/>
      <c r="M87" s="59">
        <f>'2015 Approved'!$T$11</f>
        <v>1.2699999999999999E-2</v>
      </c>
      <c r="N87" s="42">
        <f>M87*N$70</f>
        <v>1.27</v>
      </c>
      <c r="O87" s="114">
        <f>'2016 Proposed'!$B$11</f>
        <v>8.6E-3</v>
      </c>
      <c r="P87" s="7">
        <f>O87*P$70</f>
        <v>0.86</v>
      </c>
      <c r="Q87" s="85"/>
      <c r="R87" s="59">
        <f>'2015 Approved'!$X$11</f>
        <v>1.26E-2</v>
      </c>
      <c r="S87" s="42">
        <f>R87*S$70</f>
        <v>1.26</v>
      </c>
      <c r="T87" s="114">
        <f>'2016 Proposed'!$B$11</f>
        <v>8.6E-3</v>
      </c>
      <c r="U87" s="7">
        <f>T87*U$70</f>
        <v>0.86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Approved'!$B$12</f>
        <v>2.9999999999999997E-4</v>
      </c>
      <c r="D88" s="42">
        <f t="shared" ref="D88:D96" si="27">C88*D$70</f>
        <v>0.03</v>
      </c>
      <c r="E88" s="114">
        <f>'2016 Proposed'!$B$13</f>
        <v>1.8E-3</v>
      </c>
      <c r="F88" s="7">
        <f t="shared" ref="F88:F94" si="28">E88*F$70</f>
        <v>0.18</v>
      </c>
      <c r="G88" s="85"/>
      <c r="H88" s="59">
        <f>'2015 Approved'!$M$12</f>
        <v>2.9999999999999997E-4</v>
      </c>
      <c r="I88" s="42">
        <f t="shared" ref="I88:I96" si="29">H88*I$70</f>
        <v>0.03</v>
      </c>
      <c r="J88" s="114">
        <f>'2016 Proposed'!$B$13</f>
        <v>1.8E-3</v>
      </c>
      <c r="K88" s="7">
        <f t="shared" ref="K88:K94" si="30">J88*K$70</f>
        <v>0.18</v>
      </c>
      <c r="L88" s="85"/>
      <c r="M88" s="59">
        <f>'2015 Approved'!$T$12</f>
        <v>1.4E-3</v>
      </c>
      <c r="N88" s="42">
        <f t="shared" ref="N88:N96" si="31">M88*N$70</f>
        <v>0.13999999999999999</v>
      </c>
      <c r="O88" s="114">
        <f>'2016 Proposed'!$B$13</f>
        <v>1.8E-3</v>
      </c>
      <c r="P88" s="7">
        <f t="shared" ref="P88:P94" si="32">O88*P$70</f>
        <v>0.18</v>
      </c>
      <c r="Q88" s="85"/>
      <c r="R88" s="59">
        <f>'2015 Approved'!$X$12</f>
        <v>4.3E-3</v>
      </c>
      <c r="S88" s="42">
        <f t="shared" ref="S88:S96" si="33">R88*S$70</f>
        <v>0.43</v>
      </c>
      <c r="T88" s="114">
        <f>'2016 Proposed'!$B$13</f>
        <v>1.8E-3</v>
      </c>
      <c r="U88" s="7">
        <f t="shared" ref="U88:U94" si="34">T88*U$70</f>
        <v>0.18</v>
      </c>
      <c r="V88" s="85"/>
    </row>
    <row r="89" spans="1:22" x14ac:dyDescent="0.25">
      <c r="A89" s="139">
        <f t="shared" si="18"/>
        <v>20</v>
      </c>
      <c r="B89" s="85" t="s">
        <v>87</v>
      </c>
      <c r="C89" s="59">
        <f>'2015 Approved'!$B$13</f>
        <v>0</v>
      </c>
      <c r="D89" s="42">
        <f t="shared" si="27"/>
        <v>0</v>
      </c>
      <c r="E89" s="114">
        <f>'2016 Proposed'!$B$14</f>
        <v>0</v>
      </c>
      <c r="F89" s="7">
        <f t="shared" si="28"/>
        <v>0</v>
      </c>
      <c r="G89" s="85"/>
      <c r="H89" s="59">
        <f>'2015 Approved'!$M$13</f>
        <v>2.0000000000000001E-4</v>
      </c>
      <c r="I89" s="42">
        <f t="shared" si="29"/>
        <v>0.02</v>
      </c>
      <c r="J89" s="114">
        <f>'2016 Proposed'!$B$14</f>
        <v>0</v>
      </c>
      <c r="K89" s="7">
        <f t="shared" si="30"/>
        <v>0</v>
      </c>
      <c r="L89" s="85"/>
      <c r="M89" s="59">
        <f>'2015 Approved'!$T$13</f>
        <v>0</v>
      </c>
      <c r="N89" s="42">
        <f t="shared" si="31"/>
        <v>0</v>
      </c>
      <c r="O89" s="114">
        <f>'2016 Proposed'!$B$14</f>
        <v>0</v>
      </c>
      <c r="P89" s="7">
        <f t="shared" si="32"/>
        <v>0</v>
      </c>
      <c r="Q89" s="85"/>
      <c r="R89" s="59">
        <f>'2015 Approved'!$X$13</f>
        <v>0</v>
      </c>
      <c r="S89" s="42">
        <f t="shared" si="33"/>
        <v>0</v>
      </c>
      <c r="T89" s="114">
        <f>'2016 Proposed'!$B$14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Approved'!$B$14</f>
        <v>1E-4</v>
      </c>
      <c r="D90" s="42">
        <f t="shared" si="27"/>
        <v>0.01</v>
      </c>
      <c r="E90" s="114">
        <f>'2016 Proposed'!$B$15</f>
        <v>2.0000000000000001E-4</v>
      </c>
      <c r="F90" s="7">
        <f t="shared" si="28"/>
        <v>0.02</v>
      </c>
      <c r="G90" s="85"/>
      <c r="H90" s="59">
        <f>'2015 Approved'!$M$14</f>
        <v>2.0000000000000001E-4</v>
      </c>
      <c r="I90" s="42">
        <f t="shared" si="29"/>
        <v>0.02</v>
      </c>
      <c r="J90" s="114">
        <f>'2016 Proposed'!$B$15</f>
        <v>2.0000000000000001E-4</v>
      </c>
      <c r="K90" s="7">
        <f t="shared" si="30"/>
        <v>0.02</v>
      </c>
      <c r="L90" s="85"/>
      <c r="M90" s="59">
        <f>'2015 Approved'!$T$14</f>
        <v>0</v>
      </c>
      <c r="N90" s="42">
        <f t="shared" si="31"/>
        <v>0</v>
      </c>
      <c r="O90" s="114">
        <f>'2016 Proposed'!$B$15</f>
        <v>2.0000000000000001E-4</v>
      </c>
      <c r="P90" s="7">
        <f t="shared" si="32"/>
        <v>0.02</v>
      </c>
      <c r="Q90" s="85"/>
      <c r="R90" s="59">
        <f>'2015 Approved'!$X$14</f>
        <v>0</v>
      </c>
      <c r="S90" s="42">
        <f t="shared" si="33"/>
        <v>0</v>
      </c>
      <c r="T90" s="114">
        <f>'2016 Proposed'!$B$15</f>
        <v>2.0000000000000001E-4</v>
      </c>
      <c r="U90" s="7">
        <f t="shared" si="34"/>
        <v>0.02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Approved'!$B$15</f>
        <v>-2.0000000000000001E-4</v>
      </c>
      <c r="D91" s="42">
        <f t="shared" si="27"/>
        <v>-0.02</v>
      </c>
      <c r="E91" s="114">
        <f>'2016 Proposed'!$B$16</f>
        <v>0</v>
      </c>
      <c r="F91" s="7">
        <f t="shared" si="28"/>
        <v>0</v>
      </c>
      <c r="G91" s="85"/>
      <c r="H91" s="59">
        <f>'2015 Approved'!$M$15</f>
        <v>-2.0000000000000001E-4</v>
      </c>
      <c r="I91" s="42">
        <f t="shared" si="29"/>
        <v>-0.02</v>
      </c>
      <c r="J91" s="114">
        <f>'2016 Proposed'!$B$16</f>
        <v>0</v>
      </c>
      <c r="K91" s="7">
        <f t="shared" si="30"/>
        <v>0</v>
      </c>
      <c r="L91" s="85"/>
      <c r="M91" s="59">
        <f>'2015 Approved'!$T$15</f>
        <v>0</v>
      </c>
      <c r="N91" s="42">
        <f t="shared" si="31"/>
        <v>0</v>
      </c>
      <c r="O91" s="114">
        <f>'2016 Proposed'!$B$16</f>
        <v>0</v>
      </c>
      <c r="P91" s="7">
        <f t="shared" si="32"/>
        <v>0</v>
      </c>
      <c r="Q91" s="85"/>
      <c r="R91" s="59">
        <f>'2015 Approved'!$X$15</f>
        <v>0</v>
      </c>
      <c r="S91" s="42">
        <f t="shared" si="33"/>
        <v>0</v>
      </c>
      <c r="T91" s="114">
        <f>'2016 Proposed'!$B$16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101</v>
      </c>
      <c r="C92" s="59">
        <f>'2015 Approved'!$B$16</f>
        <v>0</v>
      </c>
      <c r="D92" s="42">
        <f t="shared" si="27"/>
        <v>0</v>
      </c>
      <c r="E92" s="114">
        <f>'2016 Proposed'!$B$17</f>
        <v>0</v>
      </c>
      <c r="F92" s="7">
        <f t="shared" si="28"/>
        <v>0</v>
      </c>
      <c r="G92" s="85"/>
      <c r="H92" s="59">
        <f>'2015 Approved'!$M$16</f>
        <v>0</v>
      </c>
      <c r="I92" s="42">
        <f t="shared" si="29"/>
        <v>0</v>
      </c>
      <c r="J92" s="114">
        <f>'2016 Proposed'!$B$17</f>
        <v>0</v>
      </c>
      <c r="K92" s="7">
        <f t="shared" si="30"/>
        <v>0</v>
      </c>
      <c r="L92" s="85"/>
      <c r="M92" s="59">
        <f>'2015 Approved'!$T$16</f>
        <v>4.0000000000000002E-4</v>
      </c>
      <c r="N92" s="42">
        <f t="shared" si="31"/>
        <v>0.04</v>
      </c>
      <c r="O92" s="114">
        <f>M92</f>
        <v>4.0000000000000002E-4</v>
      </c>
      <c r="P92" s="7">
        <f t="shared" si="32"/>
        <v>0.04</v>
      </c>
      <c r="Q92" s="85"/>
      <c r="R92" s="59">
        <f>'2015 Approved'!$X$16</f>
        <v>2.3E-3</v>
      </c>
      <c r="S92" s="42">
        <f t="shared" si="33"/>
        <v>0.22999999999999998</v>
      </c>
      <c r="T92" s="114">
        <f>R92</f>
        <v>2.3E-3</v>
      </c>
      <c r="U92" s="7">
        <f t="shared" si="34"/>
        <v>0.22999999999999998</v>
      </c>
      <c r="V92" s="85"/>
    </row>
    <row r="93" spans="1:22" x14ac:dyDescent="0.25">
      <c r="A93" s="139">
        <f t="shared" si="18"/>
        <v>24</v>
      </c>
      <c r="B93" s="85" t="s">
        <v>112</v>
      </c>
      <c r="C93" s="59">
        <f>'2015 Approved'!$B$17</f>
        <v>2.2000000000000001E-3</v>
      </c>
      <c r="D93" s="42">
        <f t="shared" si="27"/>
        <v>0.22</v>
      </c>
      <c r="E93" s="114">
        <f>'2016 Proposed'!$B$18</f>
        <v>0</v>
      </c>
      <c r="F93" s="7">
        <f t="shared" si="28"/>
        <v>0</v>
      </c>
      <c r="G93" s="85"/>
      <c r="H93" s="59">
        <f>'2015 Approved'!$M$17</f>
        <v>1.4E-3</v>
      </c>
      <c r="I93" s="42">
        <f t="shared" si="29"/>
        <v>0.13999999999999999</v>
      </c>
      <c r="J93" s="114">
        <f>'2016 Proposed'!$B$18</f>
        <v>0</v>
      </c>
      <c r="K93" s="7">
        <f t="shared" si="30"/>
        <v>0</v>
      </c>
      <c r="L93" s="85"/>
      <c r="M93" s="59">
        <f>'2015 Approved'!$T$17</f>
        <v>1.6000000000000001E-3</v>
      </c>
      <c r="N93" s="42">
        <f t="shared" si="31"/>
        <v>0.16</v>
      </c>
      <c r="O93" s="114">
        <f>'2016 Proposed'!$B$18</f>
        <v>0</v>
      </c>
      <c r="P93" s="7">
        <f t="shared" si="32"/>
        <v>0</v>
      </c>
      <c r="Q93" s="85"/>
      <c r="R93" s="59">
        <f>'2015 Approved'!$X$17</f>
        <v>5.1999999999999998E-3</v>
      </c>
      <c r="S93" s="42">
        <f t="shared" si="33"/>
        <v>0.52</v>
      </c>
      <c r="T93" s="114">
        <f>'2016 Proposed'!$B$18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102</v>
      </c>
      <c r="C94" s="59">
        <f>'2015 Approved'!$B$18</f>
        <v>0</v>
      </c>
      <c r="D94" s="42">
        <f t="shared" si="27"/>
        <v>0</v>
      </c>
      <c r="E94" s="114">
        <f>'2016 Proposed'!$B$19</f>
        <v>1.5E-3</v>
      </c>
      <c r="F94" s="7">
        <f t="shared" si="28"/>
        <v>0.15</v>
      </c>
      <c r="G94" s="85"/>
      <c r="H94" s="59">
        <f>'2015 Approved'!$M$18</f>
        <v>0</v>
      </c>
      <c r="I94" s="42">
        <f t="shared" si="29"/>
        <v>0</v>
      </c>
      <c r="J94" s="114">
        <f>'2016 Proposed'!$B$19</f>
        <v>1.5E-3</v>
      </c>
      <c r="K94" s="7">
        <f t="shared" si="30"/>
        <v>0.15</v>
      </c>
      <c r="L94" s="85"/>
      <c r="M94" s="59">
        <f>'2015 Approved'!$T$18</f>
        <v>0</v>
      </c>
      <c r="N94" s="42">
        <f t="shared" si="31"/>
        <v>0</v>
      </c>
      <c r="O94" s="114">
        <f>'2016 Proposed'!$B$19</f>
        <v>1.5E-3</v>
      </c>
      <c r="P94" s="7">
        <f t="shared" si="32"/>
        <v>0.15</v>
      </c>
      <c r="Q94" s="85"/>
      <c r="R94" s="59">
        <f>'2015 Approved'!$X$18</f>
        <v>0</v>
      </c>
      <c r="S94" s="42">
        <f t="shared" si="33"/>
        <v>0</v>
      </c>
      <c r="T94" s="114">
        <f>'2016 Proposed'!$B$19</f>
        <v>1.5E-3</v>
      </c>
      <c r="U94" s="7">
        <f t="shared" si="34"/>
        <v>0.15</v>
      </c>
      <c r="V94" s="85"/>
    </row>
    <row r="95" spans="1:22" x14ac:dyDescent="0.25">
      <c r="A95" s="139">
        <f t="shared" si="18"/>
        <v>26</v>
      </c>
      <c r="B95" s="85" t="s">
        <v>94</v>
      </c>
      <c r="C95" s="59">
        <f>'2015 Approved'!$B$19</f>
        <v>0</v>
      </c>
      <c r="D95" s="42">
        <f t="shared" si="27"/>
        <v>0</v>
      </c>
      <c r="E95" s="114">
        <f>'2016 Proposed'!$B$20</f>
        <v>0.47</v>
      </c>
      <c r="F95" s="7">
        <f>E95</f>
        <v>0.47</v>
      </c>
      <c r="G95" s="85"/>
      <c r="H95" s="59">
        <f>'2015 Approved'!$M$19</f>
        <v>0</v>
      </c>
      <c r="I95" s="42">
        <f t="shared" si="29"/>
        <v>0</v>
      </c>
      <c r="J95" s="114">
        <f>'2016 Proposed'!$B$20</f>
        <v>0.47</v>
      </c>
      <c r="K95" s="7">
        <f>J95</f>
        <v>0.47</v>
      </c>
      <c r="L95" s="85"/>
      <c r="M95" s="59">
        <f>'2015 Approved'!$T$19</f>
        <v>0</v>
      </c>
      <c r="N95" s="42">
        <f t="shared" si="31"/>
        <v>0</v>
      </c>
      <c r="O95" s="114">
        <f>'2016 Proposed'!$B$20</f>
        <v>0.47</v>
      </c>
      <c r="P95" s="7">
        <f>O95</f>
        <v>0.47</v>
      </c>
      <c r="Q95" s="85"/>
      <c r="R95" s="59">
        <f>'2015 Approved'!$X$19</f>
        <v>0</v>
      </c>
      <c r="S95" s="42">
        <f t="shared" si="33"/>
        <v>0</v>
      </c>
      <c r="T95" s="114">
        <f>'2016 Proposed'!$B$20</f>
        <v>0.47</v>
      </c>
      <c r="U95" s="7">
        <f>T95</f>
        <v>0.47</v>
      </c>
      <c r="V95" s="85"/>
    </row>
    <row r="96" spans="1:22" x14ac:dyDescent="0.25">
      <c r="A96" s="139">
        <f t="shared" si="18"/>
        <v>27</v>
      </c>
      <c r="B96" s="85" t="s">
        <v>104</v>
      </c>
      <c r="C96" s="59">
        <f>'2015 Approved'!$B$20</f>
        <v>0</v>
      </c>
      <c r="D96" s="42">
        <f t="shared" si="27"/>
        <v>0</v>
      </c>
      <c r="E96" s="114">
        <f>'2016 Proposed'!$B$21</f>
        <v>-1.4</v>
      </c>
      <c r="F96" s="7">
        <f>E96</f>
        <v>-1.4</v>
      </c>
      <c r="G96" s="85"/>
      <c r="H96" s="59">
        <f>'2015 Approved'!$M$20</f>
        <v>0</v>
      </c>
      <c r="I96" s="42">
        <f t="shared" si="29"/>
        <v>0</v>
      </c>
      <c r="J96" s="114">
        <f>'2016 Proposed'!$B$21</f>
        <v>-1.4</v>
      </c>
      <c r="K96" s="7">
        <f>J96</f>
        <v>-1.4</v>
      </c>
      <c r="L96" s="85"/>
      <c r="M96" s="59">
        <f>'2015 Approved'!$T$20</f>
        <v>0</v>
      </c>
      <c r="N96" s="42">
        <f t="shared" si="31"/>
        <v>0</v>
      </c>
      <c r="O96" s="114">
        <f>'2016 Proposed'!$B$21</f>
        <v>-1.4</v>
      </c>
      <c r="P96" s="7">
        <f>O96</f>
        <v>-1.4</v>
      </c>
      <c r="Q96" s="85"/>
      <c r="R96" s="59">
        <f>'2015 Approved'!$X$20</f>
        <v>0</v>
      </c>
      <c r="S96" s="42">
        <f t="shared" si="33"/>
        <v>0</v>
      </c>
      <c r="T96" s="114">
        <f>'2016 Proposed'!$B$21</f>
        <v>-1.4</v>
      </c>
      <c r="U96" s="7">
        <f>T96</f>
        <v>-1.4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21.607159200000002</v>
      </c>
      <c r="E97" s="110"/>
      <c r="F97" s="95">
        <f>SUM(F81:F96)</f>
        <v>20.105027924999998</v>
      </c>
      <c r="G97" s="127">
        <f>F97-D97</f>
        <v>-1.5021312750000035</v>
      </c>
      <c r="H97" s="126"/>
      <c r="I97" s="96">
        <f>SUM(I81:I96)</f>
        <v>19.871011200000002</v>
      </c>
      <c r="J97" s="110"/>
      <c r="K97" s="95">
        <f>SUM(K81:K96)</f>
        <v>20.105027924999998</v>
      </c>
      <c r="L97" s="127">
        <f>K97-I97</f>
        <v>0.23401672499999648</v>
      </c>
      <c r="M97" s="126"/>
      <c r="N97" s="96">
        <f>SUM(N81:N96)</f>
        <v>20.046166799999998</v>
      </c>
      <c r="O97" s="110"/>
      <c r="P97" s="95">
        <f>SUM(P81:P96)</f>
        <v>20.145027924999997</v>
      </c>
      <c r="Q97" s="127">
        <f>P97-N97</f>
        <v>9.8861124999999106E-2</v>
      </c>
      <c r="R97" s="126"/>
      <c r="S97" s="96">
        <f>SUM(S81:S96)</f>
        <v>19.512412000000001</v>
      </c>
      <c r="T97" s="110"/>
      <c r="U97" s="95">
        <f>SUM(U81:U96)</f>
        <v>20.335027924999999</v>
      </c>
      <c r="V97" s="127">
        <f>U97-S97</f>
        <v>0.82261592499999736</v>
      </c>
    </row>
    <row r="98" spans="1:22" x14ac:dyDescent="0.25">
      <c r="A98" s="144">
        <f t="shared" si="18"/>
        <v>29</v>
      </c>
      <c r="B98" s="145" t="s">
        <v>118</v>
      </c>
      <c r="C98" s="128"/>
      <c r="D98" s="120"/>
      <c r="E98" s="111"/>
      <c r="F98" s="97"/>
      <c r="G98" s="129">
        <f>G97/D97</f>
        <v>-6.9520072541512226E-2</v>
      </c>
      <c r="H98" s="128"/>
      <c r="I98" s="120"/>
      <c r="J98" s="111"/>
      <c r="K98" s="97"/>
      <c r="L98" s="129">
        <f>L97/I97</f>
        <v>1.1776789950176086E-2</v>
      </c>
      <c r="M98" s="128"/>
      <c r="N98" s="120"/>
      <c r="O98" s="111"/>
      <c r="P98" s="97"/>
      <c r="Q98" s="129">
        <f>Q97/N97</f>
        <v>4.9316722736238586E-3</v>
      </c>
      <c r="R98" s="128"/>
      <c r="S98" s="120"/>
      <c r="T98" s="111"/>
      <c r="U98" s="97"/>
      <c r="V98" s="129">
        <f>V97/S97</f>
        <v>4.2158597563437941E-2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68</v>
      </c>
      <c r="C100" s="59">
        <f>'2015 Approved'!$B$26</f>
        <v>7.4000000000000003E-3</v>
      </c>
      <c r="D100" s="42">
        <f>C100*D$73</f>
        <v>0.77167200000000002</v>
      </c>
      <c r="E100" s="114">
        <f>'2016 Proposed'!$B$28</f>
        <v>7.3000000000000001E-3</v>
      </c>
      <c r="F100" s="7">
        <f>E100*F$73</f>
        <v>0.76146299999999989</v>
      </c>
      <c r="G100" s="85"/>
      <c r="H100" s="59">
        <f>'2015 Approved'!$M$26</f>
        <v>7.1999999999999998E-3</v>
      </c>
      <c r="I100" s="42">
        <f>H100*I$73</f>
        <v>0.76377600000000001</v>
      </c>
      <c r="J100" s="114">
        <f>'2016 Proposed'!$B$28</f>
        <v>7.3000000000000001E-3</v>
      </c>
      <c r="K100" s="7">
        <f>J100*K$73</f>
        <v>0.76146299999999989</v>
      </c>
      <c r="L100" s="85"/>
      <c r="M100" s="59">
        <f>'2015 Approved'!$T$26</f>
        <v>7.6E-3</v>
      </c>
      <c r="N100" s="42">
        <f>M100*N$73</f>
        <v>0.81031200000000003</v>
      </c>
      <c r="O100" s="114">
        <f>'2016 Proposed'!$B$28</f>
        <v>7.3000000000000001E-3</v>
      </c>
      <c r="P100" s="7">
        <f>O100*P$73</f>
        <v>0.76146299999999989</v>
      </c>
      <c r="Q100" s="85"/>
      <c r="R100" s="59">
        <f>'2015 Approved'!$X$26</f>
        <v>7.4450068112693092E-3</v>
      </c>
      <c r="S100" s="42">
        <f>R100*S$73</f>
        <v>0.78768172063229303</v>
      </c>
      <c r="T100" s="114">
        <f>'2016 Proposed'!$B$28</f>
        <v>7.3000000000000001E-3</v>
      </c>
      <c r="U100" s="7">
        <f>T100*U$73</f>
        <v>0.76146299999999989</v>
      </c>
      <c r="V100" s="85"/>
    </row>
    <row r="101" spans="1:22" x14ac:dyDescent="0.25">
      <c r="A101" s="139">
        <f t="shared" si="18"/>
        <v>32</v>
      </c>
      <c r="B101" s="85" t="s">
        <v>69</v>
      </c>
      <c r="C101" s="59">
        <f>'2015 Approved'!$B$27</f>
        <v>5.3E-3</v>
      </c>
      <c r="D101" s="42">
        <f>C101*D$73</f>
        <v>0.55268399999999995</v>
      </c>
      <c r="E101" s="114">
        <f>'2016 Proposed'!$B$29</f>
        <v>5.4000000000000003E-3</v>
      </c>
      <c r="F101" s="7">
        <f>E101*F$73</f>
        <v>0.56327399999999994</v>
      </c>
      <c r="G101" s="85"/>
      <c r="H101" s="59">
        <f>'2015 Approved'!$M$27</f>
        <v>5.1000000000000004E-3</v>
      </c>
      <c r="I101" s="42">
        <f>H101*I$73</f>
        <v>0.54100800000000004</v>
      </c>
      <c r="J101" s="114">
        <f>'2016 Proposed'!$B$29</f>
        <v>5.4000000000000003E-3</v>
      </c>
      <c r="K101" s="7">
        <f>J101*K$73</f>
        <v>0.56327399999999994</v>
      </c>
      <c r="L101" s="85"/>
      <c r="M101" s="59">
        <f>'2015 Approved'!$T$27</f>
        <v>5.5999999999999999E-3</v>
      </c>
      <c r="N101" s="42">
        <f>M101*N$73</f>
        <v>0.59707200000000005</v>
      </c>
      <c r="O101" s="114">
        <f>'2016 Proposed'!$B$29</f>
        <v>5.4000000000000003E-3</v>
      </c>
      <c r="P101" s="7">
        <f>O101*P$73</f>
        <v>0.56327399999999994</v>
      </c>
      <c r="Q101" s="85"/>
      <c r="R101" s="59">
        <f>'2015 Approved'!$X$27</f>
        <v>3.7551994493456586E-3</v>
      </c>
      <c r="S101" s="42">
        <f>R101*S$73</f>
        <v>0.39730010174077074</v>
      </c>
      <c r="T101" s="114">
        <f>'2016 Proposed'!$B$29</f>
        <v>5.4000000000000003E-3</v>
      </c>
      <c r="U101" s="7">
        <f>T101*U$73</f>
        <v>0.56327399999999994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1.3243559999999999</v>
      </c>
      <c r="E102" s="110"/>
      <c r="F102" s="95">
        <f>SUM(F100:F101)</f>
        <v>1.3247369999999998</v>
      </c>
      <c r="G102" s="127">
        <f>F102-D102</f>
        <v>3.809999999999647E-4</v>
      </c>
      <c r="H102" s="126"/>
      <c r="I102" s="96">
        <f>SUM(I100:I101)</f>
        <v>1.3047840000000002</v>
      </c>
      <c r="J102" s="110"/>
      <c r="K102" s="95">
        <f>SUM(K100:K101)</f>
        <v>1.3247369999999998</v>
      </c>
      <c r="L102" s="127">
        <f>K102-I102</f>
        <v>1.9952999999999665E-2</v>
      </c>
      <c r="M102" s="126"/>
      <c r="N102" s="96">
        <f>SUM(N100:N101)</f>
        <v>1.407384</v>
      </c>
      <c r="O102" s="110"/>
      <c r="P102" s="95">
        <f>SUM(P100:P101)</f>
        <v>1.3247369999999998</v>
      </c>
      <c r="Q102" s="127">
        <f>P102-N102</f>
        <v>-8.2647000000000137E-2</v>
      </c>
      <c r="R102" s="126"/>
      <c r="S102" s="96">
        <f>SUM(S100:S101)</f>
        <v>1.1849818223730637</v>
      </c>
      <c r="T102" s="110"/>
      <c r="U102" s="95">
        <f>SUM(U100:U101)</f>
        <v>1.3247369999999998</v>
      </c>
      <c r="V102" s="127">
        <f>U102-S102</f>
        <v>0.13975517762693612</v>
      </c>
    </row>
    <row r="103" spans="1:22" x14ac:dyDescent="0.25">
      <c r="A103" s="144">
        <f t="shared" si="18"/>
        <v>34</v>
      </c>
      <c r="B103" s="145" t="s">
        <v>118</v>
      </c>
      <c r="C103" s="128"/>
      <c r="D103" s="120"/>
      <c r="E103" s="111"/>
      <c r="F103" s="97"/>
      <c r="G103" s="129">
        <f>G102/D102</f>
        <v>2.8768699654772942E-4</v>
      </c>
      <c r="H103" s="128"/>
      <c r="I103" s="120"/>
      <c r="J103" s="111"/>
      <c r="K103" s="97"/>
      <c r="L103" s="129">
        <f>L102/I102</f>
        <v>1.5292186292903395E-2</v>
      </c>
      <c r="M103" s="128"/>
      <c r="N103" s="120"/>
      <c r="O103" s="111"/>
      <c r="P103" s="97"/>
      <c r="Q103" s="129">
        <f>Q102/N102</f>
        <v>-5.8723845091318456E-2</v>
      </c>
      <c r="R103" s="128"/>
      <c r="S103" s="120"/>
      <c r="T103" s="111"/>
      <c r="U103" s="97"/>
      <c r="V103" s="129">
        <f>V102/S102</f>
        <v>0.11793866790889682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66</v>
      </c>
      <c r="C105" s="59">
        <f>WMSR+RRRP</f>
        <v>5.7000000000000002E-3</v>
      </c>
      <c r="D105" s="42">
        <f>C105*D73</f>
        <v>0.59439600000000004</v>
      </c>
      <c r="E105" s="114">
        <f>WMSR+RRRP</f>
        <v>5.7000000000000002E-3</v>
      </c>
      <c r="F105" s="7">
        <f>E105*F73</f>
        <v>0.59456699999999996</v>
      </c>
      <c r="G105" s="85"/>
      <c r="H105" s="59">
        <f>WMSR+RRRP</f>
        <v>5.7000000000000002E-3</v>
      </c>
      <c r="I105" s="42">
        <f>H105*I73</f>
        <v>0.60465599999999997</v>
      </c>
      <c r="J105" s="114">
        <f>WMSR+RRRP</f>
        <v>5.7000000000000002E-3</v>
      </c>
      <c r="K105" s="7">
        <f>J105*K73</f>
        <v>0.59456699999999996</v>
      </c>
      <c r="L105" s="85"/>
      <c r="M105" s="59">
        <f>WMSR+RRRP</f>
        <v>5.7000000000000002E-3</v>
      </c>
      <c r="N105" s="42">
        <f>M105*N73</f>
        <v>0.607734</v>
      </c>
      <c r="O105" s="114">
        <f>WMSR+RRRP</f>
        <v>5.7000000000000002E-3</v>
      </c>
      <c r="P105" s="7">
        <f>O105*P73</f>
        <v>0.59456699999999996</v>
      </c>
      <c r="Q105" s="85"/>
      <c r="R105" s="59">
        <f>WMSR+RRRP</f>
        <v>5.7000000000000002E-3</v>
      </c>
      <c r="S105" s="42">
        <f>R105*S73</f>
        <v>0.60306000000000004</v>
      </c>
      <c r="T105" s="114">
        <f>WMSR+RRRP</f>
        <v>5.7000000000000002E-3</v>
      </c>
      <c r="U105" s="7">
        <f>T105*U73</f>
        <v>0.59456699999999996</v>
      </c>
      <c r="V105" s="85"/>
    </row>
    <row r="106" spans="1:22" x14ac:dyDescent="0.25">
      <c r="A106" s="139">
        <f t="shared" si="18"/>
        <v>37</v>
      </c>
      <c r="B106" s="85" t="s">
        <v>67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0.70000000000000007</v>
      </c>
      <c r="E107" s="114">
        <v>7.0000000000000001E-3</v>
      </c>
      <c r="F107" s="7">
        <f>E107*F70</f>
        <v>0.70000000000000007</v>
      </c>
      <c r="G107" s="85"/>
      <c r="H107" s="59">
        <v>7.0000000000000001E-3</v>
      </c>
      <c r="I107" s="42">
        <f>H107*I70</f>
        <v>0.70000000000000007</v>
      </c>
      <c r="J107" s="114">
        <v>7.0000000000000001E-3</v>
      </c>
      <c r="K107" s="7">
        <f>J107*K70</f>
        <v>0.70000000000000007</v>
      </c>
      <c r="L107" s="85"/>
      <c r="M107" s="59">
        <v>7.0000000000000001E-3</v>
      </c>
      <c r="N107" s="42">
        <f>M107*N70</f>
        <v>0.70000000000000007</v>
      </c>
      <c r="O107" s="114">
        <v>7.0000000000000001E-3</v>
      </c>
      <c r="P107" s="7">
        <f>O107*P70</f>
        <v>0.70000000000000007</v>
      </c>
      <c r="Q107" s="85"/>
      <c r="R107" s="59">
        <v>7.0000000000000001E-3</v>
      </c>
      <c r="S107" s="42">
        <f>R107*S70</f>
        <v>0.70000000000000007</v>
      </c>
      <c r="T107" s="114">
        <v>7.0000000000000001E-3</v>
      </c>
      <c r="U107" s="7">
        <f>T107*U70</f>
        <v>0.70000000000000007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1.5443960000000001</v>
      </c>
      <c r="E109" s="110"/>
      <c r="F109" s="95">
        <f>SUM(F105:F108)</f>
        <v>1.544567</v>
      </c>
      <c r="G109" s="127">
        <f>F109-D109</f>
        <v>1.7099999999992122E-4</v>
      </c>
      <c r="H109" s="126"/>
      <c r="I109" s="96">
        <f>SUM(I105:I108)</f>
        <v>1.554656</v>
      </c>
      <c r="J109" s="110"/>
      <c r="K109" s="95">
        <f>SUM(K105:K108)</f>
        <v>1.544567</v>
      </c>
      <c r="L109" s="127">
        <f>K109-I109</f>
        <v>-1.0089000000000015E-2</v>
      </c>
      <c r="M109" s="126"/>
      <c r="N109" s="96">
        <f>SUM(N105:N108)</f>
        <v>1.557734</v>
      </c>
      <c r="O109" s="110"/>
      <c r="P109" s="95">
        <f>SUM(P105:P108)</f>
        <v>1.544567</v>
      </c>
      <c r="Q109" s="127">
        <f>P109-N109</f>
        <v>-1.3166999999999929E-2</v>
      </c>
      <c r="R109" s="126"/>
      <c r="S109" s="96">
        <f>SUM(S105:S108)</f>
        <v>1.5530600000000001</v>
      </c>
      <c r="T109" s="110"/>
      <c r="U109" s="95">
        <f>SUM(U105:U108)</f>
        <v>1.544567</v>
      </c>
      <c r="V109" s="127">
        <f>U109-S109</f>
        <v>-8.4930000000000838E-3</v>
      </c>
    </row>
    <row r="110" spans="1:22" x14ac:dyDescent="0.25">
      <c r="A110" s="144">
        <f t="shared" si="18"/>
        <v>41</v>
      </c>
      <c r="B110" s="145" t="s">
        <v>118</v>
      </c>
      <c r="C110" s="128"/>
      <c r="D110" s="120"/>
      <c r="E110" s="111"/>
      <c r="F110" s="97"/>
      <c r="G110" s="129">
        <f>G109/D109</f>
        <v>1.1072289749515099E-4</v>
      </c>
      <c r="H110" s="128"/>
      <c r="I110" s="120"/>
      <c r="J110" s="111"/>
      <c r="K110" s="97"/>
      <c r="L110" s="129">
        <f>L109/I109</f>
        <v>-6.4895385217051326E-3</v>
      </c>
      <c r="M110" s="128"/>
      <c r="N110" s="120"/>
      <c r="O110" s="111"/>
      <c r="P110" s="97"/>
      <c r="Q110" s="129">
        <f>Q109/N109</f>
        <v>-8.4526626497206381E-3</v>
      </c>
      <c r="R110" s="128"/>
      <c r="S110" s="120"/>
      <c r="T110" s="111"/>
      <c r="U110" s="97"/>
      <c r="V110" s="129">
        <f>V109/S109</f>
        <v>-5.4685588451187225E-3</v>
      </c>
    </row>
    <row r="111" spans="1:22" x14ac:dyDescent="0.25">
      <c r="A111" s="147">
        <f t="shared" si="18"/>
        <v>42</v>
      </c>
      <c r="B111" s="133" t="s">
        <v>129</v>
      </c>
      <c r="C111" s="132"/>
      <c r="D111" s="122">
        <f>D78+D97+D102+D109</f>
        <v>34.689911200000004</v>
      </c>
      <c r="E111" s="115"/>
      <c r="F111" s="102">
        <f>F78+F97+F102+F109</f>
        <v>33.188331925</v>
      </c>
      <c r="G111" s="133"/>
      <c r="H111" s="132"/>
      <c r="I111" s="122">
        <f>I78+I97+I102+I109</f>
        <v>32.944451200000003</v>
      </c>
      <c r="J111" s="115"/>
      <c r="K111" s="102">
        <f>K78+K97+K102+K109</f>
        <v>33.188331925</v>
      </c>
      <c r="L111" s="133"/>
      <c r="M111" s="132"/>
      <c r="N111" s="122">
        <f>N78+N97+N102+N109</f>
        <v>33.225284799999997</v>
      </c>
      <c r="O111" s="115"/>
      <c r="P111" s="102">
        <f>P78+P97+P102+P109</f>
        <v>33.228331924999999</v>
      </c>
      <c r="Q111" s="133"/>
      <c r="R111" s="132"/>
      <c r="S111" s="122">
        <f>S78+S97+S102+S109</f>
        <v>32.464453822373066</v>
      </c>
      <c r="T111" s="115"/>
      <c r="U111" s="102">
        <f>U78+U97+U102+U109</f>
        <v>33.418331924999997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4.509688456000001</v>
      </c>
      <c r="E112" s="116"/>
      <c r="F112" s="99">
        <f>F111*0.13</f>
        <v>4.3144831502500001</v>
      </c>
      <c r="G112" s="134"/>
      <c r="H112" s="87"/>
      <c r="I112" s="43">
        <f>I111*0.13</f>
        <v>4.2827786560000005</v>
      </c>
      <c r="J112" s="116"/>
      <c r="K112" s="99">
        <f>K111*0.13</f>
        <v>4.3144831502500001</v>
      </c>
      <c r="L112" s="134"/>
      <c r="M112" s="87"/>
      <c r="N112" s="43">
        <f>N111*0.13</f>
        <v>4.3192870239999994</v>
      </c>
      <c r="O112" s="116"/>
      <c r="P112" s="99">
        <f>P111*0.13</f>
        <v>4.3196831502500004</v>
      </c>
      <c r="Q112" s="134"/>
      <c r="R112" s="87"/>
      <c r="S112" s="43">
        <f>S111*0.13</f>
        <v>4.220378996908499</v>
      </c>
      <c r="T112" s="116"/>
      <c r="U112" s="99">
        <f>U111*0.13</f>
        <v>4.3443831502499997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-3.9199599656000004</v>
      </c>
      <c r="E113" s="117"/>
      <c r="F113" s="70">
        <f>SUM(F111:F112)*-0.1</f>
        <v>-3.750281507525</v>
      </c>
      <c r="G113" s="125"/>
      <c r="H113" s="88"/>
      <c r="I113" s="69">
        <f>SUM(I111:I112)*-0.1</f>
        <v>-3.7227229856000004</v>
      </c>
      <c r="J113" s="117"/>
      <c r="K113" s="70">
        <f>SUM(K111:K112)*-0.1</f>
        <v>-3.750281507525</v>
      </c>
      <c r="L113" s="125"/>
      <c r="M113" s="88"/>
      <c r="N113" s="69">
        <f>SUM(N111:N112)*-0.1</f>
        <v>-3.7544571823999995</v>
      </c>
      <c r="O113" s="117"/>
      <c r="P113" s="70">
        <f>SUM(P111:P112)*-0.1</f>
        <v>-3.7548015075250003</v>
      </c>
      <c r="Q113" s="125"/>
      <c r="R113" s="88"/>
      <c r="S113" s="69">
        <f>SUM(S111:S112)*-0.1</f>
        <v>-3.668483281928157</v>
      </c>
      <c r="T113" s="117"/>
      <c r="U113" s="70">
        <f>SUM(U111:U112)*-0.1</f>
        <v>-3.7762715075250002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35.279639690400003</v>
      </c>
      <c r="E114" s="118"/>
      <c r="F114" s="103">
        <f>SUM(F111:F113)</f>
        <v>33.752533567724996</v>
      </c>
      <c r="G114" s="136">
        <f>F114-D114</f>
        <v>-1.5271061226750078</v>
      </c>
      <c r="H114" s="135"/>
      <c r="I114" s="104">
        <f>SUM(I111:I113)</f>
        <v>33.5045068704</v>
      </c>
      <c r="J114" s="118"/>
      <c r="K114" s="103">
        <f>SUM(K111:K113)</f>
        <v>33.752533567724996</v>
      </c>
      <c r="L114" s="136">
        <f>K114-I114</f>
        <v>0.24802669732499538</v>
      </c>
      <c r="M114" s="135"/>
      <c r="N114" s="104">
        <f>SUM(N111:N113)</f>
        <v>33.790114641599999</v>
      </c>
      <c r="O114" s="118"/>
      <c r="P114" s="103">
        <f>SUM(P111:P113)</f>
        <v>33.793213567724997</v>
      </c>
      <c r="Q114" s="136">
        <f>P114-N114</f>
        <v>3.0989261249985134E-3</v>
      </c>
      <c r="R114" s="135"/>
      <c r="S114" s="104">
        <f>SUM(S111:S113)</f>
        <v>33.016349537353413</v>
      </c>
      <c r="T114" s="118"/>
      <c r="U114" s="103">
        <f>SUM(U111:U113)</f>
        <v>33.986443567724997</v>
      </c>
      <c r="V114" s="136">
        <f>U114-S114</f>
        <v>0.97009403037158393</v>
      </c>
    </row>
    <row r="115" spans="1:22" x14ac:dyDescent="0.25">
      <c r="A115" s="151">
        <f t="shared" si="18"/>
        <v>46</v>
      </c>
      <c r="B115" s="152" t="s">
        <v>118</v>
      </c>
      <c r="C115" s="137"/>
      <c r="D115" s="123"/>
      <c r="E115" s="119"/>
      <c r="F115" s="105"/>
      <c r="G115" s="138">
        <f>G114/D114</f>
        <v>-4.3285763008814142E-2</v>
      </c>
      <c r="H115" s="137"/>
      <c r="I115" s="123"/>
      <c r="J115" s="119"/>
      <c r="K115" s="105"/>
      <c r="L115" s="138">
        <f>L114/I114</f>
        <v>7.4027860873880774E-3</v>
      </c>
      <c r="M115" s="137"/>
      <c r="N115" s="123"/>
      <c r="O115" s="119"/>
      <c r="P115" s="105"/>
      <c r="Q115" s="138">
        <f>Q114/N114</f>
        <v>9.1711027259532729E-5</v>
      </c>
      <c r="R115" s="137"/>
      <c r="S115" s="123"/>
      <c r="T115" s="119"/>
      <c r="U115" s="105"/>
      <c r="V115" s="138">
        <f>V114/S114</f>
        <v>2.9382231650838846E-2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127</v>
      </c>
      <c r="C117" s="202">
        <f>'2015 Approved'!$B$23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Approved'!$M$23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Approved'!$X$23</f>
        <v>3.0999999999999999E-3</v>
      </c>
      <c r="S117" s="43">
        <f>R117*S70</f>
        <v>0.31</v>
      </c>
      <c r="T117" s="203">
        <f>R117</f>
        <v>3.0999999999999999E-3</v>
      </c>
      <c r="U117" s="7">
        <f>T117*U70</f>
        <v>0.31</v>
      </c>
      <c r="V117" s="134"/>
    </row>
    <row r="118" spans="1:22" x14ac:dyDescent="0.25">
      <c r="A118" s="148">
        <f>A117+1</f>
        <v>49</v>
      </c>
      <c r="B118" s="85" t="s">
        <v>128</v>
      </c>
      <c r="C118" s="59">
        <f>'2015 Approved'!$B$24</f>
        <v>3.1999999999999997E-3</v>
      </c>
      <c r="D118" s="42">
        <f>C118*D70</f>
        <v>0.31999999999999995</v>
      </c>
      <c r="E118" s="203">
        <f>'2016 Proposed'!$B$26</f>
        <v>3.3999999999999998E-3</v>
      </c>
      <c r="F118" s="7">
        <f>E118*F70</f>
        <v>0.33999999999999997</v>
      </c>
      <c r="G118" s="85"/>
      <c r="H118" s="59">
        <f>'2015 Approved'!$M$24</f>
        <v>-8.0000000000000004E-4</v>
      </c>
      <c r="I118" s="42">
        <f>H118*I70</f>
        <v>-0.08</v>
      </c>
      <c r="J118" s="114">
        <f>'2016 Proposed'!$B$26</f>
        <v>3.3999999999999998E-3</v>
      </c>
      <c r="K118" s="7">
        <f>J118*K70</f>
        <v>0.33999999999999997</v>
      </c>
      <c r="L118" s="85"/>
      <c r="M118" s="59">
        <f>'2015 Approved'!$T$24</f>
        <v>-4.0000000000000002E-4</v>
      </c>
      <c r="N118" s="42">
        <f>M118*N70</f>
        <v>-0.04</v>
      </c>
      <c r="O118" s="114">
        <f>'2016 Proposed'!$B$26</f>
        <v>3.3999999999999998E-3</v>
      </c>
      <c r="P118" s="7">
        <f>O118*P70</f>
        <v>0.33999999999999997</v>
      </c>
      <c r="Q118" s="85"/>
      <c r="R118" s="59">
        <f>'2015 Approved'!$X$24</f>
        <v>-2.9999999999999997E-4</v>
      </c>
      <c r="S118" s="42">
        <f>R118*S70</f>
        <v>-0.03</v>
      </c>
      <c r="T118" s="114">
        <f>'2016 Proposed'!$B$26</f>
        <v>3.3999999999999998E-3</v>
      </c>
      <c r="U118" s="7">
        <f>T118*U70</f>
        <v>0.33999999999999997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35.009911200000005</v>
      </c>
      <c r="E119" s="106"/>
      <c r="F119" s="7">
        <f>F111+SUM(F117:F118)</f>
        <v>33.528331925000003</v>
      </c>
      <c r="G119" s="85"/>
      <c r="H119" s="86"/>
      <c r="I119" s="42">
        <f>I111+I118+I117</f>
        <v>32.864451200000005</v>
      </c>
      <c r="J119" s="106"/>
      <c r="K119" s="7">
        <f>K111+K118+K117</f>
        <v>33.528331925000003</v>
      </c>
      <c r="L119" s="85"/>
      <c r="M119" s="86"/>
      <c r="N119" s="42">
        <f>N111+N118+N117</f>
        <v>33.185284799999998</v>
      </c>
      <c r="O119" s="106"/>
      <c r="P119" s="7">
        <f>P111+P118+P117</f>
        <v>33.568331925000003</v>
      </c>
      <c r="Q119" s="85"/>
      <c r="R119" s="86"/>
      <c r="S119" s="42">
        <f>S111+S118+S117</f>
        <v>32.744453822373067</v>
      </c>
      <c r="T119" s="106"/>
      <c r="U119" s="7">
        <f>U111+U118+U117</f>
        <v>34.068331925000003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4.5512884560000009</v>
      </c>
      <c r="E120" s="106"/>
      <c r="F120" s="7">
        <f>F119*0.13</f>
        <v>4.358683150250001</v>
      </c>
      <c r="G120" s="85"/>
      <c r="H120" s="86"/>
      <c r="I120" s="42">
        <f>I119*0.13</f>
        <v>4.2723786560000008</v>
      </c>
      <c r="J120" s="106"/>
      <c r="K120" s="7">
        <f>K119*0.13</f>
        <v>4.358683150250001</v>
      </c>
      <c r="L120" s="85"/>
      <c r="M120" s="86"/>
      <c r="N120" s="42">
        <f>N119*0.13</f>
        <v>4.314087024</v>
      </c>
      <c r="O120" s="106"/>
      <c r="P120" s="7">
        <f>P119*0.13</f>
        <v>4.3638831502500004</v>
      </c>
      <c r="Q120" s="85"/>
      <c r="R120" s="86"/>
      <c r="S120" s="42">
        <f>S119*0.13</f>
        <v>4.2567789969084986</v>
      </c>
      <c r="T120" s="106"/>
      <c r="U120" s="7">
        <f>U119*0.13</f>
        <v>4.4288831502500008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-3.956119965600001</v>
      </c>
      <c r="E121" s="106"/>
      <c r="F121" s="7">
        <f>SUM(F119:F120)*-0.1</f>
        <v>-3.7887015075250008</v>
      </c>
      <c r="G121" s="85"/>
      <c r="H121" s="86"/>
      <c r="I121" s="42">
        <f>SUM(I119:I120)*-0.1</f>
        <v>-3.7136829856000007</v>
      </c>
      <c r="J121" s="106"/>
      <c r="K121" s="7">
        <f>SUM(K119:K120)*-0.1</f>
        <v>-3.7887015075250008</v>
      </c>
      <c r="L121" s="85"/>
      <c r="M121" s="86"/>
      <c r="N121" s="42">
        <f>SUM(N119:N120)*-0.1</f>
        <v>-3.7499371824000001</v>
      </c>
      <c r="O121" s="106"/>
      <c r="P121" s="7">
        <f>SUM(P119:P120)*-0.1</f>
        <v>-3.7932215075250002</v>
      </c>
      <c r="Q121" s="85"/>
      <c r="R121" s="86"/>
      <c r="S121" s="42">
        <f>SUM(S119:S120)*-0.1</f>
        <v>-3.7001232819281569</v>
      </c>
      <c r="T121" s="106"/>
      <c r="U121" s="7">
        <f>SUM(U119:U120)*-0.1</f>
        <v>-3.8497215075250004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35.605079690400004</v>
      </c>
      <c r="E122" s="181"/>
      <c r="F122" s="182">
        <f>SUM(F119:F121)</f>
        <v>34.098313567725008</v>
      </c>
      <c r="G122" s="183">
        <f>F122-D122</f>
        <v>-1.5067661226749962</v>
      </c>
      <c r="H122" s="179"/>
      <c r="I122" s="180">
        <f>SUM(I119:I121)</f>
        <v>33.423146870400004</v>
      </c>
      <c r="J122" s="181"/>
      <c r="K122" s="182">
        <f>SUM(K119:K121)</f>
        <v>34.098313567725008</v>
      </c>
      <c r="L122" s="183">
        <f>K122-I122</f>
        <v>0.6751666973250039</v>
      </c>
      <c r="M122" s="179"/>
      <c r="N122" s="180">
        <f>SUM(N119:N121)</f>
        <v>33.749434641600004</v>
      </c>
      <c r="O122" s="181"/>
      <c r="P122" s="182">
        <f>SUM(P119:P121)</f>
        <v>34.138993567725002</v>
      </c>
      <c r="Q122" s="183">
        <f>P122-N122</f>
        <v>0.3895589261249981</v>
      </c>
      <c r="R122" s="179"/>
      <c r="S122" s="180">
        <f>SUM(S119:S121)</f>
        <v>33.301109537353412</v>
      </c>
      <c r="T122" s="181"/>
      <c r="U122" s="182">
        <f>SUM(U119:U121)</f>
        <v>34.647493567725007</v>
      </c>
      <c r="V122" s="183">
        <f>U122-S122</f>
        <v>1.3463840303715955</v>
      </c>
    </row>
    <row r="123" spans="1:22" ht="15.75" thickBot="1" x14ac:dyDescent="0.3">
      <c r="A123" s="184">
        <f>A122+1</f>
        <v>54</v>
      </c>
      <c r="B123" s="185" t="s">
        <v>118</v>
      </c>
      <c r="C123" s="186"/>
      <c r="D123" s="187"/>
      <c r="E123" s="188"/>
      <c r="F123" s="189"/>
      <c r="G123" s="190">
        <f>G122/D122</f>
        <v>-4.2318852696775655E-2</v>
      </c>
      <c r="H123" s="186"/>
      <c r="I123" s="187"/>
      <c r="J123" s="188"/>
      <c r="K123" s="189"/>
      <c r="L123" s="190">
        <f>L122/I122</f>
        <v>2.0200572374079497E-2</v>
      </c>
      <c r="M123" s="186"/>
      <c r="N123" s="187"/>
      <c r="O123" s="188"/>
      <c r="P123" s="189"/>
      <c r="Q123" s="190">
        <f>Q122/N122</f>
        <v>1.1542680055588918E-2</v>
      </c>
      <c r="R123" s="186"/>
      <c r="S123" s="187"/>
      <c r="T123" s="188"/>
      <c r="U123" s="189"/>
      <c r="V123" s="190">
        <f>V122/S122</f>
        <v>4.0430605738868079E-2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120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103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103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103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103</v>
      </c>
    </row>
    <row r="126" spans="1:22" x14ac:dyDescent="0.25">
      <c r="A126" s="139">
        <f>A125+1</f>
        <v>56</v>
      </c>
      <c r="B126" s="85" t="s">
        <v>119</v>
      </c>
      <c r="C126" s="86"/>
      <c r="D126" s="42">
        <f>SUM(D81:D84)+D87+D96</f>
        <v>20.14</v>
      </c>
      <c r="E126" s="106"/>
      <c r="F126" s="7">
        <f>SUM(F81:F84)+F87+F96</f>
        <v>18.440000000000001</v>
      </c>
      <c r="G126" s="56">
        <f>F126-D126</f>
        <v>-1.6999999999999993</v>
      </c>
      <c r="H126" s="86"/>
      <c r="I126" s="42">
        <f>SUM(I81:I84)+I87+I96</f>
        <v>18.27</v>
      </c>
      <c r="J126" s="106"/>
      <c r="K126" s="7">
        <f>SUM(K81:K84)+K87+K96</f>
        <v>18.440000000000001</v>
      </c>
      <c r="L126" s="56">
        <f>K126-I126</f>
        <v>0.17000000000000171</v>
      </c>
      <c r="M126" s="86"/>
      <c r="N126" s="42">
        <f>SUM(N81:N84)+N87+N96</f>
        <v>18.239999999999998</v>
      </c>
      <c r="O126" s="106"/>
      <c r="P126" s="7">
        <f>SUM(P81:P84)+P87+P96</f>
        <v>18.440000000000001</v>
      </c>
      <c r="Q126" s="56">
        <f>P126-N126</f>
        <v>0.20000000000000284</v>
      </c>
      <c r="R126" s="86"/>
      <c r="S126" s="42">
        <f>SUM(S81:S84)+S87+S96</f>
        <v>16.95</v>
      </c>
      <c r="T126" s="106"/>
      <c r="U126" s="7">
        <f>SUM(U81:U84)+U87+U96</f>
        <v>18.440000000000001</v>
      </c>
      <c r="V126" s="56">
        <f>U126-S126</f>
        <v>1.490000000000002</v>
      </c>
    </row>
    <row r="127" spans="1:22" x14ac:dyDescent="0.25">
      <c r="A127" s="164">
        <f t="shared" ref="A127:A129" si="35">A126+1</f>
        <v>57</v>
      </c>
      <c r="B127" s="165" t="s">
        <v>118</v>
      </c>
      <c r="C127" s="166"/>
      <c r="D127" s="167"/>
      <c r="E127" s="168"/>
      <c r="F127" s="93"/>
      <c r="G127" s="169">
        <f>G126/SUM(D126:D129)</f>
        <v>-7.8677626441517545E-2</v>
      </c>
      <c r="H127" s="166"/>
      <c r="I127" s="167"/>
      <c r="J127" s="168"/>
      <c r="K127" s="93"/>
      <c r="L127" s="169">
        <f>L126/SUM(I126:I129)</f>
        <v>8.5551760949136666E-3</v>
      </c>
      <c r="M127" s="166"/>
      <c r="N127" s="167"/>
      <c r="O127" s="168"/>
      <c r="P127" s="93"/>
      <c r="Q127" s="169">
        <f>Q126/SUM(N126:N129)</f>
        <v>9.9769697616206039E-3</v>
      </c>
      <c r="R127" s="166"/>
      <c r="S127" s="167"/>
      <c r="T127" s="168"/>
      <c r="U127" s="93"/>
      <c r="V127" s="169">
        <f>V126/SUM(S126:S129)</f>
        <v>7.6361651240246561E-2</v>
      </c>
    </row>
    <row r="128" spans="1:22" x14ac:dyDescent="0.25">
      <c r="A128" s="139">
        <f t="shared" si="35"/>
        <v>58</v>
      </c>
      <c r="B128" s="85" t="s">
        <v>121</v>
      </c>
      <c r="C128" s="86"/>
      <c r="D128" s="42">
        <f>D85+SUM(D88:D95)+D86</f>
        <v>1.4671592000000002</v>
      </c>
      <c r="E128" s="106"/>
      <c r="F128" s="7">
        <f>F85+SUM(F88:F95)+F86</f>
        <v>1.6650279249999997</v>
      </c>
      <c r="G128" s="56">
        <f>F128-D128</f>
        <v>0.19786872499999952</v>
      </c>
      <c r="H128" s="86"/>
      <c r="I128" s="42">
        <f>I85+SUM(I88:I95)+I86</f>
        <v>1.6010111999999999</v>
      </c>
      <c r="J128" s="106"/>
      <c r="K128" s="7">
        <f>K85+SUM(K88:K95)+K86</f>
        <v>1.6650279249999997</v>
      </c>
      <c r="L128" s="56">
        <f>K128-I128</f>
        <v>6.4016724999999886E-2</v>
      </c>
      <c r="M128" s="86"/>
      <c r="N128" s="42">
        <f>N85+SUM(N88:N95)+N86</f>
        <v>1.8061668000000004</v>
      </c>
      <c r="O128" s="106"/>
      <c r="P128" s="7">
        <f>P85+SUM(P88:P95)+P86</f>
        <v>1.7050279249999998</v>
      </c>
      <c r="Q128" s="56">
        <f>P128-N128</f>
        <v>-0.10113887500000063</v>
      </c>
      <c r="R128" s="86"/>
      <c r="S128" s="42">
        <f>S85+SUM(S88:S95)+S86</f>
        <v>2.562412000000001</v>
      </c>
      <c r="T128" s="106"/>
      <c r="U128" s="7">
        <f>U85+SUM(U88:U95)+U86</f>
        <v>1.8950279249999997</v>
      </c>
      <c r="V128" s="56">
        <f>U128-S128</f>
        <v>-0.6673840750000013</v>
      </c>
    </row>
    <row r="129" spans="1:22" ht="15.75" thickBot="1" x14ac:dyDescent="0.3">
      <c r="A129" s="170">
        <f t="shared" si="35"/>
        <v>59</v>
      </c>
      <c r="B129" s="171" t="s">
        <v>118</v>
      </c>
      <c r="C129" s="172"/>
      <c r="D129" s="173"/>
      <c r="E129" s="174"/>
      <c r="F129" s="175"/>
      <c r="G129" s="176">
        <f>G128/SUM(D126:D129)</f>
        <v>9.1575539000054908E-3</v>
      </c>
      <c r="H129" s="172"/>
      <c r="I129" s="173"/>
      <c r="J129" s="174"/>
      <c r="K129" s="175"/>
      <c r="L129" s="176">
        <f>L128/SUM(I126:I129)</f>
        <v>3.22161385526268E-3</v>
      </c>
      <c r="M129" s="172"/>
      <c r="N129" s="173"/>
      <c r="O129" s="174"/>
      <c r="P129" s="175"/>
      <c r="Q129" s="176">
        <f>Q128/SUM(N126:N129)</f>
        <v>-5.04529748799659E-3</v>
      </c>
      <c r="R129" s="172"/>
      <c r="S129" s="173"/>
      <c r="T129" s="174"/>
      <c r="U129" s="175"/>
      <c r="V129" s="176">
        <f>V128/SUM(S126:S129)</f>
        <v>-3.4203053676808447E-2</v>
      </c>
    </row>
    <row r="130" spans="1:22" ht="15.75" thickBot="1" x14ac:dyDescent="0.3"/>
    <row r="131" spans="1:22" x14ac:dyDescent="0.25">
      <c r="A131" s="331" t="s">
        <v>111</v>
      </c>
      <c r="B131" s="333" t="s">
        <v>0</v>
      </c>
      <c r="C131" s="329" t="s">
        <v>115</v>
      </c>
      <c r="D131" s="330"/>
      <c r="E131" s="327" t="s">
        <v>116</v>
      </c>
      <c r="F131" s="327"/>
      <c r="G131" s="328"/>
      <c r="H131" s="329" t="s">
        <v>117</v>
      </c>
      <c r="I131" s="330"/>
      <c r="J131" s="327" t="s">
        <v>116</v>
      </c>
      <c r="K131" s="327"/>
      <c r="L131" s="328"/>
      <c r="M131" s="329" t="s">
        <v>124</v>
      </c>
      <c r="N131" s="330"/>
      <c r="O131" s="327" t="s">
        <v>116</v>
      </c>
      <c r="P131" s="327"/>
      <c r="Q131" s="328"/>
      <c r="R131" s="329" t="s">
        <v>123</v>
      </c>
      <c r="S131" s="330"/>
      <c r="T131" s="327" t="s">
        <v>116</v>
      </c>
      <c r="U131" s="327"/>
      <c r="V131" s="328"/>
    </row>
    <row r="132" spans="1:22" x14ac:dyDescent="0.25">
      <c r="A132" s="332"/>
      <c r="B132" s="334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103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103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103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103</v>
      </c>
    </row>
    <row r="133" spans="1:22" x14ac:dyDescent="0.25">
      <c r="A133" s="139">
        <v>1</v>
      </c>
      <c r="B133" s="85" t="s">
        <v>91</v>
      </c>
      <c r="C133" s="86"/>
      <c r="D133" s="252">
        <v>250</v>
      </c>
      <c r="E133" s="106"/>
      <c r="F133" s="1">
        <f>D133</f>
        <v>250</v>
      </c>
      <c r="G133" s="85"/>
      <c r="H133" s="86"/>
      <c r="I133" s="40">
        <f>D133</f>
        <v>250</v>
      </c>
      <c r="J133" s="106"/>
      <c r="K133" s="1">
        <f>I133</f>
        <v>250</v>
      </c>
      <c r="L133" s="85"/>
      <c r="M133" s="86"/>
      <c r="N133" s="40">
        <f>D133</f>
        <v>250</v>
      </c>
      <c r="O133" s="106"/>
      <c r="P133" s="1">
        <f>N133</f>
        <v>250</v>
      </c>
      <c r="Q133" s="85"/>
      <c r="R133" s="86"/>
      <c r="S133" s="40">
        <f>D133</f>
        <v>250</v>
      </c>
      <c r="T133" s="106"/>
      <c r="U133" s="1">
        <f>S133</f>
        <v>250</v>
      </c>
      <c r="V133" s="85"/>
    </row>
    <row r="134" spans="1:22" x14ac:dyDescent="0.25">
      <c r="A134" s="139">
        <f>A133+1</f>
        <v>2</v>
      </c>
      <c r="B134" s="85" t="s">
        <v>92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93</v>
      </c>
      <c r="C136" s="86"/>
      <c r="D136" s="40">
        <f>D133*D135</f>
        <v>260.7</v>
      </c>
      <c r="E136" s="106"/>
      <c r="F136" s="1">
        <f>F133*F135</f>
        <v>260.77499999999998</v>
      </c>
      <c r="G136" s="85"/>
      <c r="H136" s="86"/>
      <c r="I136" s="40">
        <f>I133*I135</f>
        <v>265.2</v>
      </c>
      <c r="J136" s="106"/>
      <c r="K136" s="1">
        <f>K133*K135</f>
        <v>260.77499999999998</v>
      </c>
      <c r="L136" s="85"/>
      <c r="M136" s="86"/>
      <c r="N136" s="40">
        <f>N133*N135</f>
        <v>266.55</v>
      </c>
      <c r="O136" s="106"/>
      <c r="P136" s="1">
        <f>P133*P135</f>
        <v>260.77499999999998</v>
      </c>
      <c r="Q136" s="85"/>
      <c r="R136" s="86"/>
      <c r="S136" s="40">
        <f>S133*S135</f>
        <v>264.5</v>
      </c>
      <c r="T136" s="106"/>
      <c r="U136" s="1">
        <f>U133*U135</f>
        <v>260.77499999999998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12.8</v>
      </c>
      <c r="E138" s="108">
        <f>'General Input'!$B$11</f>
        <v>0.08</v>
      </c>
      <c r="F138" s="7">
        <f>F$133*E138*TOU_OFF</f>
        <v>12.8</v>
      </c>
      <c r="G138" s="85"/>
      <c r="H138" s="84">
        <f>'General Input'!$B$11</f>
        <v>0.08</v>
      </c>
      <c r="I138" s="42">
        <f>I$133*H138*TOU_OFF</f>
        <v>12.8</v>
      </c>
      <c r="J138" s="108">
        <f>'General Input'!$B$11</f>
        <v>0.08</v>
      </c>
      <c r="K138" s="7">
        <f>K$133*J138*TOU_OFF</f>
        <v>12.8</v>
      </c>
      <c r="L138" s="85"/>
      <c r="M138" s="84">
        <f>'General Input'!$B$11</f>
        <v>0.08</v>
      </c>
      <c r="N138" s="42">
        <f>N$133*M138*TOU_OFF</f>
        <v>12.8</v>
      </c>
      <c r="O138" s="108">
        <f>'General Input'!$B$11</f>
        <v>0.08</v>
      </c>
      <c r="P138" s="7">
        <f>P$133*O138*TOU_OFF</f>
        <v>12.8</v>
      </c>
      <c r="Q138" s="85"/>
      <c r="R138" s="84">
        <f>'General Input'!$B$11</f>
        <v>0.08</v>
      </c>
      <c r="S138" s="42">
        <f>S$133*R138*TOU_OFF</f>
        <v>12.8</v>
      </c>
      <c r="T138" s="108">
        <f>'General Input'!$B$11</f>
        <v>0.08</v>
      </c>
      <c r="U138" s="7">
        <f>U$133*T138*TOU_OFF</f>
        <v>12.8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5.49</v>
      </c>
      <c r="E139" s="108">
        <f>'General Input'!$B$12</f>
        <v>0.122</v>
      </c>
      <c r="F139" s="7">
        <f>F$133*E139*TOU_MID</f>
        <v>5.49</v>
      </c>
      <c r="G139" s="85"/>
      <c r="H139" s="84">
        <f>'General Input'!$B$12</f>
        <v>0.122</v>
      </c>
      <c r="I139" s="42">
        <f>I$133*H139*TOU_MID</f>
        <v>5.49</v>
      </c>
      <c r="J139" s="108">
        <f>'General Input'!$B$12</f>
        <v>0.122</v>
      </c>
      <c r="K139" s="7">
        <f>K$133*J139*TOU_MID</f>
        <v>5.49</v>
      </c>
      <c r="L139" s="85"/>
      <c r="M139" s="84">
        <f>'General Input'!$B$12</f>
        <v>0.122</v>
      </c>
      <c r="N139" s="42">
        <f>N$133*M139*TOU_MID</f>
        <v>5.49</v>
      </c>
      <c r="O139" s="108">
        <f>'General Input'!$B$12</f>
        <v>0.122</v>
      </c>
      <c r="P139" s="7">
        <f>P$133*O139*TOU_MID</f>
        <v>5.49</v>
      </c>
      <c r="Q139" s="85"/>
      <c r="R139" s="84">
        <f>'General Input'!$B$12</f>
        <v>0.122</v>
      </c>
      <c r="S139" s="42">
        <f>S$133*R139*TOU_MID</f>
        <v>5.49</v>
      </c>
      <c r="T139" s="108">
        <f>'General Input'!$B$12</f>
        <v>0.122</v>
      </c>
      <c r="U139" s="7">
        <f>U$133*T139*TOU_MID</f>
        <v>5.49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7.2450000000000001</v>
      </c>
      <c r="E140" s="109">
        <f>'General Input'!$B$13</f>
        <v>0.161</v>
      </c>
      <c r="F140" s="70">
        <f>F$133*E140*TOU_ON</f>
        <v>7.2450000000000001</v>
      </c>
      <c r="G140" s="125"/>
      <c r="H140" s="124">
        <f>'General Input'!$B$13</f>
        <v>0.161</v>
      </c>
      <c r="I140" s="69">
        <f>I$133*H140*TOU_ON</f>
        <v>7.2450000000000001</v>
      </c>
      <c r="J140" s="109">
        <f>'General Input'!$B$13</f>
        <v>0.161</v>
      </c>
      <c r="K140" s="70">
        <f>K$133*J140*TOU_ON</f>
        <v>7.2450000000000001</v>
      </c>
      <c r="L140" s="125"/>
      <c r="M140" s="124">
        <f>'General Input'!$B$13</f>
        <v>0.161</v>
      </c>
      <c r="N140" s="69">
        <f>N$133*M140*TOU_ON</f>
        <v>7.2450000000000001</v>
      </c>
      <c r="O140" s="109">
        <f>'General Input'!$B$13</f>
        <v>0.161</v>
      </c>
      <c r="P140" s="70">
        <f>P$133*O140*TOU_ON</f>
        <v>7.2450000000000001</v>
      </c>
      <c r="Q140" s="125"/>
      <c r="R140" s="124">
        <f>'General Input'!$B$13</f>
        <v>0.161</v>
      </c>
      <c r="S140" s="69">
        <f>S$133*R140*TOU_ON</f>
        <v>7.2450000000000001</v>
      </c>
      <c r="T140" s="109">
        <f>'General Input'!$B$13</f>
        <v>0.161</v>
      </c>
      <c r="U140" s="70">
        <f>U$133*T140*TOU_ON</f>
        <v>7.2450000000000001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25.535</v>
      </c>
      <c r="E141" s="110"/>
      <c r="F141" s="95">
        <f>SUM(F138:F140)</f>
        <v>25.535</v>
      </c>
      <c r="G141" s="127">
        <f>D141-F141</f>
        <v>0</v>
      </c>
      <c r="H141" s="126"/>
      <c r="I141" s="96">
        <f>SUM(I138:I140)</f>
        <v>25.535</v>
      </c>
      <c r="J141" s="110"/>
      <c r="K141" s="95">
        <f>SUM(K138:K140)</f>
        <v>25.535</v>
      </c>
      <c r="L141" s="127">
        <f>I141-K141</f>
        <v>0</v>
      </c>
      <c r="M141" s="126"/>
      <c r="N141" s="96">
        <f>SUM(N138:N140)</f>
        <v>25.535</v>
      </c>
      <c r="O141" s="110"/>
      <c r="P141" s="95">
        <f>SUM(P138:P140)</f>
        <v>25.535</v>
      </c>
      <c r="Q141" s="127">
        <f>N141-P141</f>
        <v>0</v>
      </c>
      <c r="R141" s="126"/>
      <c r="S141" s="96">
        <f>SUM(S138:S140)</f>
        <v>25.535</v>
      </c>
      <c r="T141" s="110"/>
      <c r="U141" s="95">
        <f>SUM(U138:U140)</f>
        <v>25.535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118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Approved'!$B$4</f>
        <v>18.98</v>
      </c>
      <c r="D144" s="42">
        <f>C144</f>
        <v>18.98</v>
      </c>
      <c r="E144" s="113">
        <f>'2016 Proposed'!$B$3</f>
        <v>18.98</v>
      </c>
      <c r="F144" s="7">
        <f>E144</f>
        <v>18.98</v>
      </c>
      <c r="G144" s="85"/>
      <c r="H144" s="55">
        <f>'2015 Approved'!$M$4</f>
        <v>14.43</v>
      </c>
      <c r="I144" s="42">
        <f>H144</f>
        <v>14.43</v>
      </c>
      <c r="J144" s="113">
        <f>'2016 Proposed'!$B$3</f>
        <v>18.98</v>
      </c>
      <c r="K144" s="7">
        <f>J144</f>
        <v>18.98</v>
      </c>
      <c r="L144" s="85"/>
      <c r="M144" s="55">
        <f>'2015 Approved'!$T$4</f>
        <v>13.44</v>
      </c>
      <c r="N144" s="42">
        <f>M144</f>
        <v>13.44</v>
      </c>
      <c r="O144" s="113">
        <f>'2016 Proposed'!$B$3</f>
        <v>18.98</v>
      </c>
      <c r="P144" s="7">
        <f>O144</f>
        <v>18.98</v>
      </c>
      <c r="Q144" s="85"/>
      <c r="R144" s="55">
        <f>'2015 Approved'!$X$4</f>
        <v>12.52</v>
      </c>
      <c r="S144" s="42">
        <f>R144</f>
        <v>12.52</v>
      </c>
      <c r="T144" s="113">
        <f>'2016 Proposed'!$B$3</f>
        <v>18.98</v>
      </c>
      <c r="U144" s="7">
        <f>T144</f>
        <v>18.98</v>
      </c>
      <c r="V144" s="85"/>
    </row>
    <row r="145" spans="1:22" x14ac:dyDescent="0.25">
      <c r="A145" s="139">
        <f t="shared" si="36"/>
        <v>13</v>
      </c>
      <c r="B145" s="85" t="s">
        <v>86</v>
      </c>
      <c r="C145" s="55">
        <f>'2015 Approved'!$B$5</f>
        <v>0</v>
      </c>
      <c r="D145" s="42">
        <f t="shared" ref="D145:D148" si="37">C145</f>
        <v>0</v>
      </c>
      <c r="E145" s="113">
        <f>'2016 Proposed'!$B$5</f>
        <v>0</v>
      </c>
      <c r="F145" s="7">
        <f t="shared" ref="F145:F148" si="38">E145</f>
        <v>0</v>
      </c>
      <c r="G145" s="85"/>
      <c r="H145" s="55">
        <f>'2015 Approved'!$M$5</f>
        <v>1.23</v>
      </c>
      <c r="I145" s="42">
        <f t="shared" ref="I145:I148" si="39">H145</f>
        <v>1.23</v>
      </c>
      <c r="J145" s="113">
        <f>'2016 Proposed'!$B$5</f>
        <v>0</v>
      </c>
      <c r="K145" s="7">
        <f t="shared" ref="K145:K148" si="40">J145</f>
        <v>0</v>
      </c>
      <c r="L145" s="85"/>
      <c r="M145" s="55">
        <f>'2015 Approved'!$T$5</f>
        <v>1.2</v>
      </c>
      <c r="N145" s="42">
        <f t="shared" ref="N145:N148" si="41">M145</f>
        <v>1.2</v>
      </c>
      <c r="O145" s="113">
        <f>'2016 Proposed'!$B$5</f>
        <v>0</v>
      </c>
      <c r="P145" s="7">
        <f t="shared" ref="P145:P148" si="42">O145</f>
        <v>0</v>
      </c>
      <c r="Q145" s="85"/>
      <c r="R145" s="55">
        <f>'2015 Approved'!$X$5</f>
        <v>0.77</v>
      </c>
      <c r="S145" s="42">
        <f t="shared" ref="S145:S148" si="43">R145</f>
        <v>0.77</v>
      </c>
      <c r="T145" s="113">
        <f>'2016 Proposed'!$B$5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86</v>
      </c>
      <c r="C146" s="55">
        <f>'2015 Approved'!$B$6</f>
        <v>0</v>
      </c>
      <c r="D146" s="42">
        <f t="shared" si="37"/>
        <v>0</v>
      </c>
      <c r="E146" s="113">
        <f>'2016 Proposed'!$B$6</f>
        <v>0</v>
      </c>
      <c r="F146" s="7">
        <f t="shared" si="38"/>
        <v>0</v>
      </c>
      <c r="G146" s="85"/>
      <c r="H146" s="55">
        <f>'2015 Approved'!$M$6</f>
        <v>0.77</v>
      </c>
      <c r="I146" s="42">
        <f t="shared" si="39"/>
        <v>0.77</v>
      </c>
      <c r="J146" s="113">
        <f>'2016 Proposed'!$B$6</f>
        <v>0</v>
      </c>
      <c r="K146" s="7">
        <f t="shared" si="40"/>
        <v>0</v>
      </c>
      <c r="L146" s="85"/>
      <c r="M146" s="55">
        <f>'2015 Approved'!$T$6</f>
        <v>0</v>
      </c>
      <c r="N146" s="42">
        <f t="shared" si="41"/>
        <v>0</v>
      </c>
      <c r="O146" s="113">
        <f>'2016 Proposed'!$B$6</f>
        <v>0</v>
      </c>
      <c r="P146" s="7">
        <f t="shared" si="42"/>
        <v>0</v>
      </c>
      <c r="Q146" s="85"/>
      <c r="R146" s="55">
        <f>'2015 Approved'!$X$6</f>
        <v>0</v>
      </c>
      <c r="S146" s="42">
        <f t="shared" si="43"/>
        <v>0</v>
      </c>
      <c r="T146" s="113">
        <f>'2016 Proposed'!$B$6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Approved'!$B$133</f>
        <v>0</v>
      </c>
      <c r="D147" s="42">
        <f t="shared" si="37"/>
        <v>0</v>
      </c>
      <c r="E147" s="113">
        <f>'2016 Proposed'!$B$133</f>
        <v>0</v>
      </c>
      <c r="F147" s="7">
        <f t="shared" si="38"/>
        <v>0</v>
      </c>
      <c r="G147" s="85"/>
      <c r="H147" s="55">
        <f>'2015 Approved'!$M$133</f>
        <v>0</v>
      </c>
      <c r="I147" s="42">
        <f t="shared" si="39"/>
        <v>0</v>
      </c>
      <c r="J147" s="113">
        <f>'2016 Proposed'!$B$133</f>
        <v>0</v>
      </c>
      <c r="K147" s="7">
        <f t="shared" si="40"/>
        <v>0</v>
      </c>
      <c r="L147" s="85"/>
      <c r="M147" s="55">
        <f>'2015 Approved'!$T$133</f>
        <v>0</v>
      </c>
      <c r="N147" s="42">
        <f t="shared" si="41"/>
        <v>0</v>
      </c>
      <c r="O147" s="113">
        <f>'2016 Proposed'!$B$133</f>
        <v>0</v>
      </c>
      <c r="P147" s="7">
        <f t="shared" si="42"/>
        <v>0</v>
      </c>
      <c r="Q147" s="85"/>
      <c r="R147" s="55">
        <f>'2015 Approved'!$X$133</f>
        <v>0</v>
      </c>
      <c r="S147" s="42">
        <f t="shared" si="43"/>
        <v>0</v>
      </c>
      <c r="T147" s="113">
        <f>'2016 Proposed'!$B$133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95</v>
      </c>
      <c r="C148" s="55">
        <f>'2015 Approved'!$B$8</f>
        <v>0.79</v>
      </c>
      <c r="D148" s="42">
        <f t="shared" si="37"/>
        <v>0.79</v>
      </c>
      <c r="E148" s="113">
        <f>'2016 Proposed'!$B$8</f>
        <v>0.79</v>
      </c>
      <c r="F148" s="7">
        <f t="shared" si="38"/>
        <v>0.79</v>
      </c>
      <c r="G148" s="85"/>
      <c r="H148" s="55">
        <f>'2015 Approved'!$M$8</f>
        <v>0.79</v>
      </c>
      <c r="I148" s="42">
        <f t="shared" si="39"/>
        <v>0.79</v>
      </c>
      <c r="J148" s="113">
        <f>'2016 Proposed'!$B$8</f>
        <v>0.79</v>
      </c>
      <c r="K148" s="7">
        <f t="shared" si="40"/>
        <v>0.79</v>
      </c>
      <c r="L148" s="85"/>
      <c r="M148" s="55">
        <f>'2015 Approved'!$T$8</f>
        <v>0.79</v>
      </c>
      <c r="N148" s="42">
        <f t="shared" si="41"/>
        <v>0.79</v>
      </c>
      <c r="O148" s="113">
        <f>'2016 Proposed'!$B$8</f>
        <v>0.79</v>
      </c>
      <c r="P148" s="7">
        <f t="shared" si="42"/>
        <v>0.79</v>
      </c>
      <c r="Q148" s="85"/>
      <c r="R148" s="55">
        <f>'2015 Approved'!$X$8</f>
        <v>0.79</v>
      </c>
      <c r="S148" s="42">
        <f t="shared" si="43"/>
        <v>0.79</v>
      </c>
      <c r="T148" s="113">
        <f>'2016 Proposed'!$B$8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0.10213999999999999</v>
      </c>
      <c r="D149" s="42">
        <f>(D136-D133)*C149</f>
        <v>1.0928979999999988</v>
      </c>
      <c r="E149" s="114">
        <f>F141/$F$133</f>
        <v>0.10213999999999999</v>
      </c>
      <c r="F149" s="7">
        <f>(F136-F133)*E149</f>
        <v>1.1005584999999976</v>
      </c>
      <c r="G149" s="85"/>
      <c r="H149" s="59">
        <f>I141/I133</f>
        <v>0.10213999999999999</v>
      </c>
      <c r="I149" s="42">
        <f>(I136-I133)*H149</f>
        <v>1.5525279999999988</v>
      </c>
      <c r="J149" s="114">
        <f>K141/$F$133</f>
        <v>0.10213999999999999</v>
      </c>
      <c r="K149" s="7">
        <f>(K136-K133)*J149</f>
        <v>1.1005584999999976</v>
      </c>
      <c r="L149" s="85"/>
      <c r="M149" s="59">
        <f>N141/N133</f>
        <v>0.10213999999999999</v>
      </c>
      <c r="N149" s="42">
        <f>(N136-N133)*M149</f>
        <v>1.6904170000000012</v>
      </c>
      <c r="O149" s="114">
        <f>P141/$F$133</f>
        <v>0.10213999999999999</v>
      </c>
      <c r="P149" s="7">
        <f>(P136-P133)*O149</f>
        <v>1.1005584999999976</v>
      </c>
      <c r="Q149" s="85"/>
      <c r="R149" s="59">
        <f>S141/S133</f>
        <v>0.10213999999999999</v>
      </c>
      <c r="S149" s="42">
        <f>(S136-S133)*R149</f>
        <v>1.4810299999999998</v>
      </c>
      <c r="T149" s="114">
        <f>U141/$F$133</f>
        <v>0.10213999999999999</v>
      </c>
      <c r="U149" s="7">
        <f>(U136-U133)*T149</f>
        <v>1.1005584999999976</v>
      </c>
      <c r="V149" s="85"/>
    </row>
    <row r="150" spans="1:22" x14ac:dyDescent="0.25">
      <c r="A150" s="139">
        <f t="shared" si="36"/>
        <v>18</v>
      </c>
      <c r="B150" s="85" t="s">
        <v>90</v>
      </c>
      <c r="C150" s="59">
        <f>'2015 Approved'!$B$11</f>
        <v>8.8000000000000005E-3</v>
      </c>
      <c r="D150" s="42">
        <f t="shared" ref="D150:D159" si="45">C150*D$133</f>
        <v>2.2000000000000002</v>
      </c>
      <c r="E150" s="114">
        <f>'2016 Proposed'!$B$11</f>
        <v>8.6E-3</v>
      </c>
      <c r="F150" s="7">
        <f t="shared" ref="F150:F157" si="46">E150*F$133</f>
        <v>2.15</v>
      </c>
      <c r="G150" s="85"/>
      <c r="H150" s="59">
        <f>'2015 Approved'!$M$11</f>
        <v>1.46E-2</v>
      </c>
      <c r="I150" s="42">
        <f t="shared" ref="I150:I159" si="47">H150*I$133</f>
        <v>3.65</v>
      </c>
      <c r="J150" s="114">
        <f>'2016 Proposed'!$B$11</f>
        <v>8.6E-3</v>
      </c>
      <c r="K150" s="7">
        <f t="shared" ref="K150:K157" si="48">J150*K$133</f>
        <v>2.15</v>
      </c>
      <c r="L150" s="85"/>
      <c r="M150" s="59">
        <f>'2015 Approved'!$T$11</f>
        <v>1.2699999999999999E-2</v>
      </c>
      <c r="N150" s="42">
        <f t="shared" ref="N150:N159" si="49">M150*N$133</f>
        <v>3.1749999999999998</v>
      </c>
      <c r="O150" s="114">
        <f>'2016 Proposed'!$B$11</f>
        <v>8.6E-3</v>
      </c>
      <c r="P150" s="7">
        <f t="shared" ref="P150:P157" si="50">O150*P$133</f>
        <v>2.15</v>
      </c>
      <c r="Q150" s="85"/>
      <c r="R150" s="59">
        <f>'2015 Approved'!$X$11</f>
        <v>1.26E-2</v>
      </c>
      <c r="S150" s="42">
        <f t="shared" ref="S150:S159" si="51">R150*S$133</f>
        <v>3.15</v>
      </c>
      <c r="T150" s="114">
        <f>'2016 Proposed'!$B$11</f>
        <v>8.6E-3</v>
      </c>
      <c r="U150" s="7">
        <f t="shared" ref="U150:U157" si="52">T150*U$133</f>
        <v>2.15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Approved'!$B$12</f>
        <v>2.9999999999999997E-4</v>
      </c>
      <c r="D151" s="42">
        <f t="shared" si="45"/>
        <v>7.4999999999999997E-2</v>
      </c>
      <c r="E151" s="114">
        <f>'2016 Proposed'!$B$13</f>
        <v>1.8E-3</v>
      </c>
      <c r="F151" s="7">
        <f t="shared" si="46"/>
        <v>0.45</v>
      </c>
      <c r="G151" s="85"/>
      <c r="H151" s="59">
        <f>'2015 Approved'!$M$12</f>
        <v>2.9999999999999997E-4</v>
      </c>
      <c r="I151" s="42">
        <f t="shared" si="47"/>
        <v>7.4999999999999997E-2</v>
      </c>
      <c r="J151" s="114">
        <f>'2016 Proposed'!$B$13</f>
        <v>1.8E-3</v>
      </c>
      <c r="K151" s="7">
        <f t="shared" si="48"/>
        <v>0.45</v>
      </c>
      <c r="L151" s="85"/>
      <c r="M151" s="59">
        <f>'2015 Approved'!$T$12</f>
        <v>1.4E-3</v>
      </c>
      <c r="N151" s="42">
        <f t="shared" si="49"/>
        <v>0.35</v>
      </c>
      <c r="O151" s="114">
        <f>'2016 Proposed'!$B$13</f>
        <v>1.8E-3</v>
      </c>
      <c r="P151" s="7">
        <f t="shared" si="50"/>
        <v>0.45</v>
      </c>
      <c r="Q151" s="85"/>
      <c r="R151" s="59">
        <f>'2015 Approved'!$X$12</f>
        <v>4.3E-3</v>
      </c>
      <c r="S151" s="42">
        <f t="shared" si="51"/>
        <v>1.075</v>
      </c>
      <c r="T151" s="114">
        <f>'2016 Proposed'!$B$13</f>
        <v>1.8E-3</v>
      </c>
      <c r="U151" s="7">
        <f t="shared" si="52"/>
        <v>0.45</v>
      </c>
      <c r="V151" s="85"/>
    </row>
    <row r="152" spans="1:22" x14ac:dyDescent="0.25">
      <c r="A152" s="139">
        <f t="shared" si="36"/>
        <v>20</v>
      </c>
      <c r="B152" s="85" t="s">
        <v>87</v>
      </c>
      <c r="C152" s="59">
        <f>'2015 Approved'!$B$13</f>
        <v>0</v>
      </c>
      <c r="D152" s="42">
        <f t="shared" si="45"/>
        <v>0</v>
      </c>
      <c r="E152" s="114">
        <f>'2016 Proposed'!$B$14</f>
        <v>0</v>
      </c>
      <c r="F152" s="7">
        <f t="shared" si="46"/>
        <v>0</v>
      </c>
      <c r="G152" s="85"/>
      <c r="H152" s="59">
        <f>'2015 Approved'!$M$13</f>
        <v>2.0000000000000001E-4</v>
      </c>
      <c r="I152" s="42">
        <f t="shared" si="47"/>
        <v>0.05</v>
      </c>
      <c r="J152" s="114">
        <f>'2016 Proposed'!$B$14</f>
        <v>0</v>
      </c>
      <c r="K152" s="7">
        <f t="shared" si="48"/>
        <v>0</v>
      </c>
      <c r="L152" s="85"/>
      <c r="M152" s="59">
        <f>'2015 Approved'!$T$13</f>
        <v>0</v>
      </c>
      <c r="N152" s="42">
        <f t="shared" si="49"/>
        <v>0</v>
      </c>
      <c r="O152" s="114">
        <f>'2016 Proposed'!$B$14</f>
        <v>0</v>
      </c>
      <c r="P152" s="7">
        <f t="shared" si="50"/>
        <v>0</v>
      </c>
      <c r="Q152" s="85"/>
      <c r="R152" s="59">
        <f>'2015 Approved'!$X$13</f>
        <v>0</v>
      </c>
      <c r="S152" s="42">
        <f t="shared" si="51"/>
        <v>0</v>
      </c>
      <c r="T152" s="114">
        <f>'2016 Proposed'!$B$14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Approved'!$B$14</f>
        <v>1E-4</v>
      </c>
      <c r="D153" s="42">
        <f t="shared" si="45"/>
        <v>2.5000000000000001E-2</v>
      </c>
      <c r="E153" s="114">
        <f>'2016 Proposed'!$B$15</f>
        <v>2.0000000000000001E-4</v>
      </c>
      <c r="F153" s="7">
        <f t="shared" si="46"/>
        <v>0.05</v>
      </c>
      <c r="G153" s="85"/>
      <c r="H153" s="59">
        <f>'2015 Approved'!$M$14</f>
        <v>2.0000000000000001E-4</v>
      </c>
      <c r="I153" s="42">
        <f t="shared" si="47"/>
        <v>0.05</v>
      </c>
      <c r="J153" s="114">
        <f>'2016 Proposed'!$B$15</f>
        <v>2.0000000000000001E-4</v>
      </c>
      <c r="K153" s="7">
        <f t="shared" si="48"/>
        <v>0.05</v>
      </c>
      <c r="L153" s="85"/>
      <c r="M153" s="59">
        <f>'2015 Approved'!$T$14</f>
        <v>0</v>
      </c>
      <c r="N153" s="42">
        <f t="shared" si="49"/>
        <v>0</v>
      </c>
      <c r="O153" s="114">
        <f>'2016 Proposed'!$B$15</f>
        <v>2.0000000000000001E-4</v>
      </c>
      <c r="P153" s="7">
        <f t="shared" si="50"/>
        <v>0.05</v>
      </c>
      <c r="Q153" s="85"/>
      <c r="R153" s="59">
        <f>'2015 Approved'!$X$14</f>
        <v>0</v>
      </c>
      <c r="S153" s="42">
        <f t="shared" si="51"/>
        <v>0</v>
      </c>
      <c r="T153" s="114">
        <f>'2016 Proposed'!$B$15</f>
        <v>2.0000000000000001E-4</v>
      </c>
      <c r="U153" s="7">
        <f t="shared" si="52"/>
        <v>0.05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Approved'!$B$15</f>
        <v>-2.0000000000000001E-4</v>
      </c>
      <c r="D154" s="42">
        <f t="shared" si="45"/>
        <v>-0.05</v>
      </c>
      <c r="E154" s="114">
        <f>'2016 Proposed'!$B$16</f>
        <v>0</v>
      </c>
      <c r="F154" s="7">
        <f t="shared" si="46"/>
        <v>0</v>
      </c>
      <c r="G154" s="85"/>
      <c r="H154" s="59">
        <f>'2015 Approved'!$M$15</f>
        <v>-2.0000000000000001E-4</v>
      </c>
      <c r="I154" s="42">
        <f t="shared" si="47"/>
        <v>-0.05</v>
      </c>
      <c r="J154" s="114">
        <f>'2016 Proposed'!$B$16</f>
        <v>0</v>
      </c>
      <c r="K154" s="7">
        <f t="shared" si="48"/>
        <v>0</v>
      </c>
      <c r="L154" s="85"/>
      <c r="M154" s="59">
        <f>'2015 Approved'!$T$15</f>
        <v>0</v>
      </c>
      <c r="N154" s="42">
        <f t="shared" si="49"/>
        <v>0</v>
      </c>
      <c r="O154" s="114">
        <f>'2016 Proposed'!$B$16</f>
        <v>0</v>
      </c>
      <c r="P154" s="7">
        <f t="shared" si="50"/>
        <v>0</v>
      </c>
      <c r="Q154" s="85"/>
      <c r="R154" s="59">
        <f>'2015 Approved'!$X$15</f>
        <v>0</v>
      </c>
      <c r="S154" s="42">
        <f t="shared" si="51"/>
        <v>0</v>
      </c>
      <c r="T154" s="114">
        <f>'2016 Proposed'!$B$16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101</v>
      </c>
      <c r="C155" s="59">
        <f>'2015 Approved'!$B$16</f>
        <v>0</v>
      </c>
      <c r="D155" s="42">
        <f t="shared" si="45"/>
        <v>0</v>
      </c>
      <c r="E155" s="114">
        <f>'2016 Proposed'!$B$17</f>
        <v>0</v>
      </c>
      <c r="F155" s="7">
        <f t="shared" si="46"/>
        <v>0</v>
      </c>
      <c r="G155" s="85"/>
      <c r="H155" s="59">
        <f>'2015 Approved'!$M$16</f>
        <v>0</v>
      </c>
      <c r="I155" s="42">
        <f t="shared" si="47"/>
        <v>0</v>
      </c>
      <c r="J155" s="114">
        <f>'2016 Proposed'!$B$17</f>
        <v>0</v>
      </c>
      <c r="K155" s="7">
        <f t="shared" si="48"/>
        <v>0</v>
      </c>
      <c r="L155" s="85"/>
      <c r="M155" s="59">
        <f>'2015 Approved'!$T$16</f>
        <v>4.0000000000000002E-4</v>
      </c>
      <c r="N155" s="42">
        <f t="shared" si="49"/>
        <v>0.1</v>
      </c>
      <c r="O155" s="114">
        <f>M155</f>
        <v>4.0000000000000002E-4</v>
      </c>
      <c r="P155" s="7">
        <f t="shared" si="50"/>
        <v>0.1</v>
      </c>
      <c r="Q155" s="85"/>
      <c r="R155" s="59">
        <f>'2015 Approved'!$X$16</f>
        <v>2.3E-3</v>
      </c>
      <c r="S155" s="42">
        <f t="shared" si="51"/>
        <v>0.57499999999999996</v>
      </c>
      <c r="T155" s="114">
        <f>R155</f>
        <v>2.3E-3</v>
      </c>
      <c r="U155" s="7">
        <f t="shared" si="52"/>
        <v>0.57499999999999996</v>
      </c>
      <c r="V155" s="85"/>
    </row>
    <row r="156" spans="1:22" x14ac:dyDescent="0.25">
      <c r="A156" s="139">
        <f t="shared" si="36"/>
        <v>24</v>
      </c>
      <c r="B156" s="85" t="s">
        <v>112</v>
      </c>
      <c r="C156" s="59">
        <f>'2015 Approved'!$B$17</f>
        <v>2.2000000000000001E-3</v>
      </c>
      <c r="D156" s="42">
        <f t="shared" si="45"/>
        <v>0.55000000000000004</v>
      </c>
      <c r="E156" s="114">
        <f>'2016 Proposed'!$B$18</f>
        <v>0</v>
      </c>
      <c r="F156" s="7">
        <f t="shared" si="46"/>
        <v>0</v>
      </c>
      <c r="G156" s="85"/>
      <c r="H156" s="59">
        <f>'2015 Approved'!$M$17</f>
        <v>1.4E-3</v>
      </c>
      <c r="I156" s="42">
        <f t="shared" si="47"/>
        <v>0.35</v>
      </c>
      <c r="J156" s="114">
        <f>'2016 Proposed'!$B$18</f>
        <v>0</v>
      </c>
      <c r="K156" s="7">
        <f t="shared" si="48"/>
        <v>0</v>
      </c>
      <c r="L156" s="85"/>
      <c r="M156" s="59">
        <f>'2015 Approved'!$T$17</f>
        <v>1.6000000000000001E-3</v>
      </c>
      <c r="N156" s="42">
        <f t="shared" si="49"/>
        <v>0.4</v>
      </c>
      <c r="O156" s="114">
        <f>'2016 Proposed'!$B$18</f>
        <v>0</v>
      </c>
      <c r="P156" s="7">
        <f t="shared" si="50"/>
        <v>0</v>
      </c>
      <c r="Q156" s="85"/>
      <c r="R156" s="59">
        <f>'2015 Approved'!$X$17</f>
        <v>5.1999999999999998E-3</v>
      </c>
      <c r="S156" s="42">
        <f t="shared" si="51"/>
        <v>1.3</v>
      </c>
      <c r="T156" s="114">
        <f>'2016 Proposed'!$B$18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102</v>
      </c>
      <c r="C157" s="59">
        <f>'2015 Approved'!$B$18</f>
        <v>0</v>
      </c>
      <c r="D157" s="42">
        <f t="shared" si="45"/>
        <v>0</v>
      </c>
      <c r="E157" s="114">
        <f>'2016 Proposed'!$B$19</f>
        <v>1.5E-3</v>
      </c>
      <c r="F157" s="7">
        <f t="shared" si="46"/>
        <v>0.375</v>
      </c>
      <c r="G157" s="85"/>
      <c r="H157" s="59">
        <f>'2015 Approved'!$M$18</f>
        <v>0</v>
      </c>
      <c r="I157" s="42">
        <f t="shared" si="47"/>
        <v>0</v>
      </c>
      <c r="J157" s="114">
        <f>'2016 Proposed'!$B$19</f>
        <v>1.5E-3</v>
      </c>
      <c r="K157" s="7">
        <f t="shared" si="48"/>
        <v>0.375</v>
      </c>
      <c r="L157" s="85"/>
      <c r="M157" s="59">
        <f>'2015 Approved'!$T$18</f>
        <v>0</v>
      </c>
      <c r="N157" s="42">
        <f t="shared" si="49"/>
        <v>0</v>
      </c>
      <c r="O157" s="114">
        <f>'2016 Proposed'!$B$19</f>
        <v>1.5E-3</v>
      </c>
      <c r="P157" s="7">
        <f t="shared" si="50"/>
        <v>0.375</v>
      </c>
      <c r="Q157" s="85"/>
      <c r="R157" s="59">
        <f>'2015 Approved'!$X$18</f>
        <v>0</v>
      </c>
      <c r="S157" s="42">
        <f t="shared" si="51"/>
        <v>0</v>
      </c>
      <c r="T157" s="114">
        <f>'2016 Proposed'!$B$19</f>
        <v>1.5E-3</v>
      </c>
      <c r="U157" s="7">
        <f t="shared" si="52"/>
        <v>0.375</v>
      </c>
      <c r="V157" s="85"/>
    </row>
    <row r="158" spans="1:22" x14ac:dyDescent="0.25">
      <c r="A158" s="139">
        <f t="shared" si="36"/>
        <v>26</v>
      </c>
      <c r="B158" s="85" t="s">
        <v>94</v>
      </c>
      <c r="C158" s="59">
        <f>'2015 Approved'!$B$19</f>
        <v>0</v>
      </c>
      <c r="D158" s="42">
        <f t="shared" si="45"/>
        <v>0</v>
      </c>
      <c r="E158" s="114">
        <f>'2016 Proposed'!$B$20</f>
        <v>0.47</v>
      </c>
      <c r="F158" s="7">
        <f>E158</f>
        <v>0.47</v>
      </c>
      <c r="G158" s="85"/>
      <c r="H158" s="59">
        <f>'2015 Approved'!$M$19</f>
        <v>0</v>
      </c>
      <c r="I158" s="42">
        <f t="shared" si="47"/>
        <v>0</v>
      </c>
      <c r="J158" s="114">
        <f>'2016 Proposed'!$B$20</f>
        <v>0.47</v>
      </c>
      <c r="K158" s="7">
        <f>J158</f>
        <v>0.47</v>
      </c>
      <c r="L158" s="85"/>
      <c r="M158" s="59">
        <f>'2015 Approved'!$T$19</f>
        <v>0</v>
      </c>
      <c r="N158" s="42">
        <f t="shared" si="49"/>
        <v>0</v>
      </c>
      <c r="O158" s="114">
        <f>'2016 Proposed'!$B$20</f>
        <v>0.47</v>
      </c>
      <c r="P158" s="7">
        <f>O158</f>
        <v>0.47</v>
      </c>
      <c r="Q158" s="85"/>
      <c r="R158" s="59">
        <f>'2015 Approved'!$X$19</f>
        <v>0</v>
      </c>
      <c r="S158" s="42">
        <f t="shared" si="51"/>
        <v>0</v>
      </c>
      <c r="T158" s="114">
        <f>'2016 Proposed'!$B$20</f>
        <v>0.47</v>
      </c>
      <c r="U158" s="7">
        <f>T158</f>
        <v>0.47</v>
      </c>
      <c r="V158" s="85"/>
    </row>
    <row r="159" spans="1:22" x14ac:dyDescent="0.25">
      <c r="A159" s="139">
        <f t="shared" si="36"/>
        <v>27</v>
      </c>
      <c r="B159" s="85" t="s">
        <v>104</v>
      </c>
      <c r="C159" s="59">
        <f>'2015 Approved'!$B$20</f>
        <v>0</v>
      </c>
      <c r="D159" s="42">
        <f t="shared" si="45"/>
        <v>0</v>
      </c>
      <c r="E159" s="114">
        <f>'2016 Proposed'!$B$21</f>
        <v>-1.4</v>
      </c>
      <c r="F159" s="7">
        <f>E159</f>
        <v>-1.4</v>
      </c>
      <c r="G159" s="85"/>
      <c r="H159" s="59">
        <f>'2015 Approved'!$M$20</f>
        <v>0</v>
      </c>
      <c r="I159" s="42">
        <f t="shared" si="47"/>
        <v>0</v>
      </c>
      <c r="J159" s="114">
        <f>'2016 Proposed'!$B$21</f>
        <v>-1.4</v>
      </c>
      <c r="K159" s="7">
        <f>J159</f>
        <v>-1.4</v>
      </c>
      <c r="L159" s="85"/>
      <c r="M159" s="59">
        <f>'2015 Approved'!$T$20</f>
        <v>0</v>
      </c>
      <c r="N159" s="42">
        <f t="shared" si="49"/>
        <v>0</v>
      </c>
      <c r="O159" s="114">
        <f>'2016 Proposed'!$B$21</f>
        <v>-1.4</v>
      </c>
      <c r="P159" s="7">
        <f>O159</f>
        <v>-1.4</v>
      </c>
      <c r="Q159" s="85"/>
      <c r="R159" s="59">
        <f>'2015 Approved'!$X$20</f>
        <v>0</v>
      </c>
      <c r="S159" s="42">
        <f t="shared" si="51"/>
        <v>0</v>
      </c>
      <c r="T159" s="114">
        <f>'2016 Proposed'!$B$21</f>
        <v>-1.4</v>
      </c>
      <c r="U159" s="7">
        <f>T159</f>
        <v>-1.4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23.662897999999995</v>
      </c>
      <c r="E160" s="110"/>
      <c r="F160" s="95">
        <f>SUM(F144:F159)</f>
        <v>22.965558499999997</v>
      </c>
      <c r="G160" s="127">
        <f>F160-D160</f>
        <v>-0.69733949999999822</v>
      </c>
      <c r="H160" s="126"/>
      <c r="I160" s="96">
        <f>SUM(I144:I159)</f>
        <v>22.897527999999998</v>
      </c>
      <c r="J160" s="110"/>
      <c r="K160" s="95">
        <f>SUM(K144:K159)</f>
        <v>22.965558499999997</v>
      </c>
      <c r="L160" s="127">
        <f>K160-I160</f>
        <v>6.8030499999998995E-2</v>
      </c>
      <c r="M160" s="126"/>
      <c r="N160" s="96">
        <f>SUM(N144:N159)</f>
        <v>21.145417000000002</v>
      </c>
      <c r="O160" s="110"/>
      <c r="P160" s="95">
        <f>SUM(P144:P159)</f>
        <v>23.065558499999998</v>
      </c>
      <c r="Q160" s="127">
        <f>P160-N160</f>
        <v>1.9201414999999962</v>
      </c>
      <c r="R160" s="126"/>
      <c r="S160" s="96">
        <f>SUM(S144:S159)</f>
        <v>21.661029999999997</v>
      </c>
      <c r="T160" s="110"/>
      <c r="U160" s="95">
        <f>SUM(U144:U159)</f>
        <v>23.540558499999996</v>
      </c>
      <c r="V160" s="127">
        <f>U160-S160</f>
        <v>1.8795284999999993</v>
      </c>
    </row>
    <row r="161" spans="1:22" x14ac:dyDescent="0.25">
      <c r="A161" s="144">
        <f t="shared" si="36"/>
        <v>29</v>
      </c>
      <c r="B161" s="145" t="s">
        <v>118</v>
      </c>
      <c r="C161" s="128"/>
      <c r="D161" s="120"/>
      <c r="E161" s="111"/>
      <c r="F161" s="97"/>
      <c r="G161" s="129">
        <f>G160/D160</f>
        <v>-2.94697420408945E-2</v>
      </c>
      <c r="H161" s="128"/>
      <c r="I161" s="120"/>
      <c r="J161" s="111"/>
      <c r="K161" s="97"/>
      <c r="L161" s="129">
        <f>L160/I160</f>
        <v>2.9710849136203262E-3</v>
      </c>
      <c r="M161" s="128"/>
      <c r="N161" s="120"/>
      <c r="O161" s="111"/>
      <c r="P161" s="97"/>
      <c r="Q161" s="129">
        <f>Q160/N160</f>
        <v>9.0806509041651717E-2</v>
      </c>
      <c r="R161" s="128"/>
      <c r="S161" s="120"/>
      <c r="T161" s="111"/>
      <c r="U161" s="97"/>
      <c r="V161" s="129">
        <f>V160/S160</f>
        <v>8.6770042791132262E-2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68</v>
      </c>
      <c r="C163" s="59">
        <f>'2015 Approved'!$B$26</f>
        <v>7.4000000000000003E-3</v>
      </c>
      <c r="D163" s="42">
        <f>C163*D$136</f>
        <v>1.9291799999999999</v>
      </c>
      <c r="E163" s="114">
        <f>'2016 Proposed'!$B$28</f>
        <v>7.3000000000000001E-3</v>
      </c>
      <c r="F163" s="7">
        <f>E163*F$136</f>
        <v>1.9036574999999998</v>
      </c>
      <c r="G163" s="85"/>
      <c r="H163" s="59">
        <f>'2015 Approved'!$M$26</f>
        <v>7.1999999999999998E-3</v>
      </c>
      <c r="I163" s="42">
        <f>H163*I$136</f>
        <v>1.9094399999999998</v>
      </c>
      <c r="J163" s="114">
        <f>'2016 Proposed'!$B$28</f>
        <v>7.3000000000000001E-3</v>
      </c>
      <c r="K163" s="7">
        <f>J163*K$136</f>
        <v>1.9036574999999998</v>
      </c>
      <c r="L163" s="85"/>
      <c r="M163" s="59">
        <f>'2015 Approved'!$T$26</f>
        <v>7.6E-3</v>
      </c>
      <c r="N163" s="42">
        <f>M163*N$136</f>
        <v>2.0257800000000001</v>
      </c>
      <c r="O163" s="114">
        <f>'2016 Proposed'!$B$28</f>
        <v>7.3000000000000001E-3</v>
      </c>
      <c r="P163" s="7">
        <f>O163*P$136</f>
        <v>1.9036574999999998</v>
      </c>
      <c r="Q163" s="85"/>
      <c r="R163" s="59">
        <f>'2015 Approved'!$X$26</f>
        <v>7.4450068112693092E-3</v>
      </c>
      <c r="S163" s="42">
        <f>R163*S$136</f>
        <v>1.9692043015807323</v>
      </c>
      <c r="T163" s="114">
        <f>'2016 Proposed'!$B$28</f>
        <v>7.3000000000000001E-3</v>
      </c>
      <c r="U163" s="7">
        <f>T163*U$136</f>
        <v>1.9036574999999998</v>
      </c>
      <c r="V163" s="85"/>
    </row>
    <row r="164" spans="1:22" x14ac:dyDescent="0.25">
      <c r="A164" s="139">
        <f t="shared" si="36"/>
        <v>32</v>
      </c>
      <c r="B164" s="85" t="s">
        <v>69</v>
      </c>
      <c r="C164" s="59">
        <f>'2015 Approved'!$B$27</f>
        <v>5.3E-3</v>
      </c>
      <c r="D164" s="42">
        <f>C164*D$136</f>
        <v>1.38171</v>
      </c>
      <c r="E164" s="114">
        <f>'2016 Proposed'!$B$29</f>
        <v>5.4000000000000003E-3</v>
      </c>
      <c r="F164" s="7">
        <f>E164*F$136</f>
        <v>1.408185</v>
      </c>
      <c r="G164" s="85"/>
      <c r="H164" s="59">
        <f>'2015 Approved'!$M$27</f>
        <v>5.1000000000000004E-3</v>
      </c>
      <c r="I164" s="42">
        <f>H164*I$136</f>
        <v>1.3525199999999999</v>
      </c>
      <c r="J164" s="114">
        <f>'2016 Proposed'!$B$29</f>
        <v>5.4000000000000003E-3</v>
      </c>
      <c r="K164" s="7">
        <f>J164*K$136</f>
        <v>1.408185</v>
      </c>
      <c r="L164" s="85"/>
      <c r="M164" s="59">
        <f>'2015 Approved'!$T$27</f>
        <v>5.5999999999999999E-3</v>
      </c>
      <c r="N164" s="42">
        <f>M164*N$136</f>
        <v>1.49268</v>
      </c>
      <c r="O164" s="114">
        <f>'2016 Proposed'!$B$29</f>
        <v>5.4000000000000003E-3</v>
      </c>
      <c r="P164" s="7">
        <f>O164*P$136</f>
        <v>1.408185</v>
      </c>
      <c r="Q164" s="85"/>
      <c r="R164" s="59">
        <f>'2015 Approved'!$X$27</f>
        <v>3.7551994493456586E-3</v>
      </c>
      <c r="S164" s="42">
        <f>R164*S$136</f>
        <v>0.99325025435192671</v>
      </c>
      <c r="T164" s="114">
        <f>'2016 Proposed'!$B$29</f>
        <v>5.4000000000000003E-3</v>
      </c>
      <c r="U164" s="7">
        <f>T164*U$136</f>
        <v>1.408185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3.3108899999999997</v>
      </c>
      <c r="E165" s="110"/>
      <c r="F165" s="95">
        <f>SUM(F163:F164)</f>
        <v>3.3118425</v>
      </c>
      <c r="G165" s="127">
        <f>F165-D165</f>
        <v>9.5250000000035584E-4</v>
      </c>
      <c r="H165" s="126"/>
      <c r="I165" s="96">
        <f>SUM(I163:I164)</f>
        <v>3.2619599999999997</v>
      </c>
      <c r="J165" s="110"/>
      <c r="K165" s="95">
        <f>SUM(K163:K164)</f>
        <v>3.3118425</v>
      </c>
      <c r="L165" s="127">
        <f>K165-I165</f>
        <v>4.9882500000000274E-2</v>
      </c>
      <c r="M165" s="126"/>
      <c r="N165" s="96">
        <f>SUM(N163:N164)</f>
        <v>3.5184600000000001</v>
      </c>
      <c r="O165" s="110"/>
      <c r="P165" s="95">
        <f>SUM(P163:P164)</f>
        <v>3.3118425</v>
      </c>
      <c r="Q165" s="127">
        <f>P165-N165</f>
        <v>-0.20661750000000012</v>
      </c>
      <c r="R165" s="126"/>
      <c r="S165" s="96">
        <f>SUM(S163:S164)</f>
        <v>2.9624545559326592</v>
      </c>
      <c r="T165" s="110"/>
      <c r="U165" s="95">
        <f>SUM(U163:U164)</f>
        <v>3.3118425</v>
      </c>
      <c r="V165" s="127">
        <f>U165-S165</f>
        <v>0.34938794406734086</v>
      </c>
    </row>
    <row r="166" spans="1:22" x14ac:dyDescent="0.25">
      <c r="A166" s="144">
        <f t="shared" si="36"/>
        <v>34</v>
      </c>
      <c r="B166" s="145" t="s">
        <v>118</v>
      </c>
      <c r="C166" s="128"/>
      <c r="D166" s="120"/>
      <c r="E166" s="111"/>
      <c r="F166" s="97"/>
      <c r="G166" s="129">
        <f>G165/D165</f>
        <v>2.8768699654786354E-4</v>
      </c>
      <c r="H166" s="128"/>
      <c r="I166" s="120"/>
      <c r="J166" s="111"/>
      <c r="K166" s="97"/>
      <c r="L166" s="129">
        <f>L165/I165</f>
        <v>1.5292186292903739E-2</v>
      </c>
      <c r="M166" s="128"/>
      <c r="N166" s="120"/>
      <c r="O166" s="111"/>
      <c r="P166" s="97"/>
      <c r="Q166" s="129">
        <f>Q165/N165</f>
        <v>-5.8723845091318394E-2</v>
      </c>
      <c r="R166" s="128"/>
      <c r="S166" s="120"/>
      <c r="T166" s="111"/>
      <c r="U166" s="97"/>
      <c r="V166" s="129">
        <f>V165/S165</f>
        <v>0.11793866790889701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66</v>
      </c>
      <c r="C168" s="59">
        <f>WMSR+RRRP</f>
        <v>5.7000000000000002E-3</v>
      </c>
      <c r="D168" s="42">
        <f>C168*D136</f>
        <v>1.4859899999999999</v>
      </c>
      <c r="E168" s="114">
        <f>WMSR+RRRP</f>
        <v>5.7000000000000002E-3</v>
      </c>
      <c r="F168" s="7">
        <f>E168*F136</f>
        <v>1.4864174999999999</v>
      </c>
      <c r="G168" s="85"/>
      <c r="H168" s="59">
        <f>WMSR+RRRP</f>
        <v>5.7000000000000002E-3</v>
      </c>
      <c r="I168" s="42">
        <f>H168*I136</f>
        <v>1.5116400000000001</v>
      </c>
      <c r="J168" s="114">
        <f>WMSR+RRRP</f>
        <v>5.7000000000000002E-3</v>
      </c>
      <c r="K168" s="7">
        <f>J168*K136</f>
        <v>1.4864174999999999</v>
      </c>
      <c r="L168" s="85"/>
      <c r="M168" s="59">
        <f>WMSR+RRRP</f>
        <v>5.7000000000000002E-3</v>
      </c>
      <c r="N168" s="42">
        <f>M168*N136</f>
        <v>1.5193350000000001</v>
      </c>
      <c r="O168" s="114">
        <f>WMSR+RRRP</f>
        <v>5.7000000000000002E-3</v>
      </c>
      <c r="P168" s="7">
        <f>O168*P136</f>
        <v>1.4864174999999999</v>
      </c>
      <c r="Q168" s="85"/>
      <c r="R168" s="59">
        <f>WMSR+RRRP</f>
        <v>5.7000000000000002E-3</v>
      </c>
      <c r="S168" s="42">
        <f>R168*S136</f>
        <v>1.5076500000000002</v>
      </c>
      <c r="T168" s="114">
        <f>WMSR+RRRP</f>
        <v>5.7000000000000002E-3</v>
      </c>
      <c r="U168" s="7">
        <f>T168*U136</f>
        <v>1.4864174999999999</v>
      </c>
      <c r="V168" s="85"/>
    </row>
    <row r="169" spans="1:22" x14ac:dyDescent="0.25">
      <c r="A169" s="139">
        <f t="shared" si="36"/>
        <v>37</v>
      </c>
      <c r="B169" s="85" t="s">
        <v>67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1.75</v>
      </c>
      <c r="E170" s="114">
        <v>7.0000000000000001E-3</v>
      </c>
      <c r="F170" s="7">
        <f>E170*F133</f>
        <v>1.75</v>
      </c>
      <c r="G170" s="85"/>
      <c r="H170" s="59">
        <v>7.0000000000000001E-3</v>
      </c>
      <c r="I170" s="42">
        <f>H170*I133</f>
        <v>1.75</v>
      </c>
      <c r="J170" s="114">
        <v>7.0000000000000001E-3</v>
      </c>
      <c r="K170" s="7">
        <f>J170*K133</f>
        <v>1.75</v>
      </c>
      <c r="L170" s="85"/>
      <c r="M170" s="59">
        <v>7.0000000000000001E-3</v>
      </c>
      <c r="N170" s="42">
        <f>M170*N133</f>
        <v>1.75</v>
      </c>
      <c r="O170" s="114">
        <v>7.0000000000000001E-3</v>
      </c>
      <c r="P170" s="7">
        <f>O170*P133</f>
        <v>1.75</v>
      </c>
      <c r="Q170" s="85"/>
      <c r="R170" s="59">
        <v>7.0000000000000001E-3</v>
      </c>
      <c r="S170" s="42">
        <f>R170*S133</f>
        <v>1.75</v>
      </c>
      <c r="T170" s="114">
        <v>7.0000000000000001E-3</v>
      </c>
      <c r="U170" s="7">
        <f>T170*U133</f>
        <v>1.75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3.4859900000000001</v>
      </c>
      <c r="E172" s="110"/>
      <c r="F172" s="95">
        <f>SUM(F168:F171)</f>
        <v>3.4864174999999999</v>
      </c>
      <c r="G172" s="127">
        <f>F172-D172</f>
        <v>4.2749999999980304E-4</v>
      </c>
      <c r="H172" s="126"/>
      <c r="I172" s="96">
        <f>SUM(I168:I171)</f>
        <v>3.5116399999999999</v>
      </c>
      <c r="J172" s="110"/>
      <c r="K172" s="95">
        <f>SUM(K168:K171)</f>
        <v>3.4864174999999999</v>
      </c>
      <c r="L172" s="127">
        <f>K172-I172</f>
        <v>-2.5222499999999926E-2</v>
      </c>
      <c r="M172" s="126"/>
      <c r="N172" s="96">
        <f>SUM(N168:N171)</f>
        <v>3.5193349999999999</v>
      </c>
      <c r="O172" s="110"/>
      <c r="P172" s="95">
        <f>SUM(P168:P171)</f>
        <v>3.4864174999999999</v>
      </c>
      <c r="Q172" s="127">
        <f>P172-N172</f>
        <v>-3.2917499999999933E-2</v>
      </c>
      <c r="R172" s="126"/>
      <c r="S172" s="96">
        <f>SUM(S168:S171)</f>
        <v>3.5076499999999999</v>
      </c>
      <c r="T172" s="110"/>
      <c r="U172" s="95">
        <f>SUM(U168:U171)</f>
        <v>3.4864174999999999</v>
      </c>
      <c r="V172" s="127">
        <f>U172-S172</f>
        <v>-2.1232499999999987E-2</v>
      </c>
    </row>
    <row r="173" spans="1:22" x14ac:dyDescent="0.25">
      <c r="A173" s="144">
        <f t="shared" si="36"/>
        <v>41</v>
      </c>
      <c r="B173" s="145" t="s">
        <v>118</v>
      </c>
      <c r="C173" s="128"/>
      <c r="D173" s="120"/>
      <c r="E173" s="111"/>
      <c r="F173" s="97"/>
      <c r="G173" s="129">
        <f>G172/D172</f>
        <v>1.2263374249490188E-4</v>
      </c>
      <c r="H173" s="128"/>
      <c r="I173" s="120"/>
      <c r="J173" s="111"/>
      <c r="K173" s="97"/>
      <c r="L173" s="129">
        <f>L172/I172</f>
        <v>-7.1825414905855745E-3</v>
      </c>
      <c r="M173" s="128"/>
      <c r="N173" s="120"/>
      <c r="O173" s="111"/>
      <c r="P173" s="97"/>
      <c r="Q173" s="129">
        <f>Q172/N172</f>
        <v>-9.353329535267298E-3</v>
      </c>
      <c r="R173" s="128"/>
      <c r="S173" s="120"/>
      <c r="T173" s="111"/>
      <c r="U173" s="97"/>
      <c r="V173" s="129">
        <f>V172/S172</f>
        <v>-6.0531980100637147E-3</v>
      </c>
    </row>
    <row r="174" spans="1:22" x14ac:dyDescent="0.25">
      <c r="A174" s="147">
        <f t="shared" si="36"/>
        <v>42</v>
      </c>
      <c r="B174" s="133" t="s">
        <v>129</v>
      </c>
      <c r="C174" s="132"/>
      <c r="D174" s="122">
        <f>D141+D160+D165+D172</f>
        <v>55.994777999999997</v>
      </c>
      <c r="E174" s="115"/>
      <c r="F174" s="102">
        <f>F141+F160+F165+F172</f>
        <v>55.298818499999996</v>
      </c>
      <c r="G174" s="133"/>
      <c r="H174" s="132"/>
      <c r="I174" s="122">
        <f>I141+I160+I165+I172</f>
        <v>55.206128</v>
      </c>
      <c r="J174" s="115"/>
      <c r="K174" s="102">
        <f>K141+K160+K165+K172</f>
        <v>55.298818499999996</v>
      </c>
      <c r="L174" s="133"/>
      <c r="M174" s="132"/>
      <c r="N174" s="122">
        <f>N141+N160+N165+N172</f>
        <v>53.718212000000001</v>
      </c>
      <c r="O174" s="115"/>
      <c r="P174" s="102">
        <f>P141+P160+P165+P172</f>
        <v>55.398818499999997</v>
      </c>
      <c r="Q174" s="133"/>
      <c r="R174" s="132"/>
      <c r="S174" s="122">
        <f>S141+S160+S165+S172</f>
        <v>53.666134555932651</v>
      </c>
      <c r="T174" s="115"/>
      <c r="U174" s="102">
        <f>U141+U160+U165+U172</f>
        <v>55.873818499999999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7.2793211399999995</v>
      </c>
      <c r="E175" s="116"/>
      <c r="F175" s="99">
        <f>F174*0.13</f>
        <v>7.1888464049999996</v>
      </c>
      <c r="G175" s="134"/>
      <c r="H175" s="87"/>
      <c r="I175" s="43">
        <f>I174*0.13</f>
        <v>7.1767966400000001</v>
      </c>
      <c r="J175" s="116"/>
      <c r="K175" s="99">
        <f>K174*0.13</f>
        <v>7.1888464049999996</v>
      </c>
      <c r="L175" s="134"/>
      <c r="M175" s="87"/>
      <c r="N175" s="43">
        <f>N174*0.13</f>
        <v>6.9833675600000005</v>
      </c>
      <c r="O175" s="116"/>
      <c r="P175" s="99">
        <f>P174*0.13</f>
        <v>7.2018464049999995</v>
      </c>
      <c r="Q175" s="134"/>
      <c r="R175" s="87"/>
      <c r="S175" s="43">
        <f>S174*0.13</f>
        <v>6.976597492271245</v>
      </c>
      <c r="T175" s="116"/>
      <c r="U175" s="99">
        <f>U174*0.13</f>
        <v>7.2635964050000004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-6.3274099140000004</v>
      </c>
      <c r="E176" s="117"/>
      <c r="F176" s="70">
        <f>SUM(F174:F175)*-0.1</f>
        <v>-6.2487664904999995</v>
      </c>
      <c r="G176" s="125"/>
      <c r="H176" s="88"/>
      <c r="I176" s="69">
        <f>SUM(I174:I175)*-0.1</f>
        <v>-6.2382924640000006</v>
      </c>
      <c r="J176" s="117"/>
      <c r="K176" s="70">
        <f>SUM(K174:K175)*-0.1</f>
        <v>-6.2487664904999995</v>
      </c>
      <c r="L176" s="125"/>
      <c r="M176" s="88"/>
      <c r="N176" s="69">
        <f>SUM(N174:N175)*-0.1</f>
        <v>-6.0701579560000001</v>
      </c>
      <c r="O176" s="117"/>
      <c r="P176" s="70">
        <f>SUM(P174:P175)*-0.1</f>
        <v>-6.2600664904999999</v>
      </c>
      <c r="Q176" s="125"/>
      <c r="R176" s="88"/>
      <c r="S176" s="69">
        <f>SUM(S174:S175)*-0.1</f>
        <v>-6.06427320482039</v>
      </c>
      <c r="T176" s="117"/>
      <c r="U176" s="70">
        <f>SUM(U174:U175)*-0.1</f>
        <v>-6.3137414905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56.946689225999997</v>
      </c>
      <c r="E177" s="118"/>
      <c r="F177" s="103">
        <f>SUM(F174:F176)</f>
        <v>56.238898414499999</v>
      </c>
      <c r="G177" s="136">
        <f>F177-D177</f>
        <v>-0.70779081149999712</v>
      </c>
      <c r="H177" s="135"/>
      <c r="I177" s="104">
        <f>SUM(I174:I176)</f>
        <v>56.144632176000002</v>
      </c>
      <c r="J177" s="118"/>
      <c r="K177" s="103">
        <f>SUM(K174:K176)</f>
        <v>56.238898414499999</v>
      </c>
      <c r="L177" s="136">
        <f>K177-I177</f>
        <v>9.4266238499997712E-2</v>
      </c>
      <c r="M177" s="135"/>
      <c r="N177" s="104">
        <f>SUM(N174:N176)</f>
        <v>54.631421603999996</v>
      </c>
      <c r="O177" s="118"/>
      <c r="P177" s="103">
        <f>SUM(P174:P176)</f>
        <v>56.340598414499993</v>
      </c>
      <c r="Q177" s="136">
        <f>P177-N177</f>
        <v>1.7091768104999971</v>
      </c>
      <c r="R177" s="135"/>
      <c r="S177" s="104">
        <f>SUM(S174:S176)</f>
        <v>54.578458843383508</v>
      </c>
      <c r="T177" s="118"/>
      <c r="U177" s="103">
        <f>SUM(U174:U176)</f>
        <v>56.8236734145</v>
      </c>
      <c r="V177" s="136">
        <f>U177-S177</f>
        <v>2.2452145711164917</v>
      </c>
    </row>
    <row r="178" spans="1:22" x14ac:dyDescent="0.25">
      <c r="A178" s="151">
        <f t="shared" si="36"/>
        <v>46</v>
      </c>
      <c r="B178" s="152" t="s">
        <v>118</v>
      </c>
      <c r="C178" s="137"/>
      <c r="D178" s="123"/>
      <c r="E178" s="119"/>
      <c r="F178" s="105"/>
      <c r="G178" s="138">
        <f>G177/D177</f>
        <v>-1.2429007219208857E-2</v>
      </c>
      <c r="H178" s="137"/>
      <c r="I178" s="123"/>
      <c r="J178" s="119"/>
      <c r="K178" s="105"/>
      <c r="L178" s="138">
        <f>L177/I177</f>
        <v>1.6789893324885554E-3</v>
      </c>
      <c r="M178" s="137"/>
      <c r="N178" s="123"/>
      <c r="O178" s="119"/>
      <c r="P178" s="105"/>
      <c r="Q178" s="138">
        <f>Q177/N177</f>
        <v>3.1285600123846215E-2</v>
      </c>
      <c r="R178" s="137"/>
      <c r="S178" s="123"/>
      <c r="T178" s="119"/>
      <c r="U178" s="105"/>
      <c r="V178" s="138">
        <f>V177/S177</f>
        <v>4.1137375783352241E-2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127</v>
      </c>
      <c r="C180" s="202">
        <f>'2015 Approved'!$B$23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Approved'!$M$23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Approved'!$X$23</f>
        <v>3.0999999999999999E-3</v>
      </c>
      <c r="S180" s="43">
        <f>R180*S133</f>
        <v>0.77500000000000002</v>
      </c>
      <c r="T180" s="203">
        <f>R180</f>
        <v>3.0999999999999999E-3</v>
      </c>
      <c r="U180" s="7">
        <f>T180*U133</f>
        <v>0.77500000000000002</v>
      </c>
      <c r="V180" s="134"/>
    </row>
    <row r="181" spans="1:22" x14ac:dyDescent="0.25">
      <c r="A181" s="148">
        <f>A180+1</f>
        <v>49</v>
      </c>
      <c r="B181" s="85" t="s">
        <v>128</v>
      </c>
      <c r="C181" s="59">
        <f>'2015 Approved'!$B$24</f>
        <v>3.1999999999999997E-3</v>
      </c>
      <c r="D181" s="42">
        <f>C181*D133</f>
        <v>0.79999999999999993</v>
      </c>
      <c r="E181" s="203">
        <f>'2016 Proposed'!$B$26</f>
        <v>3.3999999999999998E-3</v>
      </c>
      <c r="F181" s="7">
        <f>E181*F133</f>
        <v>0.85</v>
      </c>
      <c r="G181" s="85"/>
      <c r="H181" s="59">
        <f>'2015 Approved'!$M$24</f>
        <v>-8.0000000000000004E-4</v>
      </c>
      <c r="I181" s="42">
        <f>H181*I133</f>
        <v>-0.2</v>
      </c>
      <c r="J181" s="114">
        <f>'2016 Proposed'!$B$26</f>
        <v>3.3999999999999998E-3</v>
      </c>
      <c r="K181" s="7">
        <f>J181*K133</f>
        <v>0.85</v>
      </c>
      <c r="L181" s="85"/>
      <c r="M181" s="59">
        <f>'2015 Approved'!$T$24</f>
        <v>-4.0000000000000002E-4</v>
      </c>
      <c r="N181" s="42">
        <f>M181*N133</f>
        <v>-0.1</v>
      </c>
      <c r="O181" s="114">
        <f>'2016 Proposed'!$B$26</f>
        <v>3.3999999999999998E-3</v>
      </c>
      <c r="P181" s="7">
        <f>O181*P133</f>
        <v>0.85</v>
      </c>
      <c r="Q181" s="85"/>
      <c r="R181" s="59">
        <f>'2015 Approved'!$X$24</f>
        <v>-2.9999999999999997E-4</v>
      </c>
      <c r="S181" s="42">
        <f>R181*S133</f>
        <v>-7.4999999999999997E-2</v>
      </c>
      <c r="T181" s="114">
        <f>'2016 Proposed'!$B$26</f>
        <v>3.3999999999999998E-3</v>
      </c>
      <c r="U181" s="7">
        <f>T181*U133</f>
        <v>0.85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56.794777999999994</v>
      </c>
      <c r="E182" s="106"/>
      <c r="F182" s="7">
        <f>F174+SUM(F180:F181)</f>
        <v>56.148818499999997</v>
      </c>
      <c r="G182" s="85"/>
      <c r="H182" s="86"/>
      <c r="I182" s="42">
        <f>I174+I181+I180</f>
        <v>55.006127999999997</v>
      </c>
      <c r="J182" s="106"/>
      <c r="K182" s="7">
        <f>K174+K181+K180</f>
        <v>56.148818499999997</v>
      </c>
      <c r="L182" s="85"/>
      <c r="M182" s="86"/>
      <c r="N182" s="42">
        <f>N174+N181+N180</f>
        <v>53.618212</v>
      </c>
      <c r="O182" s="106"/>
      <c r="P182" s="7">
        <f>P174+P181+P180</f>
        <v>56.248818499999999</v>
      </c>
      <c r="Q182" s="85"/>
      <c r="R182" s="86"/>
      <c r="S182" s="42">
        <f>S174+S181+S180</f>
        <v>54.366134555932646</v>
      </c>
      <c r="T182" s="106"/>
      <c r="U182" s="7">
        <f>U174+U181+U180</f>
        <v>57.498818499999999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7.3833211399999996</v>
      </c>
      <c r="E183" s="106"/>
      <c r="F183" s="7">
        <f>F182*0.13</f>
        <v>7.2993464049999996</v>
      </c>
      <c r="G183" s="85"/>
      <c r="H183" s="86"/>
      <c r="I183" s="42">
        <f>I182*0.13</f>
        <v>7.1507966400000003</v>
      </c>
      <c r="J183" s="106"/>
      <c r="K183" s="7">
        <f>K182*0.13</f>
        <v>7.2993464049999996</v>
      </c>
      <c r="L183" s="85"/>
      <c r="M183" s="86"/>
      <c r="N183" s="42">
        <f>N182*0.13</f>
        <v>6.9703675600000006</v>
      </c>
      <c r="O183" s="106"/>
      <c r="P183" s="7">
        <f>P182*0.13</f>
        <v>7.3123464050000004</v>
      </c>
      <c r="Q183" s="85"/>
      <c r="R183" s="86"/>
      <c r="S183" s="42">
        <f>S182*0.13</f>
        <v>7.0675974922712443</v>
      </c>
      <c r="T183" s="106"/>
      <c r="U183" s="7">
        <f>U182*0.13</f>
        <v>7.4748464050000001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-6.4178099140000002</v>
      </c>
      <c r="E184" s="106"/>
      <c r="F184" s="7">
        <f>SUM(F182:F183)*-0.1</f>
        <v>-6.3448164905000004</v>
      </c>
      <c r="G184" s="85"/>
      <c r="H184" s="86"/>
      <c r="I184" s="42">
        <f>SUM(I182:I183)*-0.1</f>
        <v>-6.215692464</v>
      </c>
      <c r="J184" s="106"/>
      <c r="K184" s="7">
        <f>SUM(K182:K183)*-0.1</f>
        <v>-6.3448164905000004</v>
      </c>
      <c r="L184" s="85"/>
      <c r="M184" s="86"/>
      <c r="N184" s="42">
        <f>SUM(N182:N183)*-0.1</f>
        <v>-6.0588579560000007</v>
      </c>
      <c r="O184" s="106"/>
      <c r="P184" s="7">
        <f>SUM(P182:P183)*-0.1</f>
        <v>-6.3561164904999998</v>
      </c>
      <c r="Q184" s="85"/>
      <c r="R184" s="86"/>
      <c r="S184" s="42">
        <f>SUM(S182:S183)*-0.1</f>
        <v>-6.1433732048203895</v>
      </c>
      <c r="T184" s="106"/>
      <c r="U184" s="7">
        <f>SUM(U182:U183)*-0.1</f>
        <v>-6.4973664904999993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57.760289225999998</v>
      </c>
      <c r="E185" s="181"/>
      <c r="F185" s="182">
        <f>SUM(F182:F184)</f>
        <v>57.103348414499997</v>
      </c>
      <c r="G185" s="183">
        <f>F185-D185</f>
        <v>-0.65694081150000017</v>
      </c>
      <c r="H185" s="179"/>
      <c r="I185" s="180">
        <f>SUM(I182:I184)</f>
        <v>55.941232176</v>
      </c>
      <c r="J185" s="181"/>
      <c r="K185" s="182">
        <f>SUM(K182:K184)</f>
        <v>57.103348414499997</v>
      </c>
      <c r="L185" s="183">
        <f>K185-I185</f>
        <v>1.1621162384999977</v>
      </c>
      <c r="M185" s="179"/>
      <c r="N185" s="180">
        <f>SUM(N182:N184)</f>
        <v>54.529721604000002</v>
      </c>
      <c r="O185" s="181"/>
      <c r="P185" s="182">
        <f>SUM(P182:P184)</f>
        <v>57.205048414499998</v>
      </c>
      <c r="Q185" s="183">
        <f>P185-N185</f>
        <v>2.6753268104999961</v>
      </c>
      <c r="R185" s="179"/>
      <c r="S185" s="180">
        <f>SUM(S182:S184)</f>
        <v>55.290358843383501</v>
      </c>
      <c r="T185" s="181"/>
      <c r="U185" s="182">
        <f>SUM(U182:U184)</f>
        <v>58.476298414499993</v>
      </c>
      <c r="V185" s="183">
        <f>U185-S185</f>
        <v>3.1859395711164922</v>
      </c>
    </row>
    <row r="186" spans="1:22" ht="15.75" thickBot="1" x14ac:dyDescent="0.3">
      <c r="A186" s="184">
        <f>A185+1</f>
        <v>54</v>
      </c>
      <c r="B186" s="185" t="s">
        <v>118</v>
      </c>
      <c r="C186" s="186"/>
      <c r="D186" s="187"/>
      <c r="E186" s="188"/>
      <c r="F186" s="189"/>
      <c r="G186" s="190">
        <f>G185/D185</f>
        <v>-1.1373572056219678E-2</v>
      </c>
      <c r="H186" s="186"/>
      <c r="I186" s="187"/>
      <c r="J186" s="188"/>
      <c r="K186" s="189"/>
      <c r="L186" s="190">
        <f>L185/I185</f>
        <v>2.0773876321561805E-2</v>
      </c>
      <c r="M186" s="186"/>
      <c r="N186" s="187"/>
      <c r="O186" s="188"/>
      <c r="P186" s="189"/>
      <c r="Q186" s="190">
        <f>Q185/N185</f>
        <v>4.9061809446387286E-2</v>
      </c>
      <c r="R186" s="186"/>
      <c r="S186" s="187"/>
      <c r="T186" s="188"/>
      <c r="U186" s="189"/>
      <c r="V186" s="190">
        <f>V185/S185</f>
        <v>5.762197312086622E-2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120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103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103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103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103</v>
      </c>
    </row>
    <row r="189" spans="1:22" x14ac:dyDescent="0.25">
      <c r="A189" s="139">
        <f>A188+1</f>
        <v>56</v>
      </c>
      <c r="B189" s="85" t="s">
        <v>119</v>
      </c>
      <c r="C189" s="86"/>
      <c r="D189" s="42">
        <f>SUM(D144:D147)+D150+D159</f>
        <v>21.18</v>
      </c>
      <c r="E189" s="106"/>
      <c r="F189" s="7">
        <f>SUM(F144:F147)+F150+F159</f>
        <v>19.73</v>
      </c>
      <c r="G189" s="56">
        <f>F189-D189</f>
        <v>-1.4499999999999993</v>
      </c>
      <c r="H189" s="86"/>
      <c r="I189" s="42">
        <f>SUM(I144:I147)+I150+I159</f>
        <v>20.079999999999998</v>
      </c>
      <c r="J189" s="106"/>
      <c r="K189" s="7">
        <f>SUM(K144:K147)+K150+K159</f>
        <v>19.73</v>
      </c>
      <c r="L189" s="56">
        <f>K189-I189</f>
        <v>-0.34999999999999787</v>
      </c>
      <c r="M189" s="86"/>
      <c r="N189" s="42">
        <f>SUM(N144:N147)+N150+N159</f>
        <v>17.814999999999998</v>
      </c>
      <c r="O189" s="106"/>
      <c r="P189" s="7">
        <f>SUM(P144:P147)+P150+P159</f>
        <v>19.73</v>
      </c>
      <c r="Q189" s="56">
        <f>P189-N189</f>
        <v>1.9150000000000027</v>
      </c>
      <c r="R189" s="86"/>
      <c r="S189" s="42">
        <f>SUM(S144:S147)+S150+S159</f>
        <v>16.439999999999998</v>
      </c>
      <c r="T189" s="106"/>
      <c r="U189" s="7">
        <f>SUM(U144:U147)+U150+U159</f>
        <v>19.73</v>
      </c>
      <c r="V189" s="56">
        <f>U189-S189</f>
        <v>3.2900000000000027</v>
      </c>
    </row>
    <row r="190" spans="1:22" x14ac:dyDescent="0.25">
      <c r="A190" s="164">
        <f t="shared" ref="A190:A192" si="53">A189+1</f>
        <v>57</v>
      </c>
      <c r="B190" s="165" t="s">
        <v>118</v>
      </c>
      <c r="C190" s="166"/>
      <c r="D190" s="167"/>
      <c r="E190" s="168"/>
      <c r="F190" s="93"/>
      <c r="G190" s="169">
        <f>G189/SUM(D189:D192)</f>
        <v>-6.1277363406629204E-2</v>
      </c>
      <c r="H190" s="166"/>
      <c r="I190" s="167"/>
      <c r="J190" s="168"/>
      <c r="K190" s="93"/>
      <c r="L190" s="169">
        <f>L189/SUM(I189:I192)</f>
        <v>-1.5285492826998526E-2</v>
      </c>
      <c r="M190" s="166"/>
      <c r="N190" s="167"/>
      <c r="O190" s="168"/>
      <c r="P190" s="93"/>
      <c r="Q190" s="169">
        <f>Q189/SUM(N189:N192)</f>
        <v>9.0563359426773321E-2</v>
      </c>
      <c r="R190" s="166"/>
      <c r="S190" s="167"/>
      <c r="T190" s="168"/>
      <c r="U190" s="93"/>
      <c r="V190" s="169">
        <f>V189/SUM(S189:S192)</f>
        <v>0.1518856674867263</v>
      </c>
    </row>
    <row r="191" spans="1:22" x14ac:dyDescent="0.25">
      <c r="A191" s="139">
        <f t="shared" si="53"/>
        <v>58</v>
      </c>
      <c r="B191" s="85" t="s">
        <v>121</v>
      </c>
      <c r="C191" s="86"/>
      <c r="D191" s="42">
        <f>D148+SUM(D151:D158)+D149</f>
        <v>2.4828979999999987</v>
      </c>
      <c r="E191" s="106"/>
      <c r="F191" s="7">
        <f>F148+SUM(F151:F158)+F149</f>
        <v>3.2355584999999971</v>
      </c>
      <c r="G191" s="56">
        <f>F191-D191</f>
        <v>0.7526604999999984</v>
      </c>
      <c r="H191" s="86"/>
      <c r="I191" s="42">
        <f>I148+SUM(I151:I158)+I149</f>
        <v>2.8175279999999989</v>
      </c>
      <c r="J191" s="106"/>
      <c r="K191" s="7">
        <f>K148+SUM(K151:K158)+K149</f>
        <v>3.2355584999999971</v>
      </c>
      <c r="L191" s="56">
        <f>K191-I191</f>
        <v>0.4180304999999982</v>
      </c>
      <c r="M191" s="86"/>
      <c r="N191" s="42">
        <f>N148+SUM(N151:N158)+N149</f>
        <v>3.3304170000000015</v>
      </c>
      <c r="O191" s="106"/>
      <c r="P191" s="7">
        <f>P148+SUM(P151:P158)+P149</f>
        <v>3.3355584999999977</v>
      </c>
      <c r="Q191" s="56">
        <f>P191-N191</f>
        <v>5.1414999999961353E-3</v>
      </c>
      <c r="R191" s="86"/>
      <c r="S191" s="42">
        <f>S148+SUM(S151:S158)+S149</f>
        <v>5.2210299999999998</v>
      </c>
      <c r="T191" s="106"/>
      <c r="U191" s="7">
        <f>U148+SUM(U151:U158)+U149</f>
        <v>3.8105584999999973</v>
      </c>
      <c r="V191" s="56">
        <f>U191-S191</f>
        <v>-1.4104715000000025</v>
      </c>
    </row>
    <row r="192" spans="1:22" ht="15.75" thickBot="1" x14ac:dyDescent="0.3">
      <c r="A192" s="170">
        <f t="shared" si="53"/>
        <v>59</v>
      </c>
      <c r="B192" s="171" t="s">
        <v>118</v>
      </c>
      <c r="C192" s="172"/>
      <c r="D192" s="173"/>
      <c r="E192" s="174"/>
      <c r="F192" s="175"/>
      <c r="G192" s="176">
        <f>G191/SUM(D189:D192)</f>
        <v>3.1807621365734597E-2</v>
      </c>
      <c r="H192" s="172"/>
      <c r="I192" s="173"/>
      <c r="J192" s="174"/>
      <c r="K192" s="175"/>
      <c r="L192" s="176">
        <f>L191/SUM(I189:I192)</f>
        <v>1.8256577740618909E-2</v>
      </c>
      <c r="M192" s="172"/>
      <c r="N192" s="173"/>
      <c r="O192" s="174"/>
      <c r="P192" s="175"/>
      <c r="Q192" s="176">
        <f>Q191/SUM(N189:N192)</f>
        <v>2.4314961487854013E-4</v>
      </c>
      <c r="R192" s="172"/>
      <c r="S192" s="173"/>
      <c r="T192" s="174"/>
      <c r="U192" s="175"/>
      <c r="V192" s="176">
        <f>V191/SUM(S189:S192)</f>
        <v>-6.511562469559401E-2</v>
      </c>
    </row>
    <row r="193" spans="1:22" ht="15.75" thickBot="1" x14ac:dyDescent="0.3"/>
    <row r="194" spans="1:22" x14ac:dyDescent="0.25">
      <c r="A194" s="331" t="s">
        <v>111</v>
      </c>
      <c r="B194" s="333" t="s">
        <v>0</v>
      </c>
      <c r="C194" s="329" t="s">
        <v>115</v>
      </c>
      <c r="D194" s="330"/>
      <c r="E194" s="327" t="s">
        <v>116</v>
      </c>
      <c r="F194" s="327"/>
      <c r="G194" s="328"/>
      <c r="H194" s="329" t="s">
        <v>117</v>
      </c>
      <c r="I194" s="330"/>
      <c r="J194" s="327" t="s">
        <v>116</v>
      </c>
      <c r="K194" s="327"/>
      <c r="L194" s="328"/>
      <c r="M194" s="329" t="s">
        <v>124</v>
      </c>
      <c r="N194" s="330"/>
      <c r="O194" s="327" t="s">
        <v>116</v>
      </c>
      <c r="P194" s="327"/>
      <c r="Q194" s="328"/>
      <c r="R194" s="329" t="s">
        <v>123</v>
      </c>
      <c r="S194" s="330"/>
      <c r="T194" s="327" t="s">
        <v>116</v>
      </c>
      <c r="U194" s="327"/>
      <c r="V194" s="328"/>
    </row>
    <row r="195" spans="1:22" x14ac:dyDescent="0.25">
      <c r="A195" s="332"/>
      <c r="B195" s="334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103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103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103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103</v>
      </c>
    </row>
    <row r="196" spans="1:22" x14ac:dyDescent="0.25">
      <c r="A196" s="139">
        <v>1</v>
      </c>
      <c r="B196" s="85" t="s">
        <v>91</v>
      </c>
      <c r="C196" s="86"/>
      <c r="D196" s="252">
        <v>500</v>
      </c>
      <c r="E196" s="106"/>
      <c r="F196" s="1">
        <f>D196</f>
        <v>500</v>
      </c>
      <c r="G196" s="85"/>
      <c r="H196" s="86"/>
      <c r="I196" s="40">
        <f>D196</f>
        <v>500</v>
      </c>
      <c r="J196" s="106"/>
      <c r="K196" s="1">
        <f>I196</f>
        <v>500</v>
      </c>
      <c r="L196" s="85"/>
      <c r="M196" s="86"/>
      <c r="N196" s="40">
        <f>D196</f>
        <v>500</v>
      </c>
      <c r="O196" s="106"/>
      <c r="P196" s="1">
        <f>N196</f>
        <v>500</v>
      </c>
      <c r="Q196" s="85"/>
      <c r="R196" s="86"/>
      <c r="S196" s="40">
        <f>D196</f>
        <v>500</v>
      </c>
      <c r="T196" s="106"/>
      <c r="U196" s="1">
        <f>S196</f>
        <v>500</v>
      </c>
      <c r="V196" s="85"/>
    </row>
    <row r="197" spans="1:22" x14ac:dyDescent="0.25">
      <c r="A197" s="139">
        <f>A196+1</f>
        <v>2</v>
      </c>
      <c r="B197" s="85" t="s">
        <v>92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93</v>
      </c>
      <c r="C199" s="86"/>
      <c r="D199" s="40">
        <f>D196*D198</f>
        <v>521.4</v>
      </c>
      <c r="E199" s="106"/>
      <c r="F199" s="1">
        <f>F196*F198</f>
        <v>521.54999999999995</v>
      </c>
      <c r="G199" s="85"/>
      <c r="H199" s="86"/>
      <c r="I199" s="40">
        <f>I196*I198</f>
        <v>530.4</v>
      </c>
      <c r="J199" s="106"/>
      <c r="K199" s="1">
        <f>K196*K198</f>
        <v>521.54999999999995</v>
      </c>
      <c r="L199" s="85"/>
      <c r="M199" s="86"/>
      <c r="N199" s="40">
        <f>N196*N198</f>
        <v>533.1</v>
      </c>
      <c r="O199" s="106"/>
      <c r="P199" s="1">
        <f>P196*P198</f>
        <v>521.54999999999995</v>
      </c>
      <c r="Q199" s="85"/>
      <c r="R199" s="86"/>
      <c r="S199" s="40">
        <f>S196*S198</f>
        <v>529</v>
      </c>
      <c r="T199" s="106"/>
      <c r="U199" s="1">
        <f>U196*U198</f>
        <v>521.54999999999995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25.6</v>
      </c>
      <c r="E201" s="108">
        <f>'General Input'!$B$11</f>
        <v>0.08</v>
      </c>
      <c r="F201" s="7">
        <f>F$196*E201*TOU_OFF</f>
        <v>25.6</v>
      </c>
      <c r="G201" s="85"/>
      <c r="H201" s="84">
        <f>'General Input'!$B$11</f>
        <v>0.08</v>
      </c>
      <c r="I201" s="42">
        <f>I$196*H201*TOU_OFF</f>
        <v>25.6</v>
      </c>
      <c r="J201" s="108">
        <f>'General Input'!$B$11</f>
        <v>0.08</v>
      </c>
      <c r="K201" s="7">
        <f>K$196*J201*TOU_OFF</f>
        <v>25.6</v>
      </c>
      <c r="L201" s="85"/>
      <c r="M201" s="84">
        <f>'General Input'!$B$11</f>
        <v>0.08</v>
      </c>
      <c r="N201" s="42">
        <f>N$196*M201*TOU_OFF</f>
        <v>25.6</v>
      </c>
      <c r="O201" s="108">
        <f>'General Input'!$B$11</f>
        <v>0.08</v>
      </c>
      <c r="P201" s="7">
        <f>P$196*O201*TOU_OFF</f>
        <v>25.6</v>
      </c>
      <c r="Q201" s="85"/>
      <c r="R201" s="84">
        <f>'General Input'!$B$11</f>
        <v>0.08</v>
      </c>
      <c r="S201" s="42">
        <f>S$196*R201*TOU_OFF</f>
        <v>25.6</v>
      </c>
      <c r="T201" s="108">
        <f>'General Input'!$B$11</f>
        <v>0.08</v>
      </c>
      <c r="U201" s="7">
        <f>U$196*T201*TOU_OFF</f>
        <v>25.6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10.98</v>
      </c>
      <c r="E202" s="108">
        <f>'General Input'!$B$12</f>
        <v>0.122</v>
      </c>
      <c r="F202" s="7">
        <f>F$196*E202*TOU_MID</f>
        <v>10.98</v>
      </c>
      <c r="G202" s="85"/>
      <c r="H202" s="84">
        <f>'General Input'!$B$12</f>
        <v>0.122</v>
      </c>
      <c r="I202" s="42">
        <f>I$196*H202*TOU_MID</f>
        <v>10.98</v>
      </c>
      <c r="J202" s="108">
        <f>'General Input'!$B$12</f>
        <v>0.122</v>
      </c>
      <c r="K202" s="7">
        <f>K$196*J202*TOU_MID</f>
        <v>10.98</v>
      </c>
      <c r="L202" s="85"/>
      <c r="M202" s="84">
        <f>'General Input'!$B$12</f>
        <v>0.122</v>
      </c>
      <c r="N202" s="42">
        <f>N$196*M202*TOU_MID</f>
        <v>10.98</v>
      </c>
      <c r="O202" s="108">
        <f>'General Input'!$B$12</f>
        <v>0.122</v>
      </c>
      <c r="P202" s="7">
        <f>P$196*O202*TOU_MID</f>
        <v>10.98</v>
      </c>
      <c r="Q202" s="85"/>
      <c r="R202" s="84">
        <f>'General Input'!$B$12</f>
        <v>0.122</v>
      </c>
      <c r="S202" s="42">
        <f>S$196*R202*TOU_MID</f>
        <v>10.98</v>
      </c>
      <c r="T202" s="108">
        <f>'General Input'!$B$12</f>
        <v>0.122</v>
      </c>
      <c r="U202" s="7">
        <f>U$196*T202*TOU_MID</f>
        <v>10.98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14.49</v>
      </c>
      <c r="E203" s="109">
        <f>'General Input'!$B$13</f>
        <v>0.161</v>
      </c>
      <c r="F203" s="70">
        <f>F$196*E203*TOU_ON</f>
        <v>14.49</v>
      </c>
      <c r="G203" s="125"/>
      <c r="H203" s="124">
        <f>'General Input'!$B$13</f>
        <v>0.161</v>
      </c>
      <c r="I203" s="69">
        <f>I$196*H203*TOU_ON</f>
        <v>14.49</v>
      </c>
      <c r="J203" s="109">
        <f>'General Input'!$B$13</f>
        <v>0.161</v>
      </c>
      <c r="K203" s="70">
        <f>K$196*J203*TOU_ON</f>
        <v>14.49</v>
      </c>
      <c r="L203" s="125"/>
      <c r="M203" s="124">
        <f>'General Input'!$B$13</f>
        <v>0.161</v>
      </c>
      <c r="N203" s="69">
        <f>N$196*M203*TOU_ON</f>
        <v>14.49</v>
      </c>
      <c r="O203" s="109">
        <f>'General Input'!$B$13</f>
        <v>0.161</v>
      </c>
      <c r="P203" s="70">
        <f>P$196*O203*TOU_ON</f>
        <v>14.49</v>
      </c>
      <c r="Q203" s="125"/>
      <c r="R203" s="124">
        <f>'General Input'!$B$13</f>
        <v>0.161</v>
      </c>
      <c r="S203" s="69">
        <f>S$196*R203*TOU_ON</f>
        <v>14.49</v>
      </c>
      <c r="T203" s="109">
        <f>'General Input'!$B$13</f>
        <v>0.161</v>
      </c>
      <c r="U203" s="70">
        <f>U$196*T203*TOU_ON</f>
        <v>14.49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51.07</v>
      </c>
      <c r="E204" s="110"/>
      <c r="F204" s="95">
        <f>SUM(F201:F203)</f>
        <v>51.07</v>
      </c>
      <c r="G204" s="127">
        <f>D204-F204</f>
        <v>0</v>
      </c>
      <c r="H204" s="126"/>
      <c r="I204" s="96">
        <f>SUM(I201:I203)</f>
        <v>51.07</v>
      </c>
      <c r="J204" s="110"/>
      <c r="K204" s="95">
        <f>SUM(K201:K203)</f>
        <v>51.07</v>
      </c>
      <c r="L204" s="127">
        <f>I204-K204</f>
        <v>0</v>
      </c>
      <c r="M204" s="126"/>
      <c r="N204" s="96">
        <f>SUM(N201:N203)</f>
        <v>51.07</v>
      </c>
      <c r="O204" s="110"/>
      <c r="P204" s="95">
        <f>SUM(P201:P203)</f>
        <v>51.07</v>
      </c>
      <c r="Q204" s="127">
        <f>N204-P204</f>
        <v>0</v>
      </c>
      <c r="R204" s="126"/>
      <c r="S204" s="96">
        <f>SUM(S201:S203)</f>
        <v>51.07</v>
      </c>
      <c r="T204" s="110"/>
      <c r="U204" s="95">
        <f>SUM(U201:U203)</f>
        <v>51.07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118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Approved'!$B$4</f>
        <v>18.98</v>
      </c>
      <c r="D207" s="42">
        <f>C207</f>
        <v>18.98</v>
      </c>
      <c r="E207" s="113">
        <f>'2016 Proposed'!$B$3</f>
        <v>18.98</v>
      </c>
      <c r="F207" s="7">
        <f>E207</f>
        <v>18.98</v>
      </c>
      <c r="G207" s="85"/>
      <c r="H207" s="55">
        <f>'2015 Approved'!$M$4</f>
        <v>14.43</v>
      </c>
      <c r="I207" s="42">
        <f>H207</f>
        <v>14.43</v>
      </c>
      <c r="J207" s="113">
        <f>'2016 Proposed'!$B$3</f>
        <v>18.98</v>
      </c>
      <c r="K207" s="7">
        <f>J207</f>
        <v>18.98</v>
      </c>
      <c r="L207" s="85"/>
      <c r="M207" s="55">
        <f>'2015 Approved'!$T$4</f>
        <v>13.44</v>
      </c>
      <c r="N207" s="42">
        <f>M207</f>
        <v>13.44</v>
      </c>
      <c r="O207" s="113">
        <f>'2016 Proposed'!$B$3</f>
        <v>18.98</v>
      </c>
      <c r="P207" s="7">
        <f>O207</f>
        <v>18.98</v>
      </c>
      <c r="Q207" s="85"/>
      <c r="R207" s="55">
        <f>'2015 Approved'!$X$4</f>
        <v>12.52</v>
      </c>
      <c r="S207" s="42">
        <f>R207</f>
        <v>12.52</v>
      </c>
      <c r="T207" s="113">
        <f>'2016 Proposed'!$B$3</f>
        <v>18.98</v>
      </c>
      <c r="U207" s="7">
        <f>T207</f>
        <v>18.98</v>
      </c>
      <c r="V207" s="85"/>
    </row>
    <row r="208" spans="1:22" x14ac:dyDescent="0.25">
      <c r="A208" s="139">
        <f t="shared" si="54"/>
        <v>13</v>
      </c>
      <c r="B208" s="85" t="s">
        <v>86</v>
      </c>
      <c r="C208" s="55">
        <f>'2015 Approved'!$B$5</f>
        <v>0</v>
      </c>
      <c r="D208" s="42">
        <f t="shared" ref="D208:D211" si="55">C208</f>
        <v>0</v>
      </c>
      <c r="E208" s="113">
        <f>'2016 Proposed'!$B$5</f>
        <v>0</v>
      </c>
      <c r="F208" s="7">
        <f t="shared" ref="F208:F211" si="56">E208</f>
        <v>0</v>
      </c>
      <c r="G208" s="85"/>
      <c r="H208" s="55">
        <f>'2015 Approved'!$M$5</f>
        <v>1.23</v>
      </c>
      <c r="I208" s="42">
        <f t="shared" ref="I208:I211" si="57">H208</f>
        <v>1.23</v>
      </c>
      <c r="J208" s="113">
        <f>'2016 Proposed'!$B$5</f>
        <v>0</v>
      </c>
      <c r="K208" s="7">
        <f t="shared" ref="K208:K211" si="58">J208</f>
        <v>0</v>
      </c>
      <c r="L208" s="85"/>
      <c r="M208" s="55">
        <f>'2015 Approved'!$T$5</f>
        <v>1.2</v>
      </c>
      <c r="N208" s="42">
        <f t="shared" ref="N208:N211" si="59">M208</f>
        <v>1.2</v>
      </c>
      <c r="O208" s="113">
        <f>'2016 Proposed'!$B$5</f>
        <v>0</v>
      </c>
      <c r="P208" s="7">
        <f t="shared" ref="P208:P211" si="60">O208</f>
        <v>0</v>
      </c>
      <c r="Q208" s="85"/>
      <c r="R208" s="55">
        <f>'2015 Approved'!$X$5</f>
        <v>0.77</v>
      </c>
      <c r="S208" s="42">
        <f t="shared" ref="S208:S211" si="61">R208</f>
        <v>0.77</v>
      </c>
      <c r="T208" s="113">
        <f>'2016 Proposed'!$B$5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86</v>
      </c>
      <c r="C209" s="55">
        <f>'2015 Approved'!$B$6</f>
        <v>0</v>
      </c>
      <c r="D209" s="42">
        <f t="shared" si="55"/>
        <v>0</v>
      </c>
      <c r="E209" s="113">
        <f>'2016 Proposed'!$B$6</f>
        <v>0</v>
      </c>
      <c r="F209" s="7">
        <f t="shared" si="56"/>
        <v>0</v>
      </c>
      <c r="G209" s="85"/>
      <c r="H209" s="55">
        <f>'2015 Approved'!$M$6</f>
        <v>0.77</v>
      </c>
      <c r="I209" s="42">
        <f t="shared" si="57"/>
        <v>0.77</v>
      </c>
      <c r="J209" s="113">
        <f>'2016 Proposed'!$B$6</f>
        <v>0</v>
      </c>
      <c r="K209" s="7">
        <f t="shared" si="58"/>
        <v>0</v>
      </c>
      <c r="L209" s="85"/>
      <c r="M209" s="55">
        <f>'2015 Approved'!$T$6</f>
        <v>0</v>
      </c>
      <c r="N209" s="42">
        <f t="shared" si="59"/>
        <v>0</v>
      </c>
      <c r="O209" s="113">
        <f>'2016 Proposed'!$B$6</f>
        <v>0</v>
      </c>
      <c r="P209" s="7">
        <f t="shared" si="60"/>
        <v>0</v>
      </c>
      <c r="Q209" s="85"/>
      <c r="R209" s="55">
        <f>'2015 Approved'!$X$6</f>
        <v>0</v>
      </c>
      <c r="S209" s="42">
        <f t="shared" si="61"/>
        <v>0</v>
      </c>
      <c r="T209" s="113">
        <f>'2016 Proposed'!$B$6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Approved'!$B$196</f>
        <v>0</v>
      </c>
      <c r="D210" s="42">
        <f t="shared" si="55"/>
        <v>0</v>
      </c>
      <c r="E210" s="113">
        <f>'2016 Proposed'!$B$196</f>
        <v>0</v>
      </c>
      <c r="F210" s="7">
        <f t="shared" si="56"/>
        <v>0</v>
      </c>
      <c r="G210" s="85"/>
      <c r="H210" s="55">
        <f>'2015 Approved'!$M$196</f>
        <v>0</v>
      </c>
      <c r="I210" s="42">
        <f t="shared" si="57"/>
        <v>0</v>
      </c>
      <c r="J210" s="113">
        <f>'2016 Proposed'!$B$196</f>
        <v>0</v>
      </c>
      <c r="K210" s="7">
        <f t="shared" si="58"/>
        <v>0</v>
      </c>
      <c r="L210" s="85"/>
      <c r="M210" s="55">
        <f>'2015 Approved'!$T$196</f>
        <v>0</v>
      </c>
      <c r="N210" s="42">
        <f t="shared" si="59"/>
        <v>0</v>
      </c>
      <c r="O210" s="113">
        <f>'2016 Proposed'!$B$196</f>
        <v>0</v>
      </c>
      <c r="P210" s="7">
        <f t="shared" si="60"/>
        <v>0</v>
      </c>
      <c r="Q210" s="85"/>
      <c r="R210" s="55">
        <f>'2015 Approved'!$X$196</f>
        <v>0</v>
      </c>
      <c r="S210" s="42">
        <f t="shared" si="61"/>
        <v>0</v>
      </c>
      <c r="T210" s="113">
        <f>'2016 Proposed'!$B$196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95</v>
      </c>
      <c r="C211" s="55">
        <f>'2015 Approved'!$B$8</f>
        <v>0.79</v>
      </c>
      <c r="D211" s="42">
        <f t="shared" si="55"/>
        <v>0.79</v>
      </c>
      <c r="E211" s="113">
        <f>'2016 Proposed'!$B$8</f>
        <v>0.79</v>
      </c>
      <c r="F211" s="7">
        <f t="shared" si="56"/>
        <v>0.79</v>
      </c>
      <c r="G211" s="85"/>
      <c r="H211" s="55">
        <f>'2015 Approved'!$M$8</f>
        <v>0.79</v>
      </c>
      <c r="I211" s="42">
        <f t="shared" si="57"/>
        <v>0.79</v>
      </c>
      <c r="J211" s="113">
        <f>'2016 Proposed'!$B$8</f>
        <v>0.79</v>
      </c>
      <c r="K211" s="7">
        <f t="shared" si="58"/>
        <v>0.79</v>
      </c>
      <c r="L211" s="85"/>
      <c r="M211" s="55">
        <f>'2015 Approved'!$T$8</f>
        <v>0.79</v>
      </c>
      <c r="N211" s="42">
        <f t="shared" si="59"/>
        <v>0.79</v>
      </c>
      <c r="O211" s="113">
        <f>'2016 Proposed'!$B$8</f>
        <v>0.79</v>
      </c>
      <c r="P211" s="7">
        <f t="shared" si="60"/>
        <v>0.79</v>
      </c>
      <c r="Q211" s="85"/>
      <c r="R211" s="55">
        <f>'2015 Approved'!$X$8</f>
        <v>0.79</v>
      </c>
      <c r="S211" s="42">
        <f t="shared" si="61"/>
        <v>0.79</v>
      </c>
      <c r="T211" s="113">
        <f>'2016 Proposed'!$B$8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0.10213999999999999</v>
      </c>
      <c r="D212" s="42">
        <f>(D199-D196)*C212</f>
        <v>2.1857959999999976</v>
      </c>
      <c r="E212" s="114">
        <f>F204/$F$196</f>
        <v>0.10213999999999999</v>
      </c>
      <c r="F212" s="7">
        <f>(F199-F196)*E212</f>
        <v>2.2011169999999951</v>
      </c>
      <c r="G212" s="85"/>
      <c r="H212" s="59">
        <f>I204/I196</f>
        <v>0.10213999999999999</v>
      </c>
      <c r="I212" s="42">
        <f>(I199-I196)*H212</f>
        <v>3.1050559999999976</v>
      </c>
      <c r="J212" s="114">
        <f>K204/$F$196</f>
        <v>0.10213999999999999</v>
      </c>
      <c r="K212" s="7">
        <f>(K199-K196)*J212</f>
        <v>2.2011169999999951</v>
      </c>
      <c r="L212" s="85"/>
      <c r="M212" s="59">
        <f>N204/N196</f>
        <v>0.10213999999999999</v>
      </c>
      <c r="N212" s="42">
        <f>(N199-N196)*M212</f>
        <v>3.3808340000000023</v>
      </c>
      <c r="O212" s="114">
        <f>P204/$F$196</f>
        <v>0.10213999999999999</v>
      </c>
      <c r="P212" s="7">
        <f>(P199-P196)*O212</f>
        <v>2.2011169999999951</v>
      </c>
      <c r="Q212" s="85"/>
      <c r="R212" s="59">
        <f>S204/S196</f>
        <v>0.10213999999999999</v>
      </c>
      <c r="S212" s="42">
        <f>(S199-S196)*R212</f>
        <v>2.9620599999999997</v>
      </c>
      <c r="T212" s="114">
        <f>U204/$F$196</f>
        <v>0.10213999999999999</v>
      </c>
      <c r="U212" s="7">
        <f>(U199-U196)*T212</f>
        <v>2.2011169999999951</v>
      </c>
      <c r="V212" s="85"/>
    </row>
    <row r="213" spans="1:22" x14ac:dyDescent="0.25">
      <c r="A213" s="139">
        <f t="shared" si="54"/>
        <v>18</v>
      </c>
      <c r="B213" s="85" t="s">
        <v>90</v>
      </c>
      <c r="C213" s="59">
        <f>'2015 Approved'!$B$11</f>
        <v>8.8000000000000005E-3</v>
      </c>
      <c r="D213" s="42">
        <f t="shared" ref="D213:D222" si="63">C213*D$196</f>
        <v>4.4000000000000004</v>
      </c>
      <c r="E213" s="114">
        <f>'2016 Proposed'!$B$11</f>
        <v>8.6E-3</v>
      </c>
      <c r="F213" s="7">
        <f t="shared" ref="F213:F220" si="64">E213*F$196</f>
        <v>4.3</v>
      </c>
      <c r="G213" s="85"/>
      <c r="H213" s="59">
        <f>'2015 Approved'!$M$11</f>
        <v>1.46E-2</v>
      </c>
      <c r="I213" s="42">
        <f t="shared" ref="I213:I222" si="65">H213*I$196</f>
        <v>7.3</v>
      </c>
      <c r="J213" s="114">
        <f>'2016 Proposed'!$B$11</f>
        <v>8.6E-3</v>
      </c>
      <c r="K213" s="7">
        <f t="shared" ref="K213:K220" si="66">J213*K$196</f>
        <v>4.3</v>
      </c>
      <c r="L213" s="85"/>
      <c r="M213" s="59">
        <f>'2015 Approved'!$T$11</f>
        <v>1.2699999999999999E-2</v>
      </c>
      <c r="N213" s="42">
        <f t="shared" ref="N213:N222" si="67">M213*N$196</f>
        <v>6.35</v>
      </c>
      <c r="O213" s="114">
        <f>'2016 Proposed'!$B$11</f>
        <v>8.6E-3</v>
      </c>
      <c r="P213" s="7">
        <f t="shared" ref="P213:P220" si="68">O213*P$196</f>
        <v>4.3</v>
      </c>
      <c r="Q213" s="85"/>
      <c r="R213" s="59">
        <f>'2015 Approved'!$X$11</f>
        <v>1.26E-2</v>
      </c>
      <c r="S213" s="42">
        <f t="shared" ref="S213:S222" si="69">R213*S$196</f>
        <v>6.3</v>
      </c>
      <c r="T213" s="114">
        <f>'2016 Proposed'!$B$11</f>
        <v>8.6E-3</v>
      </c>
      <c r="U213" s="7">
        <f t="shared" ref="U213:U220" si="70">T213*U$196</f>
        <v>4.3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Approved'!$B$12</f>
        <v>2.9999999999999997E-4</v>
      </c>
      <c r="D214" s="42">
        <f t="shared" si="63"/>
        <v>0.15</v>
      </c>
      <c r="E214" s="114">
        <f>'2016 Proposed'!$B$13</f>
        <v>1.8E-3</v>
      </c>
      <c r="F214" s="7">
        <f t="shared" si="64"/>
        <v>0.9</v>
      </c>
      <c r="G214" s="85"/>
      <c r="H214" s="59">
        <f>'2015 Approved'!$M$12</f>
        <v>2.9999999999999997E-4</v>
      </c>
      <c r="I214" s="42">
        <f t="shared" si="65"/>
        <v>0.15</v>
      </c>
      <c r="J214" s="114">
        <f>'2016 Proposed'!$B$13</f>
        <v>1.8E-3</v>
      </c>
      <c r="K214" s="7">
        <f t="shared" si="66"/>
        <v>0.9</v>
      </c>
      <c r="L214" s="85"/>
      <c r="M214" s="59">
        <f>'2015 Approved'!$T$12</f>
        <v>1.4E-3</v>
      </c>
      <c r="N214" s="42">
        <f t="shared" si="67"/>
        <v>0.7</v>
      </c>
      <c r="O214" s="114">
        <f>'2016 Proposed'!$B$13</f>
        <v>1.8E-3</v>
      </c>
      <c r="P214" s="7">
        <f t="shared" si="68"/>
        <v>0.9</v>
      </c>
      <c r="Q214" s="85"/>
      <c r="R214" s="59">
        <f>'2015 Approved'!$X$12</f>
        <v>4.3E-3</v>
      </c>
      <c r="S214" s="42">
        <f t="shared" si="69"/>
        <v>2.15</v>
      </c>
      <c r="T214" s="114">
        <f>'2016 Proposed'!$B$13</f>
        <v>1.8E-3</v>
      </c>
      <c r="U214" s="7">
        <f t="shared" si="70"/>
        <v>0.9</v>
      </c>
      <c r="V214" s="85"/>
    </row>
    <row r="215" spans="1:22" x14ac:dyDescent="0.25">
      <c r="A215" s="139">
        <f t="shared" si="54"/>
        <v>20</v>
      </c>
      <c r="B215" s="85" t="s">
        <v>87</v>
      </c>
      <c r="C215" s="59">
        <f>'2015 Approved'!$B$13</f>
        <v>0</v>
      </c>
      <c r="D215" s="42">
        <f t="shared" si="63"/>
        <v>0</v>
      </c>
      <c r="E215" s="114">
        <f>'2016 Proposed'!$B$14</f>
        <v>0</v>
      </c>
      <c r="F215" s="7">
        <f t="shared" si="64"/>
        <v>0</v>
      </c>
      <c r="G215" s="85"/>
      <c r="H215" s="59">
        <f>'2015 Approved'!$M$13</f>
        <v>2.0000000000000001E-4</v>
      </c>
      <c r="I215" s="42">
        <f t="shared" si="65"/>
        <v>0.1</v>
      </c>
      <c r="J215" s="114">
        <f>'2016 Proposed'!$B$14</f>
        <v>0</v>
      </c>
      <c r="K215" s="7">
        <f t="shared" si="66"/>
        <v>0</v>
      </c>
      <c r="L215" s="85"/>
      <c r="M215" s="59">
        <f>'2015 Approved'!$T$13</f>
        <v>0</v>
      </c>
      <c r="N215" s="42">
        <f t="shared" si="67"/>
        <v>0</v>
      </c>
      <c r="O215" s="114">
        <f>'2016 Proposed'!$B$14</f>
        <v>0</v>
      </c>
      <c r="P215" s="7">
        <f t="shared" si="68"/>
        <v>0</v>
      </c>
      <c r="Q215" s="85"/>
      <c r="R215" s="59">
        <f>'2015 Approved'!$X$13</f>
        <v>0</v>
      </c>
      <c r="S215" s="42">
        <f t="shared" si="69"/>
        <v>0</v>
      </c>
      <c r="T215" s="114">
        <f>'2016 Proposed'!$B$14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Approved'!$B$14</f>
        <v>1E-4</v>
      </c>
      <c r="D216" s="42">
        <f t="shared" si="63"/>
        <v>0.05</v>
      </c>
      <c r="E216" s="114">
        <f>'2016 Proposed'!$B$15</f>
        <v>2.0000000000000001E-4</v>
      </c>
      <c r="F216" s="7">
        <f t="shared" si="64"/>
        <v>0.1</v>
      </c>
      <c r="G216" s="85"/>
      <c r="H216" s="59">
        <f>'2015 Approved'!$M$14</f>
        <v>2.0000000000000001E-4</v>
      </c>
      <c r="I216" s="42">
        <f t="shared" si="65"/>
        <v>0.1</v>
      </c>
      <c r="J216" s="114">
        <f>'2016 Proposed'!$B$15</f>
        <v>2.0000000000000001E-4</v>
      </c>
      <c r="K216" s="7">
        <f t="shared" si="66"/>
        <v>0.1</v>
      </c>
      <c r="L216" s="85"/>
      <c r="M216" s="59">
        <f>'2015 Approved'!$T$14</f>
        <v>0</v>
      </c>
      <c r="N216" s="42">
        <f t="shared" si="67"/>
        <v>0</v>
      </c>
      <c r="O216" s="114">
        <f>'2016 Proposed'!$B$15</f>
        <v>2.0000000000000001E-4</v>
      </c>
      <c r="P216" s="7">
        <f t="shared" si="68"/>
        <v>0.1</v>
      </c>
      <c r="Q216" s="85"/>
      <c r="R216" s="59">
        <f>'2015 Approved'!$X$14</f>
        <v>0</v>
      </c>
      <c r="S216" s="42">
        <f t="shared" si="69"/>
        <v>0</v>
      </c>
      <c r="T216" s="114">
        <f>'2016 Proposed'!$B$15</f>
        <v>2.0000000000000001E-4</v>
      </c>
      <c r="U216" s="7">
        <f t="shared" si="70"/>
        <v>0.1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Approved'!$B$15</f>
        <v>-2.0000000000000001E-4</v>
      </c>
      <c r="D217" s="42">
        <f t="shared" si="63"/>
        <v>-0.1</v>
      </c>
      <c r="E217" s="114">
        <f>'2016 Proposed'!$B$16</f>
        <v>0</v>
      </c>
      <c r="F217" s="7">
        <f t="shared" si="64"/>
        <v>0</v>
      </c>
      <c r="G217" s="85"/>
      <c r="H217" s="59">
        <f>'2015 Approved'!$M$15</f>
        <v>-2.0000000000000001E-4</v>
      </c>
      <c r="I217" s="42">
        <f t="shared" si="65"/>
        <v>-0.1</v>
      </c>
      <c r="J217" s="114">
        <f>'2016 Proposed'!$B$16</f>
        <v>0</v>
      </c>
      <c r="K217" s="7">
        <f t="shared" si="66"/>
        <v>0</v>
      </c>
      <c r="L217" s="85"/>
      <c r="M217" s="59">
        <f>'2015 Approved'!$T$15</f>
        <v>0</v>
      </c>
      <c r="N217" s="42">
        <f t="shared" si="67"/>
        <v>0</v>
      </c>
      <c r="O217" s="114">
        <f>'2016 Proposed'!$B$16</f>
        <v>0</v>
      </c>
      <c r="P217" s="7">
        <f t="shared" si="68"/>
        <v>0</v>
      </c>
      <c r="Q217" s="85"/>
      <c r="R217" s="59">
        <f>'2015 Approved'!$X$15</f>
        <v>0</v>
      </c>
      <c r="S217" s="42">
        <f t="shared" si="69"/>
        <v>0</v>
      </c>
      <c r="T217" s="114">
        <f>'2016 Proposed'!$B$16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101</v>
      </c>
      <c r="C218" s="59">
        <f>'2015 Approved'!$B$16</f>
        <v>0</v>
      </c>
      <c r="D218" s="42">
        <f t="shared" si="63"/>
        <v>0</v>
      </c>
      <c r="E218" s="114">
        <f>'2016 Proposed'!$B$17</f>
        <v>0</v>
      </c>
      <c r="F218" s="7">
        <f t="shared" si="64"/>
        <v>0</v>
      </c>
      <c r="G218" s="85"/>
      <c r="H218" s="59">
        <f>'2015 Approved'!$M$16</f>
        <v>0</v>
      </c>
      <c r="I218" s="42">
        <f t="shared" si="65"/>
        <v>0</v>
      </c>
      <c r="J218" s="114">
        <f>'2016 Proposed'!$B$17</f>
        <v>0</v>
      </c>
      <c r="K218" s="7">
        <f t="shared" si="66"/>
        <v>0</v>
      </c>
      <c r="L218" s="85"/>
      <c r="M218" s="59">
        <f>'2015 Approved'!$T$16</f>
        <v>4.0000000000000002E-4</v>
      </c>
      <c r="N218" s="42">
        <f t="shared" si="67"/>
        <v>0.2</v>
      </c>
      <c r="O218" s="114">
        <f>M218</f>
        <v>4.0000000000000002E-4</v>
      </c>
      <c r="P218" s="7">
        <f t="shared" si="68"/>
        <v>0.2</v>
      </c>
      <c r="Q218" s="85"/>
      <c r="R218" s="59">
        <f>'2015 Approved'!$X$16</f>
        <v>2.3E-3</v>
      </c>
      <c r="S218" s="42">
        <f t="shared" si="69"/>
        <v>1.1499999999999999</v>
      </c>
      <c r="T218" s="114">
        <f>R218</f>
        <v>2.3E-3</v>
      </c>
      <c r="U218" s="7">
        <f t="shared" si="70"/>
        <v>1.1499999999999999</v>
      </c>
      <c r="V218" s="85"/>
    </row>
    <row r="219" spans="1:22" x14ac:dyDescent="0.25">
      <c r="A219" s="139">
        <f t="shared" si="54"/>
        <v>24</v>
      </c>
      <c r="B219" s="85" t="s">
        <v>112</v>
      </c>
      <c r="C219" s="59">
        <f>'2015 Approved'!$B$17</f>
        <v>2.2000000000000001E-3</v>
      </c>
      <c r="D219" s="42">
        <f t="shared" si="63"/>
        <v>1.1000000000000001</v>
      </c>
      <c r="E219" s="114">
        <f>'2016 Proposed'!$B$18</f>
        <v>0</v>
      </c>
      <c r="F219" s="7">
        <f t="shared" si="64"/>
        <v>0</v>
      </c>
      <c r="G219" s="85"/>
      <c r="H219" s="59">
        <f>'2015 Approved'!$M$17</f>
        <v>1.4E-3</v>
      </c>
      <c r="I219" s="42">
        <f t="shared" si="65"/>
        <v>0.7</v>
      </c>
      <c r="J219" s="114">
        <f>'2016 Proposed'!$B$18</f>
        <v>0</v>
      </c>
      <c r="K219" s="7">
        <f t="shared" si="66"/>
        <v>0</v>
      </c>
      <c r="L219" s="85"/>
      <c r="M219" s="59">
        <f>'2015 Approved'!$T$17</f>
        <v>1.6000000000000001E-3</v>
      </c>
      <c r="N219" s="42">
        <f t="shared" si="67"/>
        <v>0.8</v>
      </c>
      <c r="O219" s="114">
        <f>'2016 Proposed'!$B$18</f>
        <v>0</v>
      </c>
      <c r="P219" s="7">
        <f t="shared" si="68"/>
        <v>0</v>
      </c>
      <c r="Q219" s="85"/>
      <c r="R219" s="59">
        <f>'2015 Approved'!$X$17</f>
        <v>5.1999999999999998E-3</v>
      </c>
      <c r="S219" s="42">
        <f t="shared" si="69"/>
        <v>2.6</v>
      </c>
      <c r="T219" s="114">
        <f>'2016 Proposed'!$B$18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102</v>
      </c>
      <c r="C220" s="59">
        <f>'2015 Approved'!$B$18</f>
        <v>0</v>
      </c>
      <c r="D220" s="42">
        <f t="shared" si="63"/>
        <v>0</v>
      </c>
      <c r="E220" s="114">
        <f>'2016 Proposed'!$B$19</f>
        <v>1.5E-3</v>
      </c>
      <c r="F220" s="7">
        <f t="shared" si="64"/>
        <v>0.75</v>
      </c>
      <c r="G220" s="85"/>
      <c r="H220" s="59">
        <f>'2015 Approved'!$M$18</f>
        <v>0</v>
      </c>
      <c r="I220" s="42">
        <f t="shared" si="65"/>
        <v>0</v>
      </c>
      <c r="J220" s="114">
        <f>'2016 Proposed'!$B$19</f>
        <v>1.5E-3</v>
      </c>
      <c r="K220" s="7">
        <f t="shared" si="66"/>
        <v>0.75</v>
      </c>
      <c r="L220" s="85"/>
      <c r="M220" s="59">
        <f>'2015 Approved'!$T$18</f>
        <v>0</v>
      </c>
      <c r="N220" s="42">
        <f t="shared" si="67"/>
        <v>0</v>
      </c>
      <c r="O220" s="114">
        <f>'2016 Proposed'!$B$19</f>
        <v>1.5E-3</v>
      </c>
      <c r="P220" s="7">
        <f t="shared" si="68"/>
        <v>0.75</v>
      </c>
      <c r="Q220" s="85"/>
      <c r="R220" s="59">
        <f>'2015 Approved'!$X$18</f>
        <v>0</v>
      </c>
      <c r="S220" s="42">
        <f t="shared" si="69"/>
        <v>0</v>
      </c>
      <c r="T220" s="114">
        <f>'2016 Proposed'!$B$19</f>
        <v>1.5E-3</v>
      </c>
      <c r="U220" s="7">
        <f t="shared" si="70"/>
        <v>0.75</v>
      </c>
      <c r="V220" s="85"/>
    </row>
    <row r="221" spans="1:22" x14ac:dyDescent="0.25">
      <c r="A221" s="139">
        <f t="shared" si="54"/>
        <v>26</v>
      </c>
      <c r="B221" s="85" t="s">
        <v>94</v>
      </c>
      <c r="C221" s="59">
        <f>'2015 Approved'!$B$19</f>
        <v>0</v>
      </c>
      <c r="D221" s="42">
        <f t="shared" si="63"/>
        <v>0</v>
      </c>
      <c r="E221" s="114">
        <f>'2016 Proposed'!$B$20</f>
        <v>0.47</v>
      </c>
      <c r="F221" s="7">
        <f>E221</f>
        <v>0.47</v>
      </c>
      <c r="G221" s="85"/>
      <c r="H221" s="59">
        <f>'2015 Approved'!$M$19</f>
        <v>0</v>
      </c>
      <c r="I221" s="42">
        <f t="shared" si="65"/>
        <v>0</v>
      </c>
      <c r="J221" s="114">
        <f>'2016 Proposed'!$B$20</f>
        <v>0.47</v>
      </c>
      <c r="K221" s="7">
        <f>J221</f>
        <v>0.47</v>
      </c>
      <c r="L221" s="85"/>
      <c r="M221" s="59">
        <f>'2015 Approved'!$T$19</f>
        <v>0</v>
      </c>
      <c r="N221" s="42">
        <f t="shared" si="67"/>
        <v>0</v>
      </c>
      <c r="O221" s="114">
        <f>'2016 Proposed'!$B$20</f>
        <v>0.47</v>
      </c>
      <c r="P221" s="7">
        <f>O221</f>
        <v>0.47</v>
      </c>
      <c r="Q221" s="85"/>
      <c r="R221" s="59">
        <f>'2015 Approved'!$X$19</f>
        <v>0</v>
      </c>
      <c r="S221" s="42">
        <f t="shared" si="69"/>
        <v>0</v>
      </c>
      <c r="T221" s="114">
        <f>'2016 Proposed'!$B$20</f>
        <v>0.47</v>
      </c>
      <c r="U221" s="7">
        <f>T221</f>
        <v>0.47</v>
      </c>
      <c r="V221" s="85"/>
    </row>
    <row r="222" spans="1:22" x14ac:dyDescent="0.25">
      <c r="A222" s="139">
        <f t="shared" si="54"/>
        <v>27</v>
      </c>
      <c r="B222" s="85" t="s">
        <v>104</v>
      </c>
      <c r="C222" s="59">
        <f>'2015 Approved'!$B$20</f>
        <v>0</v>
      </c>
      <c r="D222" s="42">
        <f t="shared" si="63"/>
        <v>0</v>
      </c>
      <c r="E222" s="114">
        <f>'2016 Proposed'!$B$21</f>
        <v>-1.4</v>
      </c>
      <c r="F222" s="7">
        <f>E222</f>
        <v>-1.4</v>
      </c>
      <c r="G222" s="85"/>
      <c r="H222" s="59">
        <f>'2015 Approved'!$M$20</f>
        <v>0</v>
      </c>
      <c r="I222" s="42">
        <f t="shared" si="65"/>
        <v>0</v>
      </c>
      <c r="J222" s="114">
        <f>'2016 Proposed'!$B$21</f>
        <v>-1.4</v>
      </c>
      <c r="K222" s="7">
        <f>J222</f>
        <v>-1.4</v>
      </c>
      <c r="L222" s="85"/>
      <c r="M222" s="59">
        <f>'2015 Approved'!$T$20</f>
        <v>0</v>
      </c>
      <c r="N222" s="42">
        <f t="shared" si="67"/>
        <v>0</v>
      </c>
      <c r="O222" s="114">
        <f>'2016 Proposed'!$B$21</f>
        <v>-1.4</v>
      </c>
      <c r="P222" s="7">
        <f>O222</f>
        <v>-1.4</v>
      </c>
      <c r="Q222" s="85"/>
      <c r="R222" s="59">
        <f>'2015 Approved'!$X$20</f>
        <v>0</v>
      </c>
      <c r="S222" s="42">
        <f t="shared" si="69"/>
        <v>0</v>
      </c>
      <c r="T222" s="114">
        <f>'2016 Proposed'!$B$21</f>
        <v>-1.4</v>
      </c>
      <c r="U222" s="7">
        <f>T222</f>
        <v>-1.4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27.555795999999997</v>
      </c>
      <c r="E223" s="110"/>
      <c r="F223" s="95">
        <f>SUM(F207:F222)</f>
        <v>27.091116999999997</v>
      </c>
      <c r="G223" s="127">
        <f>F223-D223</f>
        <v>-0.46467900000000029</v>
      </c>
      <c r="H223" s="126"/>
      <c r="I223" s="96">
        <f>SUM(I207:I222)</f>
        <v>28.575055999999996</v>
      </c>
      <c r="J223" s="110"/>
      <c r="K223" s="95">
        <f>SUM(K207:K222)</f>
        <v>27.091116999999997</v>
      </c>
      <c r="L223" s="127">
        <f>K223-I223</f>
        <v>-1.4839389999999995</v>
      </c>
      <c r="M223" s="126"/>
      <c r="N223" s="96">
        <f>SUM(N207:N222)</f>
        <v>26.860834000000001</v>
      </c>
      <c r="O223" s="110"/>
      <c r="P223" s="95">
        <f>SUM(P207:P222)</f>
        <v>27.291116999999996</v>
      </c>
      <c r="Q223" s="127">
        <f>P223-N223</f>
        <v>0.43028299999999575</v>
      </c>
      <c r="R223" s="126"/>
      <c r="S223" s="96">
        <f>SUM(S207:S222)</f>
        <v>29.242059999999999</v>
      </c>
      <c r="T223" s="110"/>
      <c r="U223" s="95">
        <f>SUM(U207:U222)</f>
        <v>28.241116999999996</v>
      </c>
      <c r="V223" s="127">
        <f>U223-S223</f>
        <v>-1.000943000000003</v>
      </c>
    </row>
    <row r="224" spans="1:22" x14ac:dyDescent="0.25">
      <c r="A224" s="144">
        <f t="shared" si="54"/>
        <v>29</v>
      </c>
      <c r="B224" s="145" t="s">
        <v>118</v>
      </c>
      <c r="C224" s="128"/>
      <c r="D224" s="120"/>
      <c r="E224" s="111"/>
      <c r="F224" s="97"/>
      <c r="G224" s="129">
        <f>G223/D223</f>
        <v>-1.686320366140032E-2</v>
      </c>
      <c r="H224" s="128"/>
      <c r="I224" s="120"/>
      <c r="J224" s="111"/>
      <c r="K224" s="97"/>
      <c r="L224" s="129">
        <f>L223/I223</f>
        <v>-5.1931271805731531E-2</v>
      </c>
      <c r="M224" s="128"/>
      <c r="N224" s="120"/>
      <c r="O224" s="111"/>
      <c r="P224" s="97"/>
      <c r="Q224" s="129">
        <f>Q223/N223</f>
        <v>1.6018973945484929E-2</v>
      </c>
      <c r="R224" s="128"/>
      <c r="S224" s="120"/>
      <c r="T224" s="111"/>
      <c r="U224" s="97"/>
      <c r="V224" s="129">
        <f>V223/S223</f>
        <v>-3.4229565222149295E-2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68</v>
      </c>
      <c r="C226" s="59">
        <f>'2015 Approved'!$B$26</f>
        <v>7.4000000000000003E-3</v>
      </c>
      <c r="D226" s="42">
        <f>C226*D$199</f>
        <v>3.8583599999999998</v>
      </c>
      <c r="E226" s="114">
        <f>'2016 Proposed'!$B$28</f>
        <v>7.3000000000000001E-3</v>
      </c>
      <c r="F226" s="7">
        <f>E226*F$199</f>
        <v>3.8073149999999996</v>
      </c>
      <c r="G226" s="85"/>
      <c r="H226" s="59">
        <f>'2015 Approved'!$M$26</f>
        <v>7.1999999999999998E-3</v>
      </c>
      <c r="I226" s="42">
        <f>H226*I$199</f>
        <v>3.8188799999999996</v>
      </c>
      <c r="J226" s="114">
        <f>'2016 Proposed'!$B$28</f>
        <v>7.3000000000000001E-3</v>
      </c>
      <c r="K226" s="7">
        <f>J226*K$199</f>
        <v>3.8073149999999996</v>
      </c>
      <c r="L226" s="85"/>
      <c r="M226" s="59">
        <f>'2015 Approved'!$T$26</f>
        <v>7.6E-3</v>
      </c>
      <c r="N226" s="42">
        <f>M226*N$199</f>
        <v>4.0515600000000003</v>
      </c>
      <c r="O226" s="114">
        <f>'2016 Proposed'!$B$28</f>
        <v>7.3000000000000001E-3</v>
      </c>
      <c r="P226" s="7">
        <f>O226*P$199</f>
        <v>3.8073149999999996</v>
      </c>
      <c r="Q226" s="85"/>
      <c r="R226" s="59">
        <f>'2015 Approved'!$X$26</f>
        <v>7.4450068112693092E-3</v>
      </c>
      <c r="S226" s="42">
        <f>R226*S$199</f>
        <v>3.9384086031614647</v>
      </c>
      <c r="T226" s="114">
        <f>'2016 Proposed'!$B$28</f>
        <v>7.3000000000000001E-3</v>
      </c>
      <c r="U226" s="7">
        <f>T226*U$199</f>
        <v>3.8073149999999996</v>
      </c>
      <c r="V226" s="85"/>
    </row>
    <row r="227" spans="1:22" x14ac:dyDescent="0.25">
      <c r="A227" s="139">
        <f t="shared" si="54"/>
        <v>32</v>
      </c>
      <c r="B227" s="85" t="s">
        <v>69</v>
      </c>
      <c r="C227" s="59">
        <f>'2015 Approved'!$B$27</f>
        <v>5.3E-3</v>
      </c>
      <c r="D227" s="42">
        <f>C227*D$199</f>
        <v>2.76342</v>
      </c>
      <c r="E227" s="114">
        <f>'2016 Proposed'!$B$29</f>
        <v>5.4000000000000003E-3</v>
      </c>
      <c r="F227" s="7">
        <f>E227*F$199</f>
        <v>2.81637</v>
      </c>
      <c r="G227" s="85"/>
      <c r="H227" s="59">
        <f>'2015 Approved'!$M$27</f>
        <v>5.1000000000000004E-3</v>
      </c>
      <c r="I227" s="42">
        <f>H227*I$199</f>
        <v>2.7050399999999999</v>
      </c>
      <c r="J227" s="114">
        <f>'2016 Proposed'!$B$29</f>
        <v>5.4000000000000003E-3</v>
      </c>
      <c r="K227" s="7">
        <f>J227*K$199</f>
        <v>2.81637</v>
      </c>
      <c r="L227" s="85"/>
      <c r="M227" s="59">
        <f>'2015 Approved'!$T$27</f>
        <v>5.5999999999999999E-3</v>
      </c>
      <c r="N227" s="42">
        <f>M227*N$199</f>
        <v>2.98536</v>
      </c>
      <c r="O227" s="114">
        <f>'2016 Proposed'!$B$29</f>
        <v>5.4000000000000003E-3</v>
      </c>
      <c r="P227" s="7">
        <f>O227*P$199</f>
        <v>2.81637</v>
      </c>
      <c r="Q227" s="85"/>
      <c r="R227" s="59">
        <f>'2015 Approved'!$X$27</f>
        <v>3.7551994493456586E-3</v>
      </c>
      <c r="S227" s="42">
        <f>R227*S$199</f>
        <v>1.9865005087038534</v>
      </c>
      <c r="T227" s="114">
        <f>'2016 Proposed'!$B$29</f>
        <v>5.4000000000000003E-3</v>
      </c>
      <c r="U227" s="7">
        <f>T227*U$199</f>
        <v>2.81637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6.6217799999999993</v>
      </c>
      <c r="E228" s="110"/>
      <c r="F228" s="95">
        <f>SUM(F226:F227)</f>
        <v>6.623685</v>
      </c>
      <c r="G228" s="127">
        <f>F228-D228</f>
        <v>1.9050000000007117E-3</v>
      </c>
      <c r="H228" s="126"/>
      <c r="I228" s="96">
        <f>SUM(I226:I227)</f>
        <v>6.5239199999999995</v>
      </c>
      <c r="J228" s="110"/>
      <c r="K228" s="95">
        <f>SUM(K226:K227)</f>
        <v>6.623685</v>
      </c>
      <c r="L228" s="127">
        <f>K228-I228</f>
        <v>9.9765000000000548E-2</v>
      </c>
      <c r="M228" s="126"/>
      <c r="N228" s="96">
        <f>SUM(N226:N227)</f>
        <v>7.0369200000000003</v>
      </c>
      <c r="O228" s="110"/>
      <c r="P228" s="95">
        <f>SUM(P226:P227)</f>
        <v>6.623685</v>
      </c>
      <c r="Q228" s="127">
        <f>P228-N228</f>
        <v>-0.41323500000000024</v>
      </c>
      <c r="R228" s="126"/>
      <c r="S228" s="96">
        <f>SUM(S226:S227)</f>
        <v>5.9249091118653183</v>
      </c>
      <c r="T228" s="110"/>
      <c r="U228" s="95">
        <f>SUM(U226:U227)</f>
        <v>6.623685</v>
      </c>
      <c r="V228" s="127">
        <f>U228-S228</f>
        <v>0.69877588813468172</v>
      </c>
    </row>
    <row r="229" spans="1:22" x14ac:dyDescent="0.25">
      <c r="A229" s="144">
        <f t="shared" si="54"/>
        <v>34</v>
      </c>
      <c r="B229" s="145" t="s">
        <v>118</v>
      </c>
      <c r="C229" s="128"/>
      <c r="D229" s="120"/>
      <c r="E229" s="111"/>
      <c r="F229" s="97"/>
      <c r="G229" s="129">
        <f>G228/D228</f>
        <v>2.8768699654786354E-4</v>
      </c>
      <c r="H229" s="128"/>
      <c r="I229" s="120"/>
      <c r="J229" s="111"/>
      <c r="K229" s="97"/>
      <c r="L229" s="129">
        <f>L228/I228</f>
        <v>1.5292186292903739E-2</v>
      </c>
      <c r="M229" s="128"/>
      <c r="N229" s="120"/>
      <c r="O229" s="111"/>
      <c r="P229" s="97"/>
      <c r="Q229" s="129">
        <f>Q228/N228</f>
        <v>-5.8723845091318394E-2</v>
      </c>
      <c r="R229" s="128"/>
      <c r="S229" s="120"/>
      <c r="T229" s="111"/>
      <c r="U229" s="97"/>
      <c r="V229" s="129">
        <f>V228/S228</f>
        <v>0.11793866790889701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66</v>
      </c>
      <c r="C231" s="59">
        <f>WMSR+RRRP</f>
        <v>5.7000000000000002E-3</v>
      </c>
      <c r="D231" s="42">
        <f>C231*D199</f>
        <v>2.9719799999999998</v>
      </c>
      <c r="E231" s="114">
        <f>WMSR+RRRP</f>
        <v>5.7000000000000002E-3</v>
      </c>
      <c r="F231" s="7">
        <f>E231*F199</f>
        <v>2.9728349999999999</v>
      </c>
      <c r="G231" s="85"/>
      <c r="H231" s="59">
        <f>WMSR+RRRP</f>
        <v>5.7000000000000002E-3</v>
      </c>
      <c r="I231" s="42">
        <f>H231*I199</f>
        <v>3.0232800000000002</v>
      </c>
      <c r="J231" s="114">
        <f>WMSR+RRRP</f>
        <v>5.7000000000000002E-3</v>
      </c>
      <c r="K231" s="7">
        <f>J231*K199</f>
        <v>2.9728349999999999</v>
      </c>
      <c r="L231" s="85"/>
      <c r="M231" s="59">
        <f>WMSR+RRRP</f>
        <v>5.7000000000000002E-3</v>
      </c>
      <c r="N231" s="42">
        <f>M231*N199</f>
        <v>3.0386700000000002</v>
      </c>
      <c r="O231" s="114">
        <f>WMSR+RRRP</f>
        <v>5.7000000000000002E-3</v>
      </c>
      <c r="P231" s="7">
        <f>O231*P199</f>
        <v>2.9728349999999999</v>
      </c>
      <c r="Q231" s="85"/>
      <c r="R231" s="59">
        <f>WMSR+RRRP</f>
        <v>5.7000000000000002E-3</v>
      </c>
      <c r="S231" s="42">
        <f>R231*S199</f>
        <v>3.0153000000000003</v>
      </c>
      <c r="T231" s="114">
        <f>WMSR+RRRP</f>
        <v>5.7000000000000002E-3</v>
      </c>
      <c r="U231" s="7">
        <f>T231*U199</f>
        <v>2.9728349999999999</v>
      </c>
      <c r="V231" s="85"/>
    </row>
    <row r="232" spans="1:22" x14ac:dyDescent="0.25">
      <c r="A232" s="139">
        <f t="shared" si="54"/>
        <v>37</v>
      </c>
      <c r="B232" s="85" t="s">
        <v>67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3.5</v>
      </c>
      <c r="E233" s="114">
        <v>7.0000000000000001E-3</v>
      </c>
      <c r="F233" s="7">
        <f>E233*F196</f>
        <v>3.5</v>
      </c>
      <c r="G233" s="85"/>
      <c r="H233" s="59">
        <v>7.0000000000000001E-3</v>
      </c>
      <c r="I233" s="42">
        <f>H233*I196</f>
        <v>3.5</v>
      </c>
      <c r="J233" s="114">
        <v>7.0000000000000001E-3</v>
      </c>
      <c r="K233" s="7">
        <f>J233*K196</f>
        <v>3.5</v>
      </c>
      <c r="L233" s="85"/>
      <c r="M233" s="59">
        <v>7.0000000000000001E-3</v>
      </c>
      <c r="N233" s="42">
        <f>M233*N196</f>
        <v>3.5</v>
      </c>
      <c r="O233" s="114">
        <v>7.0000000000000001E-3</v>
      </c>
      <c r="P233" s="7">
        <f>O233*P196</f>
        <v>3.5</v>
      </c>
      <c r="Q233" s="85"/>
      <c r="R233" s="59">
        <v>7.0000000000000001E-3</v>
      </c>
      <c r="S233" s="42">
        <f>R233*S196</f>
        <v>3.5</v>
      </c>
      <c r="T233" s="114">
        <v>7.0000000000000001E-3</v>
      </c>
      <c r="U233" s="7">
        <f>T233*U196</f>
        <v>3.5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6.7219800000000003</v>
      </c>
      <c r="E235" s="110"/>
      <c r="F235" s="95">
        <f>SUM(F231:F234)</f>
        <v>6.7228349999999999</v>
      </c>
      <c r="G235" s="127">
        <f>F235-D235</f>
        <v>8.5499999999960608E-4</v>
      </c>
      <c r="H235" s="126"/>
      <c r="I235" s="96">
        <f>SUM(I231:I234)</f>
        <v>6.7732799999999997</v>
      </c>
      <c r="J235" s="110"/>
      <c r="K235" s="95">
        <f>SUM(K231:K234)</f>
        <v>6.7228349999999999</v>
      </c>
      <c r="L235" s="127">
        <f>K235-I235</f>
        <v>-5.0444999999999851E-2</v>
      </c>
      <c r="M235" s="126"/>
      <c r="N235" s="96">
        <f>SUM(N231:N234)</f>
        <v>6.7886699999999998</v>
      </c>
      <c r="O235" s="110"/>
      <c r="P235" s="95">
        <f>SUM(P231:P234)</f>
        <v>6.7228349999999999</v>
      </c>
      <c r="Q235" s="127">
        <f>P235-N235</f>
        <v>-6.5834999999999866E-2</v>
      </c>
      <c r="R235" s="126"/>
      <c r="S235" s="96">
        <f>SUM(S231:S234)</f>
        <v>6.7652999999999999</v>
      </c>
      <c r="T235" s="110"/>
      <c r="U235" s="95">
        <f>SUM(U231:U234)</f>
        <v>6.7228349999999999</v>
      </c>
      <c r="V235" s="127">
        <f>U235-S235</f>
        <v>-4.2464999999999975E-2</v>
      </c>
    </row>
    <row r="236" spans="1:22" x14ac:dyDescent="0.25">
      <c r="A236" s="144">
        <f t="shared" si="54"/>
        <v>41</v>
      </c>
      <c r="B236" s="145" t="s">
        <v>118</v>
      </c>
      <c r="C236" s="128"/>
      <c r="D236" s="120"/>
      <c r="E236" s="111"/>
      <c r="F236" s="97"/>
      <c r="G236" s="129">
        <f>G235/D235</f>
        <v>1.2719466585732269E-4</v>
      </c>
      <c r="H236" s="128"/>
      <c r="I236" s="120"/>
      <c r="J236" s="111"/>
      <c r="K236" s="97"/>
      <c r="L236" s="129">
        <f>L235/I235</f>
        <v>-7.4476472255686835E-3</v>
      </c>
      <c r="M236" s="128"/>
      <c r="N236" s="120"/>
      <c r="O236" s="111"/>
      <c r="P236" s="97"/>
      <c r="Q236" s="129">
        <f>Q235/N235</f>
        <v>-9.6977758530021156E-3</v>
      </c>
      <c r="R236" s="128"/>
      <c r="S236" s="120"/>
      <c r="T236" s="111"/>
      <c r="U236" s="97"/>
      <c r="V236" s="129">
        <f>V235/S235</f>
        <v>-6.2768835084918593E-3</v>
      </c>
    </row>
    <row r="237" spans="1:22" x14ac:dyDescent="0.25">
      <c r="A237" s="147">
        <f t="shared" si="54"/>
        <v>42</v>
      </c>
      <c r="B237" s="133" t="s">
        <v>129</v>
      </c>
      <c r="C237" s="132"/>
      <c r="D237" s="122">
        <f>D204+D223+D228+D235</f>
        <v>91.969555999999997</v>
      </c>
      <c r="E237" s="115"/>
      <c r="F237" s="102">
        <f>F204+F223+F228+F235</f>
        <v>91.507636999999988</v>
      </c>
      <c r="G237" s="133"/>
      <c r="H237" s="132"/>
      <c r="I237" s="122">
        <f>I204+I223+I228+I235</f>
        <v>92.942256</v>
      </c>
      <c r="J237" s="115"/>
      <c r="K237" s="102">
        <f>K204+K223+K228+K235</f>
        <v>91.507636999999988</v>
      </c>
      <c r="L237" s="133"/>
      <c r="M237" s="132"/>
      <c r="N237" s="122">
        <f>N204+N223+N228+N235</f>
        <v>91.756423999999996</v>
      </c>
      <c r="O237" s="115"/>
      <c r="P237" s="102">
        <f>P204+P223+P228+P235</f>
        <v>91.707636999999991</v>
      </c>
      <c r="Q237" s="133"/>
      <c r="R237" s="132"/>
      <c r="S237" s="122">
        <f>S204+S223+S228+S235</f>
        <v>93.002269111865317</v>
      </c>
      <c r="T237" s="115"/>
      <c r="U237" s="102">
        <f>U204+U223+U228+U235</f>
        <v>92.657636999999994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11.95604228</v>
      </c>
      <c r="E238" s="116"/>
      <c r="F238" s="99">
        <f>F237*0.13</f>
        <v>11.895992809999999</v>
      </c>
      <c r="G238" s="134"/>
      <c r="H238" s="87"/>
      <c r="I238" s="43">
        <f>I237*0.13</f>
        <v>12.082493280000001</v>
      </c>
      <c r="J238" s="116"/>
      <c r="K238" s="99">
        <f>K237*0.13</f>
        <v>11.895992809999999</v>
      </c>
      <c r="L238" s="134"/>
      <c r="M238" s="87"/>
      <c r="N238" s="43">
        <f>N237*0.13</f>
        <v>11.92833512</v>
      </c>
      <c r="O238" s="116"/>
      <c r="P238" s="99">
        <f>P237*0.13</f>
        <v>11.921992809999999</v>
      </c>
      <c r="Q238" s="134"/>
      <c r="R238" s="87"/>
      <c r="S238" s="43">
        <f>S237*0.13</f>
        <v>12.090294984542492</v>
      </c>
      <c r="T238" s="116"/>
      <c r="U238" s="99">
        <f>U237*0.13</f>
        <v>12.045492809999999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-10.392559828000001</v>
      </c>
      <c r="E239" s="117"/>
      <c r="F239" s="70">
        <f>SUM(F237:F238)*-0.1</f>
        <v>-10.340362980999998</v>
      </c>
      <c r="G239" s="125"/>
      <c r="H239" s="88"/>
      <c r="I239" s="69">
        <f>SUM(I237:I238)*-0.1</f>
        <v>-10.502474928000002</v>
      </c>
      <c r="J239" s="117"/>
      <c r="K239" s="70">
        <f>SUM(K237:K238)*-0.1</f>
        <v>-10.340362980999998</v>
      </c>
      <c r="L239" s="125"/>
      <c r="M239" s="88"/>
      <c r="N239" s="69">
        <f>SUM(N237:N238)*-0.1</f>
        <v>-10.368475912000001</v>
      </c>
      <c r="O239" s="117"/>
      <c r="P239" s="70">
        <f>SUM(P237:P238)*-0.1</f>
        <v>-10.362962980999999</v>
      </c>
      <c r="Q239" s="125"/>
      <c r="R239" s="88"/>
      <c r="S239" s="69">
        <f>SUM(S237:S238)*-0.1</f>
        <v>-10.509256409640782</v>
      </c>
      <c r="T239" s="117"/>
      <c r="U239" s="70">
        <f>SUM(U237:U238)*-0.1</f>
        <v>-10.470312980999999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93.533038452</v>
      </c>
      <c r="E240" s="118"/>
      <c r="F240" s="103">
        <f>SUM(F237:F239)</f>
        <v>93.063266828999986</v>
      </c>
      <c r="G240" s="136">
        <f>F240-D240</f>
        <v>-0.46977162300001396</v>
      </c>
      <c r="H240" s="135"/>
      <c r="I240" s="104">
        <f>SUM(I237:I239)</f>
        <v>94.522274352000011</v>
      </c>
      <c r="J240" s="118"/>
      <c r="K240" s="103">
        <f>SUM(K237:K239)</f>
        <v>93.063266828999986</v>
      </c>
      <c r="L240" s="136">
        <f>K240-I240</f>
        <v>-1.4590075230000252</v>
      </c>
      <c r="M240" s="135"/>
      <c r="N240" s="104">
        <f>SUM(N237:N239)</f>
        <v>93.316283207999987</v>
      </c>
      <c r="O240" s="118"/>
      <c r="P240" s="103">
        <f>SUM(P237:P239)</f>
        <v>93.266666828999988</v>
      </c>
      <c r="Q240" s="136">
        <f>P240-N240</f>
        <v>-4.9616378999999711E-2</v>
      </c>
      <c r="R240" s="135"/>
      <c r="S240" s="104">
        <f>SUM(S237:S239)</f>
        <v>94.583307686767029</v>
      </c>
      <c r="T240" s="118"/>
      <c r="U240" s="103">
        <f>SUM(U237:U239)</f>
        <v>94.232816829000001</v>
      </c>
      <c r="V240" s="136">
        <f>U240-S240</f>
        <v>-0.35049085776702782</v>
      </c>
    </row>
    <row r="241" spans="1:22" x14ac:dyDescent="0.25">
      <c r="A241" s="151">
        <f t="shared" si="54"/>
        <v>46</v>
      </c>
      <c r="B241" s="152" t="s">
        <v>118</v>
      </c>
      <c r="C241" s="137"/>
      <c r="D241" s="123"/>
      <c r="E241" s="119"/>
      <c r="F241" s="105"/>
      <c r="G241" s="138">
        <f>G240/D240</f>
        <v>-5.0225207132674832E-3</v>
      </c>
      <c r="H241" s="137"/>
      <c r="I241" s="123"/>
      <c r="J241" s="119"/>
      <c r="K241" s="105"/>
      <c r="L241" s="138">
        <f>L240/I240</f>
        <v>-1.5435594763269191E-2</v>
      </c>
      <c r="M241" s="137"/>
      <c r="N241" s="123"/>
      <c r="O241" s="119"/>
      <c r="P241" s="105"/>
      <c r="Q241" s="138">
        <f>Q240/N240</f>
        <v>-5.3170119184243407E-4</v>
      </c>
      <c r="R241" s="137"/>
      <c r="S241" s="123"/>
      <c r="T241" s="119"/>
      <c r="U241" s="105"/>
      <c r="V241" s="138">
        <f>V240/S240</f>
        <v>-3.7056312190704272E-3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127</v>
      </c>
      <c r="C243" s="202">
        <f>'2015 Approved'!$B$23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Approved'!$M$23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Approved'!$X$23</f>
        <v>3.0999999999999999E-3</v>
      </c>
      <c r="S243" s="43">
        <f>R243*S196</f>
        <v>1.55</v>
      </c>
      <c r="T243" s="203">
        <f>R243</f>
        <v>3.0999999999999999E-3</v>
      </c>
      <c r="U243" s="7">
        <f>T243*U196</f>
        <v>1.55</v>
      </c>
      <c r="V243" s="134"/>
    </row>
    <row r="244" spans="1:22" x14ac:dyDescent="0.25">
      <c r="A244" s="148">
        <f>A243+1</f>
        <v>49</v>
      </c>
      <c r="B244" s="85" t="s">
        <v>128</v>
      </c>
      <c r="C244" s="59">
        <f>'2015 Approved'!$B$24</f>
        <v>3.1999999999999997E-3</v>
      </c>
      <c r="D244" s="42">
        <f>C244*D196</f>
        <v>1.5999999999999999</v>
      </c>
      <c r="E244" s="203">
        <f>'2016 Proposed'!$B$26</f>
        <v>3.3999999999999998E-3</v>
      </c>
      <c r="F244" s="7">
        <f>E244*F196</f>
        <v>1.7</v>
      </c>
      <c r="G244" s="85"/>
      <c r="H244" s="59">
        <f>'2015 Approved'!$M$24</f>
        <v>-8.0000000000000004E-4</v>
      </c>
      <c r="I244" s="42">
        <f>H244*I196</f>
        <v>-0.4</v>
      </c>
      <c r="J244" s="114">
        <f>'2016 Proposed'!$B$26</f>
        <v>3.3999999999999998E-3</v>
      </c>
      <c r="K244" s="7">
        <f>J244*K196</f>
        <v>1.7</v>
      </c>
      <c r="L244" s="85"/>
      <c r="M244" s="59">
        <f>'2015 Approved'!$T$24</f>
        <v>-4.0000000000000002E-4</v>
      </c>
      <c r="N244" s="42">
        <f>M244*N196</f>
        <v>-0.2</v>
      </c>
      <c r="O244" s="114">
        <f>'2016 Proposed'!$B$26</f>
        <v>3.3999999999999998E-3</v>
      </c>
      <c r="P244" s="7">
        <f>O244*P196</f>
        <v>1.7</v>
      </c>
      <c r="Q244" s="85"/>
      <c r="R244" s="59">
        <f>'2015 Approved'!$X$24</f>
        <v>-2.9999999999999997E-4</v>
      </c>
      <c r="S244" s="42">
        <f>R244*S196</f>
        <v>-0.15</v>
      </c>
      <c r="T244" s="114">
        <f>'2016 Proposed'!$B$26</f>
        <v>3.3999999999999998E-3</v>
      </c>
      <c r="U244" s="7">
        <f>T244*U196</f>
        <v>1.7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93.569555999999992</v>
      </c>
      <c r="E245" s="106"/>
      <c r="F245" s="7">
        <f>F237+SUM(F243:F244)</f>
        <v>93.207636999999991</v>
      </c>
      <c r="G245" s="85"/>
      <c r="H245" s="86"/>
      <c r="I245" s="42">
        <f>I237+I244+I243</f>
        <v>92.542255999999995</v>
      </c>
      <c r="J245" s="106"/>
      <c r="K245" s="7">
        <f>K237+K244+K243</f>
        <v>93.207636999999991</v>
      </c>
      <c r="L245" s="85"/>
      <c r="M245" s="86"/>
      <c r="N245" s="42">
        <f>N237+N244+N243</f>
        <v>91.556423999999993</v>
      </c>
      <c r="O245" s="106"/>
      <c r="P245" s="7">
        <f>P237+P244+P243</f>
        <v>93.407636999999994</v>
      </c>
      <c r="Q245" s="85"/>
      <c r="R245" s="86"/>
      <c r="S245" s="42">
        <f>S237+S244+S243</f>
        <v>94.402269111865309</v>
      </c>
      <c r="T245" s="106"/>
      <c r="U245" s="7">
        <f>U237+U244+U243</f>
        <v>95.907636999999994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12.164042279999999</v>
      </c>
      <c r="E246" s="106"/>
      <c r="F246" s="7">
        <f>F245*0.13</f>
        <v>12.116992809999999</v>
      </c>
      <c r="G246" s="85"/>
      <c r="H246" s="86"/>
      <c r="I246" s="42">
        <f>I245*0.13</f>
        <v>12.03049328</v>
      </c>
      <c r="J246" s="106"/>
      <c r="K246" s="7">
        <f>K245*0.13</f>
        <v>12.116992809999999</v>
      </c>
      <c r="L246" s="85"/>
      <c r="M246" s="86"/>
      <c r="N246" s="42">
        <f>N245*0.13</f>
        <v>11.90233512</v>
      </c>
      <c r="O246" s="106"/>
      <c r="P246" s="7">
        <f>P245*0.13</f>
        <v>12.142992809999999</v>
      </c>
      <c r="Q246" s="85"/>
      <c r="R246" s="86"/>
      <c r="S246" s="42">
        <f>S245*0.13</f>
        <v>12.272294984542491</v>
      </c>
      <c r="T246" s="106"/>
      <c r="U246" s="7">
        <f>U245*0.13</f>
        <v>12.46799281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-10.573359828000001</v>
      </c>
      <c r="E247" s="106"/>
      <c r="F247" s="7">
        <f>SUM(F245:F246)*-0.1</f>
        <v>-10.532462981</v>
      </c>
      <c r="G247" s="85"/>
      <c r="H247" s="86"/>
      <c r="I247" s="42">
        <f>SUM(I245:I246)*-0.1</f>
        <v>-10.457274928</v>
      </c>
      <c r="J247" s="106"/>
      <c r="K247" s="7">
        <f>SUM(K245:K246)*-0.1</f>
        <v>-10.532462981</v>
      </c>
      <c r="L247" s="85"/>
      <c r="M247" s="86"/>
      <c r="N247" s="42">
        <f>SUM(N245:N246)*-0.1</f>
        <v>-10.345875912</v>
      </c>
      <c r="O247" s="106"/>
      <c r="P247" s="7">
        <f>SUM(P245:P246)*-0.1</f>
        <v>-10.555062980999999</v>
      </c>
      <c r="Q247" s="85"/>
      <c r="R247" s="86"/>
      <c r="S247" s="42">
        <f>SUM(S245:S246)*-0.1</f>
        <v>-10.667456409640781</v>
      </c>
      <c r="T247" s="106"/>
      <c r="U247" s="7">
        <f>SUM(U245:U246)*-0.1</f>
        <v>-10.837562981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95.160238451999987</v>
      </c>
      <c r="E248" s="181"/>
      <c r="F248" s="182">
        <f>SUM(F245:F247)</f>
        <v>94.792166828999996</v>
      </c>
      <c r="G248" s="183">
        <f>F248-D248</f>
        <v>-0.36807162299999163</v>
      </c>
      <c r="H248" s="179"/>
      <c r="I248" s="180">
        <f>SUM(I245:I247)</f>
        <v>94.115474351999993</v>
      </c>
      <c r="J248" s="181"/>
      <c r="K248" s="182">
        <f>SUM(K245:K247)</f>
        <v>94.792166828999996</v>
      </c>
      <c r="L248" s="183">
        <f>K248-I248</f>
        <v>0.67669247700000312</v>
      </c>
      <c r="M248" s="179"/>
      <c r="N248" s="180">
        <f>SUM(N245:N247)</f>
        <v>93.112883208</v>
      </c>
      <c r="O248" s="181"/>
      <c r="P248" s="182">
        <f>SUM(P245:P247)</f>
        <v>94.995566828999983</v>
      </c>
      <c r="Q248" s="183">
        <f>P248-N248</f>
        <v>1.882683620999984</v>
      </c>
      <c r="R248" s="179"/>
      <c r="S248" s="180">
        <f>SUM(S245:S247)</f>
        <v>96.007107686767029</v>
      </c>
      <c r="T248" s="181"/>
      <c r="U248" s="182">
        <f>SUM(U245:U247)</f>
        <v>97.538066828999987</v>
      </c>
      <c r="V248" s="183">
        <f>U248-S248</f>
        <v>1.5309591422329589</v>
      </c>
    </row>
    <row r="249" spans="1:22" ht="15.75" thickBot="1" x14ac:dyDescent="0.3">
      <c r="A249" s="184">
        <f>A248+1</f>
        <v>54</v>
      </c>
      <c r="B249" s="185" t="s">
        <v>118</v>
      </c>
      <c r="C249" s="186"/>
      <c r="D249" s="187"/>
      <c r="E249" s="188"/>
      <c r="F249" s="189"/>
      <c r="G249" s="190">
        <f>G248/D248</f>
        <v>-3.8679140467439196E-3</v>
      </c>
      <c r="H249" s="186"/>
      <c r="I249" s="187"/>
      <c r="J249" s="188"/>
      <c r="K249" s="189"/>
      <c r="L249" s="190">
        <f>L248/I248</f>
        <v>7.190023549890583E-3</v>
      </c>
      <c r="M249" s="186"/>
      <c r="N249" s="187"/>
      <c r="O249" s="188"/>
      <c r="P249" s="189"/>
      <c r="Q249" s="190">
        <f>Q248/N248</f>
        <v>2.0219367676483128E-2</v>
      </c>
      <c r="R249" s="186"/>
      <c r="S249" s="187"/>
      <c r="T249" s="188"/>
      <c r="U249" s="189"/>
      <c r="V249" s="190">
        <f>V248/S248</f>
        <v>1.5946310425555877E-2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120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103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103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103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103</v>
      </c>
    </row>
    <row r="252" spans="1:22" x14ac:dyDescent="0.25">
      <c r="A252" s="139">
        <f>A251+1</f>
        <v>56</v>
      </c>
      <c r="B252" s="85" t="s">
        <v>119</v>
      </c>
      <c r="C252" s="86"/>
      <c r="D252" s="42">
        <f>SUM(D207:D210)+D213+D222</f>
        <v>23.380000000000003</v>
      </c>
      <c r="E252" s="106"/>
      <c r="F252" s="7">
        <f>SUM(F207:F210)+F213+F222</f>
        <v>21.880000000000003</v>
      </c>
      <c r="G252" s="56">
        <f>F252-D252</f>
        <v>-1.5</v>
      </c>
      <c r="H252" s="86"/>
      <c r="I252" s="42">
        <f>SUM(I207:I210)+I213+I222</f>
        <v>23.73</v>
      </c>
      <c r="J252" s="106"/>
      <c r="K252" s="7">
        <f>SUM(K207:K210)+K213+K222</f>
        <v>21.880000000000003</v>
      </c>
      <c r="L252" s="56">
        <f>K252-I252</f>
        <v>-1.8499999999999979</v>
      </c>
      <c r="M252" s="86"/>
      <c r="N252" s="42">
        <f>SUM(N207:N210)+N213+N222</f>
        <v>20.99</v>
      </c>
      <c r="O252" s="106"/>
      <c r="P252" s="7">
        <f>SUM(P207:P210)+P213+P222</f>
        <v>21.880000000000003</v>
      </c>
      <c r="Q252" s="56">
        <f>P252-N252</f>
        <v>0.89000000000000412</v>
      </c>
      <c r="R252" s="86"/>
      <c r="S252" s="42">
        <f>SUM(S207:S210)+S213+S222</f>
        <v>19.59</v>
      </c>
      <c r="T252" s="106"/>
      <c r="U252" s="7">
        <f>SUM(U207:U210)+U213+U222</f>
        <v>21.880000000000003</v>
      </c>
      <c r="V252" s="56">
        <f>U252-S252</f>
        <v>2.2900000000000027</v>
      </c>
    </row>
    <row r="253" spans="1:22" x14ac:dyDescent="0.25">
      <c r="A253" s="164">
        <f t="shared" ref="A253:A255" si="71">A252+1</f>
        <v>57</v>
      </c>
      <c r="B253" s="165" t="s">
        <v>118</v>
      </c>
      <c r="C253" s="166"/>
      <c r="D253" s="167"/>
      <c r="E253" s="168"/>
      <c r="F253" s="93"/>
      <c r="G253" s="169">
        <f>G252/SUM(D252:D255)</f>
        <v>-5.4435008881616044E-2</v>
      </c>
      <c r="H253" s="166"/>
      <c r="I253" s="167"/>
      <c r="J253" s="168"/>
      <c r="K253" s="93"/>
      <c r="L253" s="169">
        <f>L252/SUM(I252:I255)</f>
        <v>-6.4741780383562431E-2</v>
      </c>
      <c r="M253" s="166"/>
      <c r="N253" s="167"/>
      <c r="O253" s="168"/>
      <c r="P253" s="93"/>
      <c r="Q253" s="169">
        <f>Q252/SUM(N252:N255)</f>
        <v>3.3133744097447015E-2</v>
      </c>
      <c r="R253" s="166"/>
      <c r="S253" s="167"/>
      <c r="T253" s="168"/>
      <c r="U253" s="93"/>
      <c r="V253" s="169">
        <f>V252/SUM(S252:S255)</f>
        <v>7.8311856278251352E-2</v>
      </c>
    </row>
    <row r="254" spans="1:22" x14ac:dyDescent="0.25">
      <c r="A254" s="139">
        <f t="shared" si="71"/>
        <v>58</v>
      </c>
      <c r="B254" s="85" t="s">
        <v>121</v>
      </c>
      <c r="C254" s="86"/>
      <c r="D254" s="42">
        <f>D211+SUM(D214:D221)+D212</f>
        <v>4.1757959999999983</v>
      </c>
      <c r="E254" s="106"/>
      <c r="F254" s="7">
        <f>F211+SUM(F214:F221)+F212</f>
        <v>5.2111169999999944</v>
      </c>
      <c r="G254" s="56">
        <f>F254-D254</f>
        <v>1.0353209999999962</v>
      </c>
      <c r="H254" s="86"/>
      <c r="I254" s="42">
        <f>I211+SUM(I214:I221)+I212</f>
        <v>4.8450559999999978</v>
      </c>
      <c r="J254" s="106"/>
      <c r="K254" s="7">
        <f>K211+SUM(K214:K221)+K212</f>
        <v>5.2111169999999944</v>
      </c>
      <c r="L254" s="56">
        <f>K254-I254</f>
        <v>0.36606099999999664</v>
      </c>
      <c r="M254" s="86"/>
      <c r="N254" s="42">
        <f>N211+SUM(N214:N221)+N212</f>
        <v>5.8708340000000021</v>
      </c>
      <c r="O254" s="106"/>
      <c r="P254" s="7">
        <f>P211+SUM(P214:P221)+P212</f>
        <v>5.4111169999999955</v>
      </c>
      <c r="Q254" s="56">
        <f>P254-N254</f>
        <v>-0.45971700000000659</v>
      </c>
      <c r="R254" s="86"/>
      <c r="S254" s="42">
        <f>S211+SUM(S214:S221)+S212</f>
        <v>9.6520600000000005</v>
      </c>
      <c r="T254" s="106"/>
      <c r="U254" s="7">
        <f>U211+SUM(U214:U221)+U212</f>
        <v>6.3611169999999948</v>
      </c>
      <c r="V254" s="56">
        <f>U254-S254</f>
        <v>-3.2909430000000057</v>
      </c>
    </row>
    <row r="255" spans="1:22" ht="15.75" thickBot="1" x14ac:dyDescent="0.3">
      <c r="A255" s="170">
        <f t="shared" si="71"/>
        <v>59</v>
      </c>
      <c r="B255" s="171" t="s">
        <v>118</v>
      </c>
      <c r="C255" s="172"/>
      <c r="D255" s="173"/>
      <c r="E255" s="174"/>
      <c r="F255" s="175"/>
      <c r="G255" s="176">
        <f>G254/SUM(D252:D255)</f>
        <v>3.7571805220215602E-2</v>
      </c>
      <c r="H255" s="172"/>
      <c r="I255" s="173"/>
      <c r="J255" s="174"/>
      <c r="K255" s="175"/>
      <c r="L255" s="176">
        <f>L254/SUM(I252:I255)</f>
        <v>1.2810508577830842E-2</v>
      </c>
      <c r="M255" s="172"/>
      <c r="N255" s="173"/>
      <c r="O255" s="174"/>
      <c r="P255" s="175"/>
      <c r="Q255" s="176">
        <f>Q254/SUM(N252:N255)</f>
        <v>-1.7114770151962021E-2</v>
      </c>
      <c r="R255" s="172"/>
      <c r="S255" s="173"/>
      <c r="T255" s="174"/>
      <c r="U255" s="175"/>
      <c r="V255" s="176">
        <f>V254/SUM(S252:S255)</f>
        <v>-0.11254142150040064</v>
      </c>
    </row>
    <row r="256" spans="1:22" ht="15.75" thickBot="1" x14ac:dyDescent="0.3"/>
    <row r="257" spans="1:22" x14ac:dyDescent="0.25">
      <c r="A257" s="331" t="s">
        <v>111</v>
      </c>
      <c r="B257" s="333" t="s">
        <v>0</v>
      </c>
      <c r="C257" s="329" t="s">
        <v>115</v>
      </c>
      <c r="D257" s="330"/>
      <c r="E257" s="327" t="s">
        <v>116</v>
      </c>
      <c r="F257" s="327"/>
      <c r="G257" s="328"/>
      <c r="H257" s="329" t="s">
        <v>117</v>
      </c>
      <c r="I257" s="330"/>
      <c r="J257" s="327" t="s">
        <v>116</v>
      </c>
      <c r="K257" s="327"/>
      <c r="L257" s="328"/>
      <c r="M257" s="329" t="s">
        <v>124</v>
      </c>
      <c r="N257" s="330"/>
      <c r="O257" s="327" t="s">
        <v>116</v>
      </c>
      <c r="P257" s="327"/>
      <c r="Q257" s="328"/>
      <c r="R257" s="329" t="s">
        <v>123</v>
      </c>
      <c r="S257" s="330"/>
      <c r="T257" s="327" t="s">
        <v>116</v>
      </c>
      <c r="U257" s="327"/>
      <c r="V257" s="328"/>
    </row>
    <row r="258" spans="1:22" x14ac:dyDescent="0.25">
      <c r="A258" s="332"/>
      <c r="B258" s="334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103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103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103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103</v>
      </c>
    </row>
    <row r="259" spans="1:22" x14ac:dyDescent="0.25">
      <c r="A259" s="139">
        <v>1</v>
      </c>
      <c r="B259" s="85" t="s">
        <v>91</v>
      </c>
      <c r="C259" s="86"/>
      <c r="D259" s="252">
        <v>1000</v>
      </c>
      <c r="E259" s="106"/>
      <c r="F259" s="1">
        <f>D259</f>
        <v>1000</v>
      </c>
      <c r="G259" s="85"/>
      <c r="H259" s="86"/>
      <c r="I259" s="40">
        <f>D259</f>
        <v>1000</v>
      </c>
      <c r="J259" s="106"/>
      <c r="K259" s="1">
        <f>I259</f>
        <v>1000</v>
      </c>
      <c r="L259" s="85"/>
      <c r="M259" s="86"/>
      <c r="N259" s="40">
        <f>D259</f>
        <v>1000</v>
      </c>
      <c r="O259" s="106"/>
      <c r="P259" s="1">
        <f>N259</f>
        <v>1000</v>
      </c>
      <c r="Q259" s="85"/>
      <c r="R259" s="86"/>
      <c r="S259" s="40">
        <f>D259</f>
        <v>1000</v>
      </c>
      <c r="T259" s="106"/>
      <c r="U259" s="1">
        <f>S259</f>
        <v>1000</v>
      </c>
      <c r="V259" s="85"/>
    </row>
    <row r="260" spans="1:22" x14ac:dyDescent="0.25">
      <c r="A260" s="139">
        <f>A259+1</f>
        <v>2</v>
      </c>
      <c r="B260" s="85" t="s">
        <v>92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93</v>
      </c>
      <c r="C262" s="86"/>
      <c r="D262" s="40">
        <f>D259*D261</f>
        <v>1042.8</v>
      </c>
      <c r="E262" s="106"/>
      <c r="F262" s="1">
        <f>F259*F261</f>
        <v>1043.0999999999999</v>
      </c>
      <c r="G262" s="85"/>
      <c r="H262" s="86"/>
      <c r="I262" s="40">
        <f>I259*I261</f>
        <v>1060.8</v>
      </c>
      <c r="J262" s="106"/>
      <c r="K262" s="1">
        <f>K259*K261</f>
        <v>1043.0999999999999</v>
      </c>
      <c r="L262" s="85"/>
      <c r="M262" s="86"/>
      <c r="N262" s="40">
        <f>N259*N261</f>
        <v>1066.2</v>
      </c>
      <c r="O262" s="106"/>
      <c r="P262" s="1">
        <f>P259*P261</f>
        <v>1043.0999999999999</v>
      </c>
      <c r="Q262" s="85"/>
      <c r="R262" s="86"/>
      <c r="S262" s="40">
        <f>S259*S261</f>
        <v>1058</v>
      </c>
      <c r="T262" s="106"/>
      <c r="U262" s="1">
        <f>U259*U261</f>
        <v>1043.0999999999999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51.2</v>
      </c>
      <c r="E264" s="108">
        <f>'General Input'!$B$11</f>
        <v>0.08</v>
      </c>
      <c r="F264" s="7">
        <f>F$259*E264*TOU_OFF</f>
        <v>51.2</v>
      </c>
      <c r="G264" s="85"/>
      <c r="H264" s="84">
        <f>'General Input'!$B$11</f>
        <v>0.08</v>
      </c>
      <c r="I264" s="42">
        <f>I$259*H264*TOU_OFF</f>
        <v>51.2</v>
      </c>
      <c r="J264" s="108">
        <f>'General Input'!$B$11</f>
        <v>0.08</v>
      </c>
      <c r="K264" s="7">
        <f>K$259*J264*TOU_OFF</f>
        <v>51.2</v>
      </c>
      <c r="L264" s="85"/>
      <c r="M264" s="84">
        <f>'General Input'!$B$11</f>
        <v>0.08</v>
      </c>
      <c r="N264" s="42">
        <f>N$259*M264*TOU_OFF</f>
        <v>51.2</v>
      </c>
      <c r="O264" s="108">
        <f>'General Input'!$B$11</f>
        <v>0.08</v>
      </c>
      <c r="P264" s="7">
        <f>P$259*O264*TOU_OFF</f>
        <v>51.2</v>
      </c>
      <c r="Q264" s="85"/>
      <c r="R264" s="84">
        <f>'General Input'!$B$11</f>
        <v>0.08</v>
      </c>
      <c r="S264" s="42">
        <f>S$259*R264*TOU_OFF</f>
        <v>51.2</v>
      </c>
      <c r="T264" s="108">
        <f>'General Input'!$B$11</f>
        <v>0.08</v>
      </c>
      <c r="U264" s="7">
        <f>U$259*T264*TOU_OFF</f>
        <v>51.2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21.96</v>
      </c>
      <c r="E265" s="108">
        <f>'General Input'!$B$12</f>
        <v>0.122</v>
      </c>
      <c r="F265" s="7">
        <f>F$259*E265*TOU_MID</f>
        <v>21.96</v>
      </c>
      <c r="G265" s="85"/>
      <c r="H265" s="84">
        <f>'General Input'!$B$12</f>
        <v>0.122</v>
      </c>
      <c r="I265" s="42">
        <f>I$259*H265*TOU_MID</f>
        <v>21.96</v>
      </c>
      <c r="J265" s="108">
        <f>'General Input'!$B$12</f>
        <v>0.122</v>
      </c>
      <c r="K265" s="7">
        <f>K$259*J265*TOU_MID</f>
        <v>21.96</v>
      </c>
      <c r="L265" s="85"/>
      <c r="M265" s="84">
        <f>'General Input'!$B$12</f>
        <v>0.122</v>
      </c>
      <c r="N265" s="42">
        <f>N$259*M265*TOU_MID</f>
        <v>21.96</v>
      </c>
      <c r="O265" s="108">
        <f>'General Input'!$B$12</f>
        <v>0.122</v>
      </c>
      <c r="P265" s="7">
        <f>P$259*O265*TOU_MID</f>
        <v>21.96</v>
      </c>
      <c r="Q265" s="85"/>
      <c r="R265" s="84">
        <f>'General Input'!$B$12</f>
        <v>0.122</v>
      </c>
      <c r="S265" s="42">
        <f>S$259*R265*TOU_MID</f>
        <v>21.96</v>
      </c>
      <c r="T265" s="108">
        <f>'General Input'!$B$12</f>
        <v>0.122</v>
      </c>
      <c r="U265" s="7">
        <f>U$259*T265*TOU_MID</f>
        <v>21.96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28.98</v>
      </c>
      <c r="E266" s="109">
        <f>'General Input'!$B$13</f>
        <v>0.161</v>
      </c>
      <c r="F266" s="70">
        <f>F$259*E266*TOU_ON</f>
        <v>28.98</v>
      </c>
      <c r="G266" s="125"/>
      <c r="H266" s="124">
        <f>'General Input'!$B$13</f>
        <v>0.161</v>
      </c>
      <c r="I266" s="69">
        <f>I$259*H266*TOU_ON</f>
        <v>28.98</v>
      </c>
      <c r="J266" s="109">
        <f>'General Input'!$B$13</f>
        <v>0.161</v>
      </c>
      <c r="K266" s="70">
        <f>K$259*J266*TOU_ON</f>
        <v>28.98</v>
      </c>
      <c r="L266" s="125"/>
      <c r="M266" s="124">
        <f>'General Input'!$B$13</f>
        <v>0.161</v>
      </c>
      <c r="N266" s="69">
        <f>N$259*M266*TOU_ON</f>
        <v>28.98</v>
      </c>
      <c r="O266" s="109">
        <f>'General Input'!$B$13</f>
        <v>0.161</v>
      </c>
      <c r="P266" s="70">
        <f>P$259*O266*TOU_ON</f>
        <v>28.98</v>
      </c>
      <c r="Q266" s="125"/>
      <c r="R266" s="124">
        <f>'General Input'!$B$13</f>
        <v>0.161</v>
      </c>
      <c r="S266" s="69">
        <f>S$259*R266*TOU_ON</f>
        <v>28.98</v>
      </c>
      <c r="T266" s="109">
        <f>'General Input'!$B$13</f>
        <v>0.161</v>
      </c>
      <c r="U266" s="70">
        <f>U$259*T266*TOU_ON</f>
        <v>28.98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102.14</v>
      </c>
      <c r="E267" s="110"/>
      <c r="F267" s="95">
        <f>SUM(F264:F266)</f>
        <v>102.14</v>
      </c>
      <c r="G267" s="127">
        <f>D267-F267</f>
        <v>0</v>
      </c>
      <c r="H267" s="126"/>
      <c r="I267" s="96">
        <f>SUM(I264:I266)</f>
        <v>102.14</v>
      </c>
      <c r="J267" s="110"/>
      <c r="K267" s="95">
        <f>SUM(K264:K266)</f>
        <v>102.14</v>
      </c>
      <c r="L267" s="127">
        <f>I267-K267</f>
        <v>0</v>
      </c>
      <c r="M267" s="126"/>
      <c r="N267" s="96">
        <f>SUM(N264:N266)</f>
        <v>102.14</v>
      </c>
      <c r="O267" s="110"/>
      <c r="P267" s="95">
        <f>SUM(P264:P266)</f>
        <v>102.14</v>
      </c>
      <c r="Q267" s="127">
        <f>N267-P267</f>
        <v>0</v>
      </c>
      <c r="R267" s="126"/>
      <c r="S267" s="96">
        <f>SUM(S264:S266)</f>
        <v>102.14</v>
      </c>
      <c r="T267" s="110"/>
      <c r="U267" s="95">
        <f>SUM(U264:U266)</f>
        <v>102.14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118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Approved'!$B$4</f>
        <v>18.98</v>
      </c>
      <c r="D270" s="42">
        <f>C270</f>
        <v>18.98</v>
      </c>
      <c r="E270" s="113">
        <f>'2016 Proposed'!$B$3</f>
        <v>18.98</v>
      </c>
      <c r="F270" s="7">
        <f>E270</f>
        <v>18.98</v>
      </c>
      <c r="G270" s="85"/>
      <c r="H270" s="55">
        <f>'2015 Approved'!$M$4</f>
        <v>14.43</v>
      </c>
      <c r="I270" s="42">
        <f>H270</f>
        <v>14.43</v>
      </c>
      <c r="J270" s="113">
        <f>'2016 Proposed'!$B$3</f>
        <v>18.98</v>
      </c>
      <c r="K270" s="7">
        <f>J270</f>
        <v>18.98</v>
      </c>
      <c r="L270" s="85"/>
      <c r="M270" s="55">
        <f>'2015 Approved'!$T$4</f>
        <v>13.44</v>
      </c>
      <c r="N270" s="42">
        <f>M270</f>
        <v>13.44</v>
      </c>
      <c r="O270" s="113">
        <f>'2016 Proposed'!$B$3</f>
        <v>18.98</v>
      </c>
      <c r="P270" s="7">
        <f>O270</f>
        <v>18.98</v>
      </c>
      <c r="Q270" s="85"/>
      <c r="R270" s="55">
        <f>'2015 Approved'!$X$4</f>
        <v>12.52</v>
      </c>
      <c r="S270" s="42">
        <f>R270</f>
        <v>12.52</v>
      </c>
      <c r="T270" s="113">
        <f>'2016 Proposed'!$B$3</f>
        <v>18.98</v>
      </c>
      <c r="U270" s="7">
        <f>T270</f>
        <v>18.98</v>
      </c>
      <c r="V270" s="85"/>
    </row>
    <row r="271" spans="1:22" x14ac:dyDescent="0.25">
      <c r="A271" s="139">
        <f t="shared" si="72"/>
        <v>13</v>
      </c>
      <c r="B271" s="85" t="s">
        <v>86</v>
      </c>
      <c r="C271" s="55">
        <f>'2015 Approved'!$B$5</f>
        <v>0</v>
      </c>
      <c r="D271" s="42">
        <f t="shared" ref="D271:D274" si="73">C271</f>
        <v>0</v>
      </c>
      <c r="E271" s="113">
        <f>'2016 Proposed'!$B$5</f>
        <v>0</v>
      </c>
      <c r="F271" s="7">
        <f t="shared" ref="F271:F274" si="74">E271</f>
        <v>0</v>
      </c>
      <c r="G271" s="85"/>
      <c r="H271" s="55">
        <f>'2015 Approved'!$M$5</f>
        <v>1.23</v>
      </c>
      <c r="I271" s="42">
        <f t="shared" ref="I271:I274" si="75">H271</f>
        <v>1.23</v>
      </c>
      <c r="J271" s="113">
        <f>'2016 Proposed'!$B$5</f>
        <v>0</v>
      </c>
      <c r="K271" s="7">
        <f t="shared" ref="K271:K274" si="76">J271</f>
        <v>0</v>
      </c>
      <c r="L271" s="85"/>
      <c r="M271" s="55">
        <f>'2015 Approved'!$T$5</f>
        <v>1.2</v>
      </c>
      <c r="N271" s="42">
        <f t="shared" ref="N271:N274" si="77">M271</f>
        <v>1.2</v>
      </c>
      <c r="O271" s="113">
        <f>'2016 Proposed'!$B$5</f>
        <v>0</v>
      </c>
      <c r="P271" s="7">
        <f t="shared" ref="P271:P274" si="78">O271</f>
        <v>0</v>
      </c>
      <c r="Q271" s="85"/>
      <c r="R271" s="55">
        <f>'2015 Approved'!$X$5</f>
        <v>0.77</v>
      </c>
      <c r="S271" s="42">
        <f t="shared" ref="S271:S274" si="79">R271</f>
        <v>0.77</v>
      </c>
      <c r="T271" s="113">
        <f>'2016 Proposed'!$B$5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86</v>
      </c>
      <c r="C272" s="55">
        <f>'2015 Approved'!$B$6</f>
        <v>0</v>
      </c>
      <c r="D272" s="42">
        <f t="shared" si="73"/>
        <v>0</v>
      </c>
      <c r="E272" s="113">
        <f>'2016 Proposed'!$B$6</f>
        <v>0</v>
      </c>
      <c r="F272" s="7">
        <f t="shared" si="74"/>
        <v>0</v>
      </c>
      <c r="G272" s="85"/>
      <c r="H272" s="55">
        <f>'2015 Approved'!$M$6</f>
        <v>0.77</v>
      </c>
      <c r="I272" s="42">
        <f t="shared" si="75"/>
        <v>0.77</v>
      </c>
      <c r="J272" s="113">
        <f>'2016 Proposed'!$B$6</f>
        <v>0</v>
      </c>
      <c r="K272" s="7">
        <f t="shared" si="76"/>
        <v>0</v>
      </c>
      <c r="L272" s="85"/>
      <c r="M272" s="55">
        <f>'2015 Approved'!$T$6</f>
        <v>0</v>
      </c>
      <c r="N272" s="42">
        <f t="shared" si="77"/>
        <v>0</v>
      </c>
      <c r="O272" s="113">
        <f>'2016 Proposed'!$B$6</f>
        <v>0</v>
      </c>
      <c r="P272" s="7">
        <f t="shared" si="78"/>
        <v>0</v>
      </c>
      <c r="Q272" s="85"/>
      <c r="R272" s="55">
        <f>'2015 Approved'!$X$6</f>
        <v>0</v>
      </c>
      <c r="S272" s="42">
        <f t="shared" si="79"/>
        <v>0</v>
      </c>
      <c r="T272" s="113">
        <f>'2016 Proposed'!$B$6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Approved'!$B$259</f>
        <v>0</v>
      </c>
      <c r="D273" s="42">
        <f t="shared" si="73"/>
        <v>0</v>
      </c>
      <c r="E273" s="113">
        <f>'2016 Proposed'!$B$259</f>
        <v>0</v>
      </c>
      <c r="F273" s="7">
        <f t="shared" si="74"/>
        <v>0</v>
      </c>
      <c r="G273" s="85"/>
      <c r="H273" s="55">
        <f>'2015 Approved'!$M$259</f>
        <v>0</v>
      </c>
      <c r="I273" s="42">
        <f t="shared" si="75"/>
        <v>0</v>
      </c>
      <c r="J273" s="113">
        <f>'2016 Proposed'!$B$259</f>
        <v>0</v>
      </c>
      <c r="K273" s="7">
        <f t="shared" si="76"/>
        <v>0</v>
      </c>
      <c r="L273" s="85"/>
      <c r="M273" s="55">
        <f>'2015 Approved'!$T$259</f>
        <v>0</v>
      </c>
      <c r="N273" s="42">
        <f t="shared" si="77"/>
        <v>0</v>
      </c>
      <c r="O273" s="113">
        <f>'2016 Proposed'!$B$259</f>
        <v>0</v>
      </c>
      <c r="P273" s="7">
        <f t="shared" si="78"/>
        <v>0</v>
      </c>
      <c r="Q273" s="85"/>
      <c r="R273" s="55">
        <f>'2015 Approved'!$X$259</f>
        <v>0</v>
      </c>
      <c r="S273" s="42">
        <f t="shared" si="79"/>
        <v>0</v>
      </c>
      <c r="T273" s="113">
        <f>'2016 Proposed'!$B$259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95</v>
      </c>
      <c r="C274" s="55">
        <f>'2015 Approved'!$B$8</f>
        <v>0.79</v>
      </c>
      <c r="D274" s="42">
        <f t="shared" si="73"/>
        <v>0.79</v>
      </c>
      <c r="E274" s="113">
        <f>'2016 Proposed'!$B$8</f>
        <v>0.79</v>
      </c>
      <c r="F274" s="7">
        <f t="shared" si="74"/>
        <v>0.79</v>
      </c>
      <c r="G274" s="85"/>
      <c r="H274" s="55">
        <f>'2015 Approved'!$M$8</f>
        <v>0.79</v>
      </c>
      <c r="I274" s="42">
        <f t="shared" si="75"/>
        <v>0.79</v>
      </c>
      <c r="J274" s="113">
        <f>'2016 Proposed'!$B$8</f>
        <v>0.79</v>
      </c>
      <c r="K274" s="7">
        <f t="shared" si="76"/>
        <v>0.79</v>
      </c>
      <c r="L274" s="85"/>
      <c r="M274" s="55">
        <f>'2015 Approved'!$T$8</f>
        <v>0.79</v>
      </c>
      <c r="N274" s="42">
        <f t="shared" si="77"/>
        <v>0.79</v>
      </c>
      <c r="O274" s="113">
        <f>'2016 Proposed'!$B$8</f>
        <v>0.79</v>
      </c>
      <c r="P274" s="7">
        <f t="shared" si="78"/>
        <v>0.79</v>
      </c>
      <c r="Q274" s="85"/>
      <c r="R274" s="55">
        <f>'2015 Approved'!$X$8</f>
        <v>0.79</v>
      </c>
      <c r="S274" s="42">
        <f t="shared" si="79"/>
        <v>0.79</v>
      </c>
      <c r="T274" s="113">
        <f>'2016 Proposed'!$B$8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0.10213999999999999</v>
      </c>
      <c r="D275" s="42">
        <f>(D262-D259)*C275</f>
        <v>4.3715919999999953</v>
      </c>
      <c r="E275" s="114">
        <f>F267/$F$259</f>
        <v>0.10213999999999999</v>
      </c>
      <c r="F275" s="7">
        <f>(F262-F259)*E275</f>
        <v>4.4022339999999902</v>
      </c>
      <c r="G275" s="85"/>
      <c r="H275" s="59">
        <f>I267/I259</f>
        <v>0.10213999999999999</v>
      </c>
      <c r="I275" s="42">
        <f>(I262-I259)*H275</f>
        <v>6.2101119999999952</v>
      </c>
      <c r="J275" s="114">
        <f>K267/$F$259</f>
        <v>0.10213999999999999</v>
      </c>
      <c r="K275" s="7">
        <f>(K262-K259)*J275</f>
        <v>4.4022339999999902</v>
      </c>
      <c r="L275" s="85"/>
      <c r="M275" s="59">
        <f>N267/N259</f>
        <v>0.10213999999999999</v>
      </c>
      <c r="N275" s="42">
        <f>(N262-N259)*M275</f>
        <v>6.7616680000000047</v>
      </c>
      <c r="O275" s="114">
        <f>P267/$F$259</f>
        <v>0.10213999999999999</v>
      </c>
      <c r="P275" s="7">
        <f>(P262-P259)*O275</f>
        <v>4.4022339999999902</v>
      </c>
      <c r="Q275" s="85"/>
      <c r="R275" s="59">
        <f>S267/S259</f>
        <v>0.10213999999999999</v>
      </c>
      <c r="S275" s="42">
        <f>(S262-S259)*R275</f>
        <v>5.9241199999999994</v>
      </c>
      <c r="T275" s="114">
        <f>U267/$F$259</f>
        <v>0.10213999999999999</v>
      </c>
      <c r="U275" s="7">
        <f>(U262-U259)*T275</f>
        <v>4.4022339999999902</v>
      </c>
      <c r="V275" s="85"/>
    </row>
    <row r="276" spans="1:22" x14ac:dyDescent="0.25">
      <c r="A276" s="139">
        <f t="shared" si="72"/>
        <v>18</v>
      </c>
      <c r="B276" s="85" t="s">
        <v>90</v>
      </c>
      <c r="C276" s="59">
        <f>'2015 Approved'!$B$11</f>
        <v>8.8000000000000005E-3</v>
      </c>
      <c r="D276" s="42">
        <f t="shared" ref="D276:D285" si="81">C276*D$259</f>
        <v>8.8000000000000007</v>
      </c>
      <c r="E276" s="114">
        <f>'2016 Proposed'!$B$11</f>
        <v>8.6E-3</v>
      </c>
      <c r="F276" s="7">
        <f t="shared" ref="F276:F283" si="82">E276*F$259</f>
        <v>8.6</v>
      </c>
      <c r="G276" s="85"/>
      <c r="H276" s="59">
        <f>'2015 Approved'!$M$11</f>
        <v>1.46E-2</v>
      </c>
      <c r="I276" s="42">
        <f t="shared" ref="I276:I285" si="83">H276*I$259</f>
        <v>14.6</v>
      </c>
      <c r="J276" s="114">
        <f>'2016 Proposed'!$B$11</f>
        <v>8.6E-3</v>
      </c>
      <c r="K276" s="7">
        <f t="shared" ref="K276:K283" si="84">J276*K$259</f>
        <v>8.6</v>
      </c>
      <c r="L276" s="85"/>
      <c r="M276" s="59">
        <f>'2015 Approved'!$T$11</f>
        <v>1.2699999999999999E-2</v>
      </c>
      <c r="N276" s="42">
        <f t="shared" ref="N276:N285" si="85">M276*N$259</f>
        <v>12.7</v>
      </c>
      <c r="O276" s="114">
        <f>'2016 Proposed'!$B$11</f>
        <v>8.6E-3</v>
      </c>
      <c r="P276" s="7">
        <f t="shared" ref="P276:P283" si="86">O276*P$259</f>
        <v>8.6</v>
      </c>
      <c r="Q276" s="85"/>
      <c r="R276" s="59">
        <f>'2015 Approved'!$X$11</f>
        <v>1.26E-2</v>
      </c>
      <c r="S276" s="42">
        <f t="shared" ref="S276:S285" si="87">R276*S$259</f>
        <v>12.6</v>
      </c>
      <c r="T276" s="114">
        <f>'2016 Proposed'!$B$11</f>
        <v>8.6E-3</v>
      </c>
      <c r="U276" s="7">
        <f t="shared" ref="U276:U283" si="88">T276*U$259</f>
        <v>8.6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Approved'!$B$12</f>
        <v>2.9999999999999997E-4</v>
      </c>
      <c r="D277" s="42">
        <f t="shared" si="81"/>
        <v>0.3</v>
      </c>
      <c r="E277" s="114">
        <f>'2016 Proposed'!$B$13</f>
        <v>1.8E-3</v>
      </c>
      <c r="F277" s="7">
        <f t="shared" si="82"/>
        <v>1.8</v>
      </c>
      <c r="G277" s="85"/>
      <c r="H277" s="59">
        <f>'2015 Approved'!$M$12</f>
        <v>2.9999999999999997E-4</v>
      </c>
      <c r="I277" s="42">
        <f t="shared" si="83"/>
        <v>0.3</v>
      </c>
      <c r="J277" s="114">
        <f>'2016 Proposed'!$B$13</f>
        <v>1.8E-3</v>
      </c>
      <c r="K277" s="7">
        <f t="shared" si="84"/>
        <v>1.8</v>
      </c>
      <c r="L277" s="85"/>
      <c r="M277" s="59">
        <f>'2015 Approved'!$T$12</f>
        <v>1.4E-3</v>
      </c>
      <c r="N277" s="42">
        <f t="shared" si="85"/>
        <v>1.4</v>
      </c>
      <c r="O277" s="114">
        <f>'2016 Proposed'!$B$13</f>
        <v>1.8E-3</v>
      </c>
      <c r="P277" s="7">
        <f t="shared" si="86"/>
        <v>1.8</v>
      </c>
      <c r="Q277" s="85"/>
      <c r="R277" s="59">
        <f>'2015 Approved'!$X$12</f>
        <v>4.3E-3</v>
      </c>
      <c r="S277" s="42">
        <f t="shared" si="87"/>
        <v>4.3</v>
      </c>
      <c r="T277" s="114">
        <f>'2016 Proposed'!$B$13</f>
        <v>1.8E-3</v>
      </c>
      <c r="U277" s="7">
        <f t="shared" si="88"/>
        <v>1.8</v>
      </c>
      <c r="V277" s="85"/>
    </row>
    <row r="278" spans="1:22" x14ac:dyDescent="0.25">
      <c r="A278" s="139">
        <f t="shared" si="72"/>
        <v>20</v>
      </c>
      <c r="B278" s="85" t="s">
        <v>87</v>
      </c>
      <c r="C278" s="59">
        <f>'2015 Approved'!$B$13</f>
        <v>0</v>
      </c>
      <c r="D278" s="42">
        <f t="shared" si="81"/>
        <v>0</v>
      </c>
      <c r="E278" s="114">
        <f>'2016 Proposed'!$B$14</f>
        <v>0</v>
      </c>
      <c r="F278" s="7">
        <f t="shared" si="82"/>
        <v>0</v>
      </c>
      <c r="G278" s="85"/>
      <c r="H278" s="59">
        <f>'2015 Approved'!$M$13</f>
        <v>2.0000000000000001E-4</v>
      </c>
      <c r="I278" s="42">
        <f t="shared" si="83"/>
        <v>0.2</v>
      </c>
      <c r="J278" s="114">
        <f>'2016 Proposed'!$B$14</f>
        <v>0</v>
      </c>
      <c r="K278" s="7">
        <f t="shared" si="84"/>
        <v>0</v>
      </c>
      <c r="L278" s="85"/>
      <c r="M278" s="59">
        <f>'2015 Approved'!$T$13</f>
        <v>0</v>
      </c>
      <c r="N278" s="42">
        <f t="shared" si="85"/>
        <v>0</v>
      </c>
      <c r="O278" s="114">
        <f>'2016 Proposed'!$B$14</f>
        <v>0</v>
      </c>
      <c r="P278" s="7">
        <f t="shared" si="86"/>
        <v>0</v>
      </c>
      <c r="Q278" s="85"/>
      <c r="R278" s="59">
        <f>'2015 Approved'!$X$13</f>
        <v>0</v>
      </c>
      <c r="S278" s="42">
        <f t="shared" si="87"/>
        <v>0</v>
      </c>
      <c r="T278" s="114">
        <f>'2016 Proposed'!$B$14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Approved'!$B$14</f>
        <v>1E-4</v>
      </c>
      <c r="D279" s="42">
        <f t="shared" si="81"/>
        <v>0.1</v>
      </c>
      <c r="E279" s="114">
        <f>'2016 Proposed'!$B$15</f>
        <v>2.0000000000000001E-4</v>
      </c>
      <c r="F279" s="7">
        <f t="shared" si="82"/>
        <v>0.2</v>
      </c>
      <c r="G279" s="85"/>
      <c r="H279" s="59">
        <f>'2015 Approved'!$M$14</f>
        <v>2.0000000000000001E-4</v>
      </c>
      <c r="I279" s="42">
        <f t="shared" si="83"/>
        <v>0.2</v>
      </c>
      <c r="J279" s="114">
        <f>'2016 Proposed'!$B$15</f>
        <v>2.0000000000000001E-4</v>
      </c>
      <c r="K279" s="7">
        <f t="shared" si="84"/>
        <v>0.2</v>
      </c>
      <c r="L279" s="85"/>
      <c r="M279" s="59">
        <f>'2015 Approved'!$T$14</f>
        <v>0</v>
      </c>
      <c r="N279" s="42">
        <f t="shared" si="85"/>
        <v>0</v>
      </c>
      <c r="O279" s="114">
        <f>'2016 Proposed'!$B$15</f>
        <v>2.0000000000000001E-4</v>
      </c>
      <c r="P279" s="7">
        <f t="shared" si="86"/>
        <v>0.2</v>
      </c>
      <c r="Q279" s="85"/>
      <c r="R279" s="59">
        <f>'2015 Approved'!$X$14</f>
        <v>0</v>
      </c>
      <c r="S279" s="42">
        <f t="shared" si="87"/>
        <v>0</v>
      </c>
      <c r="T279" s="114">
        <f>'2016 Proposed'!$B$15</f>
        <v>2.0000000000000001E-4</v>
      </c>
      <c r="U279" s="7">
        <f t="shared" si="88"/>
        <v>0.2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Approved'!$B$15</f>
        <v>-2.0000000000000001E-4</v>
      </c>
      <c r="D280" s="42">
        <f t="shared" si="81"/>
        <v>-0.2</v>
      </c>
      <c r="E280" s="114">
        <f>'2016 Proposed'!$B$16</f>
        <v>0</v>
      </c>
      <c r="F280" s="7">
        <f t="shared" si="82"/>
        <v>0</v>
      </c>
      <c r="G280" s="85"/>
      <c r="H280" s="59">
        <f>'2015 Approved'!$M$15</f>
        <v>-2.0000000000000001E-4</v>
      </c>
      <c r="I280" s="42">
        <f t="shared" si="83"/>
        <v>-0.2</v>
      </c>
      <c r="J280" s="114">
        <f>'2016 Proposed'!$B$16</f>
        <v>0</v>
      </c>
      <c r="K280" s="7">
        <f t="shared" si="84"/>
        <v>0</v>
      </c>
      <c r="L280" s="85"/>
      <c r="M280" s="59">
        <f>'2015 Approved'!$T$15</f>
        <v>0</v>
      </c>
      <c r="N280" s="42">
        <f t="shared" si="85"/>
        <v>0</v>
      </c>
      <c r="O280" s="114">
        <f>'2016 Proposed'!$B$16</f>
        <v>0</v>
      </c>
      <c r="P280" s="7">
        <f t="shared" si="86"/>
        <v>0</v>
      </c>
      <c r="Q280" s="85"/>
      <c r="R280" s="59">
        <f>'2015 Approved'!$X$15</f>
        <v>0</v>
      </c>
      <c r="S280" s="42">
        <f t="shared" si="87"/>
        <v>0</v>
      </c>
      <c r="T280" s="114">
        <f>'2016 Proposed'!$B$16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101</v>
      </c>
      <c r="C281" s="59">
        <f>'2015 Approved'!$B$16</f>
        <v>0</v>
      </c>
      <c r="D281" s="42">
        <f t="shared" si="81"/>
        <v>0</v>
      </c>
      <c r="E281" s="114">
        <f>'2016 Proposed'!$B$17</f>
        <v>0</v>
      </c>
      <c r="F281" s="7">
        <f t="shared" si="82"/>
        <v>0</v>
      </c>
      <c r="G281" s="85"/>
      <c r="H281" s="59">
        <f>'2015 Approved'!$M$16</f>
        <v>0</v>
      </c>
      <c r="I281" s="42">
        <f t="shared" si="83"/>
        <v>0</v>
      </c>
      <c r="J281" s="114">
        <f>'2016 Proposed'!$B$17</f>
        <v>0</v>
      </c>
      <c r="K281" s="7">
        <f t="shared" si="84"/>
        <v>0</v>
      </c>
      <c r="L281" s="85"/>
      <c r="M281" s="59">
        <f>'2015 Approved'!$T$16</f>
        <v>4.0000000000000002E-4</v>
      </c>
      <c r="N281" s="42">
        <f t="shared" si="85"/>
        <v>0.4</v>
      </c>
      <c r="O281" s="114">
        <f>M281</f>
        <v>4.0000000000000002E-4</v>
      </c>
      <c r="P281" s="7">
        <f t="shared" si="86"/>
        <v>0.4</v>
      </c>
      <c r="Q281" s="85"/>
      <c r="R281" s="59">
        <f>'2015 Approved'!$X$16</f>
        <v>2.3E-3</v>
      </c>
      <c r="S281" s="42">
        <f t="shared" si="87"/>
        <v>2.2999999999999998</v>
      </c>
      <c r="T281" s="114">
        <f>R281</f>
        <v>2.3E-3</v>
      </c>
      <c r="U281" s="7">
        <f t="shared" si="88"/>
        <v>2.2999999999999998</v>
      </c>
      <c r="V281" s="85"/>
    </row>
    <row r="282" spans="1:22" x14ac:dyDescent="0.25">
      <c r="A282" s="139">
        <f t="shared" si="72"/>
        <v>24</v>
      </c>
      <c r="B282" s="85" t="s">
        <v>112</v>
      </c>
      <c r="C282" s="59">
        <f>'2015 Approved'!$B$17</f>
        <v>2.2000000000000001E-3</v>
      </c>
      <c r="D282" s="42">
        <f t="shared" si="81"/>
        <v>2.2000000000000002</v>
      </c>
      <c r="E282" s="114">
        <f>'2016 Proposed'!$B$18</f>
        <v>0</v>
      </c>
      <c r="F282" s="7">
        <f t="shared" si="82"/>
        <v>0</v>
      </c>
      <c r="G282" s="85"/>
      <c r="H282" s="59">
        <f>'2015 Approved'!$M$17</f>
        <v>1.4E-3</v>
      </c>
      <c r="I282" s="42">
        <f t="shared" si="83"/>
        <v>1.4</v>
      </c>
      <c r="J282" s="114">
        <f>'2016 Proposed'!$B$18</f>
        <v>0</v>
      </c>
      <c r="K282" s="7">
        <f t="shared" si="84"/>
        <v>0</v>
      </c>
      <c r="L282" s="85"/>
      <c r="M282" s="59">
        <f>'2015 Approved'!$T$17</f>
        <v>1.6000000000000001E-3</v>
      </c>
      <c r="N282" s="42">
        <f t="shared" si="85"/>
        <v>1.6</v>
      </c>
      <c r="O282" s="114">
        <f>'2016 Proposed'!$B$18</f>
        <v>0</v>
      </c>
      <c r="P282" s="7">
        <f t="shared" si="86"/>
        <v>0</v>
      </c>
      <c r="Q282" s="85"/>
      <c r="R282" s="59">
        <f>'2015 Approved'!$X$17</f>
        <v>5.1999999999999998E-3</v>
      </c>
      <c r="S282" s="42">
        <f t="shared" si="87"/>
        <v>5.2</v>
      </c>
      <c r="T282" s="114">
        <f>'2016 Proposed'!$B$18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102</v>
      </c>
      <c r="C283" s="59">
        <f>'2015 Approved'!$B$18</f>
        <v>0</v>
      </c>
      <c r="D283" s="42">
        <f t="shared" si="81"/>
        <v>0</v>
      </c>
      <c r="E283" s="114">
        <f>'2016 Proposed'!$B$19</f>
        <v>1.5E-3</v>
      </c>
      <c r="F283" s="7">
        <f t="shared" si="82"/>
        <v>1.5</v>
      </c>
      <c r="G283" s="85"/>
      <c r="H283" s="59">
        <f>'2015 Approved'!$M$18</f>
        <v>0</v>
      </c>
      <c r="I283" s="42">
        <f t="shared" si="83"/>
        <v>0</v>
      </c>
      <c r="J283" s="114">
        <f>'2016 Proposed'!$B$19</f>
        <v>1.5E-3</v>
      </c>
      <c r="K283" s="7">
        <f t="shared" si="84"/>
        <v>1.5</v>
      </c>
      <c r="L283" s="85"/>
      <c r="M283" s="59">
        <f>'2015 Approved'!$T$18</f>
        <v>0</v>
      </c>
      <c r="N283" s="42">
        <f t="shared" si="85"/>
        <v>0</v>
      </c>
      <c r="O283" s="114">
        <f>'2016 Proposed'!$B$19</f>
        <v>1.5E-3</v>
      </c>
      <c r="P283" s="7">
        <f t="shared" si="86"/>
        <v>1.5</v>
      </c>
      <c r="Q283" s="85"/>
      <c r="R283" s="59">
        <f>'2015 Approved'!$X$18</f>
        <v>0</v>
      </c>
      <c r="S283" s="42">
        <f t="shared" si="87"/>
        <v>0</v>
      </c>
      <c r="T283" s="114">
        <f>'2016 Proposed'!$B$19</f>
        <v>1.5E-3</v>
      </c>
      <c r="U283" s="7">
        <f t="shared" si="88"/>
        <v>1.5</v>
      </c>
      <c r="V283" s="85"/>
    </row>
    <row r="284" spans="1:22" x14ac:dyDescent="0.25">
      <c r="A284" s="139">
        <f t="shared" si="72"/>
        <v>26</v>
      </c>
      <c r="B284" s="85" t="s">
        <v>94</v>
      </c>
      <c r="C284" s="59">
        <f>'2015 Approved'!$B$19</f>
        <v>0</v>
      </c>
      <c r="D284" s="42">
        <f t="shared" si="81"/>
        <v>0</v>
      </c>
      <c r="E284" s="114">
        <f>'2016 Proposed'!$B$20</f>
        <v>0.47</v>
      </c>
      <c r="F284" s="7">
        <f>E284</f>
        <v>0.47</v>
      </c>
      <c r="G284" s="85"/>
      <c r="H284" s="59">
        <f>'2015 Approved'!$M$19</f>
        <v>0</v>
      </c>
      <c r="I284" s="42">
        <f t="shared" si="83"/>
        <v>0</v>
      </c>
      <c r="J284" s="114">
        <f>'2016 Proposed'!$B$20</f>
        <v>0.47</v>
      </c>
      <c r="K284" s="7">
        <f>J284</f>
        <v>0.47</v>
      </c>
      <c r="L284" s="85"/>
      <c r="M284" s="59">
        <f>'2015 Approved'!$T$19</f>
        <v>0</v>
      </c>
      <c r="N284" s="42">
        <f t="shared" si="85"/>
        <v>0</v>
      </c>
      <c r="O284" s="114">
        <f>'2016 Proposed'!$B$20</f>
        <v>0.47</v>
      </c>
      <c r="P284" s="7">
        <f>O284</f>
        <v>0.47</v>
      </c>
      <c r="Q284" s="85"/>
      <c r="R284" s="59">
        <f>'2015 Approved'!$X$19</f>
        <v>0</v>
      </c>
      <c r="S284" s="42">
        <f t="shared" si="87"/>
        <v>0</v>
      </c>
      <c r="T284" s="114">
        <f>'2016 Proposed'!$B$20</f>
        <v>0.47</v>
      </c>
      <c r="U284" s="7">
        <f>T284</f>
        <v>0.47</v>
      </c>
      <c r="V284" s="85"/>
    </row>
    <row r="285" spans="1:22" x14ac:dyDescent="0.25">
      <c r="A285" s="139">
        <f t="shared" si="72"/>
        <v>27</v>
      </c>
      <c r="B285" s="85" t="s">
        <v>104</v>
      </c>
      <c r="C285" s="59">
        <f>'2015 Approved'!$B$20</f>
        <v>0</v>
      </c>
      <c r="D285" s="42">
        <f t="shared" si="81"/>
        <v>0</v>
      </c>
      <c r="E285" s="114">
        <f>'2016 Proposed'!$B$21</f>
        <v>-1.4</v>
      </c>
      <c r="F285" s="7">
        <f>E285</f>
        <v>-1.4</v>
      </c>
      <c r="G285" s="85"/>
      <c r="H285" s="59">
        <f>'2015 Approved'!$M$20</f>
        <v>0</v>
      </c>
      <c r="I285" s="42">
        <f t="shared" si="83"/>
        <v>0</v>
      </c>
      <c r="J285" s="114">
        <f>'2016 Proposed'!$B$21</f>
        <v>-1.4</v>
      </c>
      <c r="K285" s="7">
        <f>J285</f>
        <v>-1.4</v>
      </c>
      <c r="L285" s="85"/>
      <c r="M285" s="59">
        <f>'2015 Approved'!$T$20</f>
        <v>0</v>
      </c>
      <c r="N285" s="42">
        <f t="shared" si="85"/>
        <v>0</v>
      </c>
      <c r="O285" s="114">
        <f>'2016 Proposed'!$B$21</f>
        <v>-1.4</v>
      </c>
      <c r="P285" s="7">
        <f>O285</f>
        <v>-1.4</v>
      </c>
      <c r="Q285" s="85"/>
      <c r="R285" s="59">
        <f>'2015 Approved'!$X$20</f>
        <v>0</v>
      </c>
      <c r="S285" s="42">
        <f t="shared" si="87"/>
        <v>0</v>
      </c>
      <c r="T285" s="114">
        <f>'2016 Proposed'!$B$21</f>
        <v>-1.4</v>
      </c>
      <c r="U285" s="7">
        <f>T285</f>
        <v>-1.4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35.341591999999999</v>
      </c>
      <c r="E286" s="110"/>
      <c r="F286" s="95">
        <f>SUM(F270:F285)</f>
        <v>35.342233999999991</v>
      </c>
      <c r="G286" s="127">
        <f>F286-D286</f>
        <v>6.4199999999203783E-4</v>
      </c>
      <c r="H286" s="126"/>
      <c r="I286" s="96">
        <f>SUM(I270:I285)</f>
        <v>39.930111999999994</v>
      </c>
      <c r="J286" s="110"/>
      <c r="K286" s="95">
        <f>SUM(K270:K285)</f>
        <v>35.342233999999991</v>
      </c>
      <c r="L286" s="127">
        <f>K286-I286</f>
        <v>-4.5878780000000035</v>
      </c>
      <c r="M286" s="126"/>
      <c r="N286" s="96">
        <f>SUM(N270:N285)</f>
        <v>38.291668000000001</v>
      </c>
      <c r="O286" s="110"/>
      <c r="P286" s="95">
        <f>SUM(P270:P285)</f>
        <v>35.742233999999989</v>
      </c>
      <c r="Q286" s="127">
        <f>P286-N286</f>
        <v>-2.5494340000000122</v>
      </c>
      <c r="R286" s="126"/>
      <c r="S286" s="96">
        <f>SUM(S270:S285)</f>
        <v>44.404119999999992</v>
      </c>
      <c r="T286" s="110"/>
      <c r="U286" s="95">
        <f>SUM(U270:U285)</f>
        <v>37.642233999999988</v>
      </c>
      <c r="V286" s="127">
        <f>U286-S286</f>
        <v>-6.7618860000000041</v>
      </c>
    </row>
    <row r="287" spans="1:22" x14ac:dyDescent="0.25">
      <c r="A287" s="144">
        <f t="shared" si="72"/>
        <v>29</v>
      </c>
      <c r="B287" s="145" t="s">
        <v>118</v>
      </c>
      <c r="C287" s="128"/>
      <c r="D287" s="120"/>
      <c r="E287" s="111"/>
      <c r="F287" s="97"/>
      <c r="G287" s="129">
        <f>G286/D286</f>
        <v>1.8165565376682462E-5</v>
      </c>
      <c r="H287" s="128"/>
      <c r="I287" s="120"/>
      <c r="J287" s="111"/>
      <c r="K287" s="97"/>
      <c r="L287" s="129">
        <f>L286/I286</f>
        <v>-0.11489769926014744</v>
      </c>
      <c r="M287" s="128"/>
      <c r="N287" s="120"/>
      <c r="O287" s="111"/>
      <c r="P287" s="97"/>
      <c r="Q287" s="129">
        <f>Q286/N286</f>
        <v>-6.6579340445551027E-2</v>
      </c>
      <c r="R287" s="128"/>
      <c r="S287" s="120"/>
      <c r="T287" s="111"/>
      <c r="U287" s="97"/>
      <c r="V287" s="129">
        <f>V286/S286</f>
        <v>-0.15228059918764306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68</v>
      </c>
      <c r="C289" s="59">
        <f>'2015 Approved'!$B$26</f>
        <v>7.4000000000000003E-3</v>
      </c>
      <c r="D289" s="42">
        <f>C289*D$262</f>
        <v>7.7167199999999996</v>
      </c>
      <c r="E289" s="114">
        <f>'2016 Proposed'!$B$28</f>
        <v>7.3000000000000001E-3</v>
      </c>
      <c r="F289" s="7">
        <f>E289*F$262</f>
        <v>7.6146299999999991</v>
      </c>
      <c r="G289" s="85"/>
      <c r="H289" s="59">
        <f>'2015 Approved'!$M$26</f>
        <v>7.1999999999999998E-3</v>
      </c>
      <c r="I289" s="42">
        <f>H289*I$262</f>
        <v>7.6377599999999992</v>
      </c>
      <c r="J289" s="114">
        <f>'2016 Proposed'!$B$28</f>
        <v>7.3000000000000001E-3</v>
      </c>
      <c r="K289" s="7">
        <f>J289*K$262</f>
        <v>7.6146299999999991</v>
      </c>
      <c r="L289" s="85"/>
      <c r="M289" s="59">
        <f>'2015 Approved'!$T$26</f>
        <v>7.6E-3</v>
      </c>
      <c r="N289" s="42">
        <f>M289*N$262</f>
        <v>8.1031200000000005</v>
      </c>
      <c r="O289" s="114">
        <f>'2016 Proposed'!$B$28</f>
        <v>7.3000000000000001E-3</v>
      </c>
      <c r="P289" s="7">
        <f>O289*P$262</f>
        <v>7.6146299999999991</v>
      </c>
      <c r="Q289" s="85"/>
      <c r="R289" s="59">
        <f>'2015 Approved'!$X$26</f>
        <v>7.4450068112693092E-3</v>
      </c>
      <c r="S289" s="42">
        <f>R289*S$262</f>
        <v>7.8768172063229294</v>
      </c>
      <c r="T289" s="114">
        <f>'2016 Proposed'!$B$28</f>
        <v>7.3000000000000001E-3</v>
      </c>
      <c r="U289" s="7">
        <f>T289*U$262</f>
        <v>7.6146299999999991</v>
      </c>
      <c r="V289" s="85"/>
    </row>
    <row r="290" spans="1:22" x14ac:dyDescent="0.25">
      <c r="A290" s="139">
        <f t="shared" si="72"/>
        <v>32</v>
      </c>
      <c r="B290" s="85" t="s">
        <v>69</v>
      </c>
      <c r="C290" s="59">
        <f>'2015 Approved'!$B$27</f>
        <v>5.3E-3</v>
      </c>
      <c r="D290" s="42">
        <f>C290*D$262</f>
        <v>5.52684</v>
      </c>
      <c r="E290" s="114">
        <f>'2016 Proposed'!$B$29</f>
        <v>5.4000000000000003E-3</v>
      </c>
      <c r="F290" s="7">
        <f>E290*F$262</f>
        <v>5.6327400000000001</v>
      </c>
      <c r="G290" s="85"/>
      <c r="H290" s="59">
        <f>'2015 Approved'!$M$27</f>
        <v>5.1000000000000004E-3</v>
      </c>
      <c r="I290" s="42">
        <f>H290*I$262</f>
        <v>5.4100799999999998</v>
      </c>
      <c r="J290" s="114">
        <f>'2016 Proposed'!$B$29</f>
        <v>5.4000000000000003E-3</v>
      </c>
      <c r="K290" s="7">
        <f>J290*K$262</f>
        <v>5.6327400000000001</v>
      </c>
      <c r="L290" s="85"/>
      <c r="M290" s="59">
        <f>'2015 Approved'!$T$27</f>
        <v>5.5999999999999999E-3</v>
      </c>
      <c r="N290" s="42">
        <f>M290*N$262</f>
        <v>5.97072</v>
      </c>
      <c r="O290" s="114">
        <f>'2016 Proposed'!$B$29</f>
        <v>5.4000000000000003E-3</v>
      </c>
      <c r="P290" s="7">
        <f>O290*P$262</f>
        <v>5.6327400000000001</v>
      </c>
      <c r="Q290" s="85"/>
      <c r="R290" s="59">
        <f>'2015 Approved'!$X$27</f>
        <v>3.7551994493456586E-3</v>
      </c>
      <c r="S290" s="42">
        <f>R290*S$262</f>
        <v>3.9730010174077068</v>
      </c>
      <c r="T290" s="114">
        <f>'2016 Proposed'!$B$29</f>
        <v>5.4000000000000003E-3</v>
      </c>
      <c r="U290" s="7">
        <f>T290*U$262</f>
        <v>5.6327400000000001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13.243559999999999</v>
      </c>
      <c r="E291" s="110"/>
      <c r="F291" s="95">
        <f>SUM(F289:F290)</f>
        <v>13.24737</v>
      </c>
      <c r="G291" s="127">
        <f>F291-D291</f>
        <v>3.8100000000014234E-3</v>
      </c>
      <c r="H291" s="126"/>
      <c r="I291" s="96">
        <f>SUM(I289:I290)</f>
        <v>13.047839999999999</v>
      </c>
      <c r="J291" s="110"/>
      <c r="K291" s="95">
        <f>SUM(K289:K290)</f>
        <v>13.24737</v>
      </c>
      <c r="L291" s="127">
        <f>K291-I291</f>
        <v>0.1995300000000011</v>
      </c>
      <c r="M291" s="126"/>
      <c r="N291" s="96">
        <f>SUM(N289:N290)</f>
        <v>14.073840000000001</v>
      </c>
      <c r="O291" s="110"/>
      <c r="P291" s="95">
        <f>SUM(P289:P290)</f>
        <v>13.24737</v>
      </c>
      <c r="Q291" s="127">
        <f>P291-N291</f>
        <v>-0.82647000000000048</v>
      </c>
      <c r="R291" s="126"/>
      <c r="S291" s="96">
        <f>SUM(S289:S290)</f>
        <v>11.849818223730637</v>
      </c>
      <c r="T291" s="110"/>
      <c r="U291" s="95">
        <f>SUM(U289:U290)</f>
        <v>13.24737</v>
      </c>
      <c r="V291" s="127">
        <f>U291-S291</f>
        <v>1.3975517762693634</v>
      </c>
    </row>
    <row r="292" spans="1:22" x14ac:dyDescent="0.25">
      <c r="A292" s="144">
        <f t="shared" si="72"/>
        <v>34</v>
      </c>
      <c r="B292" s="145" t="s">
        <v>118</v>
      </c>
      <c r="C292" s="128"/>
      <c r="D292" s="120"/>
      <c r="E292" s="111"/>
      <c r="F292" s="97"/>
      <c r="G292" s="129">
        <f>G291/D291</f>
        <v>2.8768699654786354E-4</v>
      </c>
      <c r="H292" s="128"/>
      <c r="I292" s="120"/>
      <c r="J292" s="111"/>
      <c r="K292" s="97"/>
      <c r="L292" s="129">
        <f>L291/I291</f>
        <v>1.5292186292903739E-2</v>
      </c>
      <c r="M292" s="128"/>
      <c r="N292" s="120"/>
      <c r="O292" s="111"/>
      <c r="P292" s="97"/>
      <c r="Q292" s="129">
        <f>Q291/N291</f>
        <v>-5.8723845091318394E-2</v>
      </c>
      <c r="R292" s="128"/>
      <c r="S292" s="120"/>
      <c r="T292" s="111"/>
      <c r="U292" s="97"/>
      <c r="V292" s="129">
        <f>V291/S291</f>
        <v>0.11793866790889701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66</v>
      </c>
      <c r="C294" s="59">
        <f>WMSR+RRRP</f>
        <v>5.7000000000000002E-3</v>
      </c>
      <c r="D294" s="42">
        <f>C294*D262</f>
        <v>5.9439599999999997</v>
      </c>
      <c r="E294" s="114">
        <f>WMSR+RRRP</f>
        <v>5.7000000000000002E-3</v>
      </c>
      <c r="F294" s="7">
        <f>E294*F262</f>
        <v>5.9456699999999998</v>
      </c>
      <c r="G294" s="85"/>
      <c r="H294" s="59">
        <f>WMSR+RRRP</f>
        <v>5.7000000000000002E-3</v>
      </c>
      <c r="I294" s="42">
        <f>H294*I262</f>
        <v>6.0465600000000004</v>
      </c>
      <c r="J294" s="114">
        <f>WMSR+RRRP</f>
        <v>5.7000000000000002E-3</v>
      </c>
      <c r="K294" s="7">
        <f>J294*K262</f>
        <v>5.9456699999999998</v>
      </c>
      <c r="L294" s="85"/>
      <c r="M294" s="59">
        <f>WMSR+RRRP</f>
        <v>5.7000000000000002E-3</v>
      </c>
      <c r="N294" s="42">
        <f>M294*N262</f>
        <v>6.0773400000000004</v>
      </c>
      <c r="O294" s="114">
        <f>WMSR+RRRP</f>
        <v>5.7000000000000002E-3</v>
      </c>
      <c r="P294" s="7">
        <f>O294*P262</f>
        <v>5.9456699999999998</v>
      </c>
      <c r="Q294" s="85"/>
      <c r="R294" s="59">
        <f>WMSR+RRRP</f>
        <v>5.7000000000000002E-3</v>
      </c>
      <c r="S294" s="42">
        <f>R294*S262</f>
        <v>6.0306000000000006</v>
      </c>
      <c r="T294" s="114">
        <f>WMSR+RRRP</f>
        <v>5.7000000000000002E-3</v>
      </c>
      <c r="U294" s="7">
        <f>T294*U262</f>
        <v>5.9456699999999998</v>
      </c>
      <c r="V294" s="85"/>
    </row>
    <row r="295" spans="1:22" x14ac:dyDescent="0.25">
      <c r="A295" s="139">
        <f t="shared" si="72"/>
        <v>37</v>
      </c>
      <c r="B295" s="85" t="s">
        <v>67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7</v>
      </c>
      <c r="E296" s="114">
        <v>7.0000000000000001E-3</v>
      </c>
      <c r="F296" s="7">
        <f>E296*F259</f>
        <v>7</v>
      </c>
      <c r="G296" s="85"/>
      <c r="H296" s="59">
        <v>7.0000000000000001E-3</v>
      </c>
      <c r="I296" s="42">
        <f>H296*I259</f>
        <v>7</v>
      </c>
      <c r="J296" s="114">
        <v>7.0000000000000001E-3</v>
      </c>
      <c r="K296" s="7">
        <f>J296*K259</f>
        <v>7</v>
      </c>
      <c r="L296" s="85"/>
      <c r="M296" s="59">
        <v>7.0000000000000001E-3</v>
      </c>
      <c r="N296" s="42">
        <f>M296*N259</f>
        <v>7</v>
      </c>
      <c r="O296" s="114">
        <v>7.0000000000000001E-3</v>
      </c>
      <c r="P296" s="7">
        <f>O296*P259</f>
        <v>7</v>
      </c>
      <c r="Q296" s="85"/>
      <c r="R296" s="59">
        <v>7.0000000000000001E-3</v>
      </c>
      <c r="S296" s="42">
        <f>R296*S259</f>
        <v>7</v>
      </c>
      <c r="T296" s="114">
        <v>7.0000000000000001E-3</v>
      </c>
      <c r="U296" s="7">
        <f>T296*U259</f>
        <v>7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13.193960000000001</v>
      </c>
      <c r="E298" s="110"/>
      <c r="F298" s="95">
        <f>SUM(F294:F297)</f>
        <v>13.19567</v>
      </c>
      <c r="G298" s="127">
        <f>F298-D298</f>
        <v>1.7099999999992122E-3</v>
      </c>
      <c r="H298" s="126"/>
      <c r="I298" s="96">
        <f>SUM(I294:I297)</f>
        <v>13.296559999999999</v>
      </c>
      <c r="J298" s="110"/>
      <c r="K298" s="95">
        <f>SUM(K294:K297)</f>
        <v>13.19567</v>
      </c>
      <c r="L298" s="127">
        <f>K298-I298</f>
        <v>-0.1008899999999997</v>
      </c>
      <c r="M298" s="126"/>
      <c r="N298" s="96">
        <f>SUM(N294:N297)</f>
        <v>13.32734</v>
      </c>
      <c r="O298" s="110"/>
      <c r="P298" s="95">
        <f>SUM(P294:P297)</f>
        <v>13.19567</v>
      </c>
      <c r="Q298" s="127">
        <f>P298-N298</f>
        <v>-0.13166999999999973</v>
      </c>
      <c r="R298" s="126"/>
      <c r="S298" s="96">
        <f>SUM(S294:S297)</f>
        <v>13.2806</v>
      </c>
      <c r="T298" s="110"/>
      <c r="U298" s="95">
        <f>SUM(U294:U297)</f>
        <v>13.19567</v>
      </c>
      <c r="V298" s="127">
        <f>U298-S298</f>
        <v>-8.492999999999995E-2</v>
      </c>
    </row>
    <row r="299" spans="1:22" x14ac:dyDescent="0.25">
      <c r="A299" s="144">
        <f t="shared" si="72"/>
        <v>41</v>
      </c>
      <c r="B299" s="145" t="s">
        <v>118</v>
      </c>
      <c r="C299" s="128"/>
      <c r="D299" s="120"/>
      <c r="E299" s="111"/>
      <c r="F299" s="97"/>
      <c r="G299" s="129">
        <f>G298/D298</f>
        <v>1.2960475854096966E-4</v>
      </c>
      <c r="H299" s="128"/>
      <c r="I299" s="120"/>
      <c r="J299" s="111"/>
      <c r="K299" s="97"/>
      <c r="L299" s="129">
        <f>L298/I298</f>
        <v>-7.5876768126492645E-3</v>
      </c>
      <c r="M299" s="128"/>
      <c r="N299" s="120"/>
      <c r="O299" s="111"/>
      <c r="P299" s="97"/>
      <c r="Q299" s="129">
        <f>Q298/N298</f>
        <v>-9.8796909210690006E-3</v>
      </c>
      <c r="R299" s="128"/>
      <c r="S299" s="120"/>
      <c r="T299" s="111"/>
      <c r="U299" s="97"/>
      <c r="V299" s="129">
        <f>V298/S298</f>
        <v>-6.3950423926629786E-3</v>
      </c>
    </row>
    <row r="300" spans="1:22" x14ac:dyDescent="0.25">
      <c r="A300" s="147">
        <f t="shared" si="72"/>
        <v>42</v>
      </c>
      <c r="B300" s="133" t="s">
        <v>129</v>
      </c>
      <c r="C300" s="132"/>
      <c r="D300" s="122">
        <f>D267+D286+D291+D298</f>
        <v>163.91911200000001</v>
      </c>
      <c r="E300" s="115"/>
      <c r="F300" s="102">
        <f>F267+F286+F291+F298</f>
        <v>163.925274</v>
      </c>
      <c r="G300" s="133"/>
      <c r="H300" s="132"/>
      <c r="I300" s="122">
        <f>I267+I286+I291+I298</f>
        <v>168.414512</v>
      </c>
      <c r="J300" s="115"/>
      <c r="K300" s="102">
        <f>K267+K286+K291+K298</f>
        <v>163.925274</v>
      </c>
      <c r="L300" s="133"/>
      <c r="M300" s="132"/>
      <c r="N300" s="122">
        <f>N267+N286+N291+N298</f>
        <v>167.83284799999998</v>
      </c>
      <c r="O300" s="115"/>
      <c r="P300" s="102">
        <f>P267+P286+P291+P298</f>
        <v>164.32527399999998</v>
      </c>
      <c r="Q300" s="133"/>
      <c r="R300" s="132"/>
      <c r="S300" s="122">
        <f>S267+S286+S291+S298</f>
        <v>171.67453822373062</v>
      </c>
      <c r="T300" s="115"/>
      <c r="U300" s="102">
        <f>U267+U286+U291+U298</f>
        <v>166.22527399999998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21.309484560000001</v>
      </c>
      <c r="E301" s="116"/>
      <c r="F301" s="99">
        <f>F300*0.13</f>
        <v>21.310285620000002</v>
      </c>
      <c r="G301" s="134"/>
      <c r="H301" s="87"/>
      <c r="I301" s="43">
        <f>I300*0.13</f>
        <v>21.893886560000002</v>
      </c>
      <c r="J301" s="116"/>
      <c r="K301" s="99">
        <f>K300*0.13</f>
        <v>21.310285620000002</v>
      </c>
      <c r="L301" s="134"/>
      <c r="M301" s="87"/>
      <c r="N301" s="43">
        <f>N300*0.13</f>
        <v>21.81827024</v>
      </c>
      <c r="O301" s="116"/>
      <c r="P301" s="99">
        <f>P300*0.13</f>
        <v>21.362285619999998</v>
      </c>
      <c r="Q301" s="134"/>
      <c r="R301" s="87"/>
      <c r="S301" s="43">
        <f>S300*0.13</f>
        <v>22.317689969084981</v>
      </c>
      <c r="T301" s="116"/>
      <c r="U301" s="99">
        <f>U300*0.13</f>
        <v>21.609285619999998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-18.522859656000005</v>
      </c>
      <c r="E302" s="117"/>
      <c r="F302" s="70">
        <f>SUM(F300:F301)*-0.1</f>
        <v>-18.523555962</v>
      </c>
      <c r="G302" s="125"/>
      <c r="H302" s="88"/>
      <c r="I302" s="69">
        <f>SUM(I300:I301)*-0.1</f>
        <v>-19.030839856</v>
      </c>
      <c r="J302" s="117"/>
      <c r="K302" s="70">
        <f>SUM(K300:K301)*-0.1</f>
        <v>-18.523555962</v>
      </c>
      <c r="L302" s="125"/>
      <c r="M302" s="88"/>
      <c r="N302" s="69">
        <f>SUM(N300:N301)*-0.1</f>
        <v>-18.965111824000001</v>
      </c>
      <c r="O302" s="117"/>
      <c r="P302" s="70">
        <f>SUM(P300:P301)*-0.1</f>
        <v>-18.568755961999997</v>
      </c>
      <c r="Q302" s="125"/>
      <c r="R302" s="88"/>
      <c r="S302" s="69">
        <f>SUM(S300:S301)*-0.1</f>
        <v>-19.399222819281562</v>
      </c>
      <c r="T302" s="117"/>
      <c r="U302" s="70">
        <f>SUM(U300:U301)*-0.1</f>
        <v>-18.783455962000001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166.70573690400002</v>
      </c>
      <c r="E303" s="118"/>
      <c r="F303" s="103">
        <f>SUM(F300:F302)</f>
        <v>166.71200365800001</v>
      </c>
      <c r="G303" s="136">
        <f>F303-D303</f>
        <v>6.2667539999949895E-3</v>
      </c>
      <c r="H303" s="135"/>
      <c r="I303" s="104">
        <f>SUM(I300:I302)</f>
        <v>171.277558704</v>
      </c>
      <c r="J303" s="118"/>
      <c r="K303" s="103">
        <f>SUM(K300:K302)</f>
        <v>166.71200365800001</v>
      </c>
      <c r="L303" s="136">
        <f>K303-I303</f>
        <v>-4.5655550459999859</v>
      </c>
      <c r="M303" s="135"/>
      <c r="N303" s="104">
        <f>SUM(N300:N302)</f>
        <v>170.686006416</v>
      </c>
      <c r="O303" s="118"/>
      <c r="P303" s="103">
        <f>SUM(P300:P302)</f>
        <v>167.11880365799999</v>
      </c>
      <c r="Q303" s="136">
        <f>P303-N303</f>
        <v>-3.5672027580000076</v>
      </c>
      <c r="R303" s="135"/>
      <c r="S303" s="104">
        <f>SUM(S300:S302)</f>
        <v>174.59300537353406</v>
      </c>
      <c r="T303" s="118"/>
      <c r="U303" s="103">
        <f>SUM(U300:U302)</f>
        <v>169.05110365799999</v>
      </c>
      <c r="V303" s="136">
        <f>U303-S303</f>
        <v>-5.5419017155340669</v>
      </c>
    </row>
    <row r="304" spans="1:22" x14ac:dyDescent="0.25">
      <c r="A304" s="151">
        <f t="shared" si="72"/>
        <v>46</v>
      </c>
      <c r="B304" s="152" t="s">
        <v>118</v>
      </c>
      <c r="C304" s="137"/>
      <c r="D304" s="123"/>
      <c r="E304" s="119"/>
      <c r="F304" s="105"/>
      <c r="G304" s="138">
        <f>G303/D303</f>
        <v>3.7591711697383237E-5</v>
      </c>
      <c r="H304" s="137"/>
      <c r="I304" s="123"/>
      <c r="J304" s="119"/>
      <c r="K304" s="105"/>
      <c r="L304" s="138">
        <f>L303/I303</f>
        <v>-2.6655885806325205E-2</v>
      </c>
      <c r="M304" s="137"/>
      <c r="N304" s="123"/>
      <c r="O304" s="119"/>
      <c r="P304" s="105"/>
      <c r="Q304" s="138">
        <f>Q303/N303</f>
        <v>-2.0899210385800088E-2</v>
      </c>
      <c r="R304" s="137"/>
      <c r="S304" s="123"/>
      <c r="T304" s="119"/>
      <c r="U304" s="105"/>
      <c r="V304" s="138">
        <f>V303/S303</f>
        <v>-3.1741831258803366E-2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127</v>
      </c>
      <c r="C306" s="202">
        <f>'2015 Approved'!$B$23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Approved'!$M$23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Approved'!$X$23</f>
        <v>3.0999999999999999E-3</v>
      </c>
      <c r="S306" s="43">
        <f>R306*S259</f>
        <v>3.1</v>
      </c>
      <c r="T306" s="203">
        <f>R306</f>
        <v>3.0999999999999999E-3</v>
      </c>
      <c r="U306" s="7">
        <f>T306*U259</f>
        <v>3.1</v>
      </c>
      <c r="V306" s="134"/>
    </row>
    <row r="307" spans="1:22" x14ac:dyDescent="0.25">
      <c r="A307" s="148">
        <f>A306+1</f>
        <v>49</v>
      </c>
      <c r="B307" s="85" t="s">
        <v>128</v>
      </c>
      <c r="C307" s="59">
        <f>'2015 Approved'!$B$24</f>
        <v>3.1999999999999997E-3</v>
      </c>
      <c r="D307" s="42">
        <f>C307*D259</f>
        <v>3.1999999999999997</v>
      </c>
      <c r="E307" s="203">
        <f>'2016 Proposed'!$B$26</f>
        <v>3.3999999999999998E-3</v>
      </c>
      <c r="F307" s="7">
        <f>E307*F259</f>
        <v>3.4</v>
      </c>
      <c r="G307" s="85"/>
      <c r="H307" s="59">
        <f>'2015 Approved'!$M$24</f>
        <v>-8.0000000000000004E-4</v>
      </c>
      <c r="I307" s="42">
        <f>H307*I259</f>
        <v>-0.8</v>
      </c>
      <c r="J307" s="114">
        <f>'2016 Proposed'!$B$26</f>
        <v>3.3999999999999998E-3</v>
      </c>
      <c r="K307" s="7">
        <f>J307*K259</f>
        <v>3.4</v>
      </c>
      <c r="L307" s="85"/>
      <c r="M307" s="59">
        <f>'2015 Approved'!$T$24</f>
        <v>-4.0000000000000002E-4</v>
      </c>
      <c r="N307" s="42">
        <f>M307*N259</f>
        <v>-0.4</v>
      </c>
      <c r="O307" s="114">
        <f>'2016 Proposed'!$B$26</f>
        <v>3.3999999999999998E-3</v>
      </c>
      <c r="P307" s="7">
        <f>O307*P259</f>
        <v>3.4</v>
      </c>
      <c r="Q307" s="85"/>
      <c r="R307" s="59">
        <f>'2015 Approved'!$X$24</f>
        <v>-2.9999999999999997E-4</v>
      </c>
      <c r="S307" s="42">
        <f>R307*S259</f>
        <v>-0.3</v>
      </c>
      <c r="T307" s="114">
        <f>'2016 Proposed'!$B$26</f>
        <v>3.3999999999999998E-3</v>
      </c>
      <c r="U307" s="7">
        <f>T307*U259</f>
        <v>3.4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167.119112</v>
      </c>
      <c r="E308" s="106"/>
      <c r="F308" s="7">
        <f>F300+SUM(F306:F307)</f>
        <v>167.32527400000001</v>
      </c>
      <c r="G308" s="85"/>
      <c r="H308" s="86"/>
      <c r="I308" s="42">
        <f>I300+I307+I306</f>
        <v>167.61451199999999</v>
      </c>
      <c r="J308" s="106"/>
      <c r="K308" s="7">
        <f>K300+K307+K306</f>
        <v>167.32527400000001</v>
      </c>
      <c r="L308" s="85"/>
      <c r="M308" s="86"/>
      <c r="N308" s="42">
        <f>N300+N307+N306</f>
        <v>167.43284799999998</v>
      </c>
      <c r="O308" s="106"/>
      <c r="P308" s="7">
        <f>P300+P307+P306</f>
        <v>167.72527399999998</v>
      </c>
      <c r="Q308" s="85"/>
      <c r="R308" s="86"/>
      <c r="S308" s="42">
        <f>S300+S307+S306</f>
        <v>174.4745382237306</v>
      </c>
      <c r="T308" s="106"/>
      <c r="U308" s="7">
        <f>U300+U307+U306</f>
        <v>172.72527399999998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21.725484560000002</v>
      </c>
      <c r="E309" s="106"/>
      <c r="F309" s="7">
        <f>F308*0.13</f>
        <v>21.752285620000002</v>
      </c>
      <c r="G309" s="85"/>
      <c r="H309" s="86"/>
      <c r="I309" s="42">
        <f>I308*0.13</f>
        <v>21.789886559999999</v>
      </c>
      <c r="J309" s="106"/>
      <c r="K309" s="7">
        <f>K308*0.13</f>
        <v>21.752285620000002</v>
      </c>
      <c r="L309" s="85"/>
      <c r="M309" s="86"/>
      <c r="N309" s="42">
        <f>N308*0.13</f>
        <v>21.766270239999997</v>
      </c>
      <c r="O309" s="106"/>
      <c r="P309" s="7">
        <f>P308*0.13</f>
        <v>21.804285619999998</v>
      </c>
      <c r="Q309" s="85"/>
      <c r="R309" s="86"/>
      <c r="S309" s="42">
        <f>S308*0.13</f>
        <v>22.681689969084978</v>
      </c>
      <c r="T309" s="106"/>
      <c r="U309" s="7">
        <f>U308*0.13</f>
        <v>22.45428562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-18.884459656000001</v>
      </c>
      <c r="E310" s="106"/>
      <c r="F310" s="7">
        <f>SUM(F308:F309)*-0.1</f>
        <v>-18.907755962000003</v>
      </c>
      <c r="G310" s="85"/>
      <c r="H310" s="86"/>
      <c r="I310" s="42">
        <f>SUM(I308:I309)*-0.1</f>
        <v>-18.940439856000001</v>
      </c>
      <c r="J310" s="106"/>
      <c r="K310" s="7">
        <f>SUM(K308:K309)*-0.1</f>
        <v>-18.907755962000003</v>
      </c>
      <c r="L310" s="85"/>
      <c r="M310" s="86"/>
      <c r="N310" s="42">
        <f>SUM(N308:N309)*-0.1</f>
        <v>-18.919911823999996</v>
      </c>
      <c r="O310" s="106"/>
      <c r="P310" s="7">
        <f>SUM(P308:P309)*-0.1</f>
        <v>-18.952955962000001</v>
      </c>
      <c r="Q310" s="85"/>
      <c r="R310" s="86"/>
      <c r="S310" s="42">
        <f>SUM(S308:S309)*-0.1</f>
        <v>-19.71562281928156</v>
      </c>
      <c r="T310" s="106"/>
      <c r="U310" s="7">
        <f>SUM(U308:U309)*-0.1</f>
        <v>-19.517955962000002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169.96013690400002</v>
      </c>
      <c r="E311" s="181"/>
      <c r="F311" s="182">
        <f>SUM(F308:F310)</f>
        <v>170.16980365800001</v>
      </c>
      <c r="G311" s="183">
        <f>F311-D311</f>
        <v>0.2096667539999828</v>
      </c>
      <c r="H311" s="179"/>
      <c r="I311" s="180">
        <f>SUM(I308:I310)</f>
        <v>170.46395870399999</v>
      </c>
      <c r="J311" s="181"/>
      <c r="K311" s="182">
        <f>SUM(K308:K310)</f>
        <v>170.16980365800001</v>
      </c>
      <c r="L311" s="183">
        <f>K311-I311</f>
        <v>-0.29415504599998599</v>
      </c>
      <c r="M311" s="179"/>
      <c r="N311" s="180">
        <f>SUM(N308:N310)</f>
        <v>170.27920641599997</v>
      </c>
      <c r="O311" s="181"/>
      <c r="P311" s="182">
        <f>SUM(P308:P310)</f>
        <v>170.57660365799998</v>
      </c>
      <c r="Q311" s="183">
        <f>P311-N311</f>
        <v>0.2973972420000166</v>
      </c>
      <c r="R311" s="179"/>
      <c r="S311" s="180">
        <f>SUM(S308:S310)</f>
        <v>177.44060537353403</v>
      </c>
      <c r="T311" s="181"/>
      <c r="U311" s="182">
        <f>SUM(U308:U310)</f>
        <v>175.66160365799999</v>
      </c>
      <c r="V311" s="183">
        <f>U311-S311</f>
        <v>-1.7790017155340365</v>
      </c>
    </row>
    <row r="312" spans="1:22" ht="15.75" thickBot="1" x14ac:dyDescent="0.3">
      <c r="A312" s="184">
        <f>A311+1</f>
        <v>54</v>
      </c>
      <c r="B312" s="185" t="s">
        <v>118</v>
      </c>
      <c r="C312" s="186"/>
      <c r="D312" s="187"/>
      <c r="E312" s="188"/>
      <c r="F312" s="189"/>
      <c r="G312" s="190">
        <f>G311/D311</f>
        <v>1.2336231178632822E-3</v>
      </c>
      <c r="H312" s="186"/>
      <c r="I312" s="187"/>
      <c r="J312" s="188"/>
      <c r="K312" s="189"/>
      <c r="L312" s="190">
        <f>L311/I311</f>
        <v>-1.7256143071906938E-3</v>
      </c>
      <c r="M312" s="186"/>
      <c r="N312" s="187"/>
      <c r="O312" s="188"/>
      <c r="P312" s="189"/>
      <c r="Q312" s="190">
        <f>Q311/N311</f>
        <v>1.7465270614044407E-3</v>
      </c>
      <c r="R312" s="186"/>
      <c r="S312" s="187"/>
      <c r="T312" s="188"/>
      <c r="U312" s="189"/>
      <c r="V312" s="190">
        <f>V311/S311</f>
        <v>-1.0025899718889156E-2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120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103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103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103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103</v>
      </c>
    </row>
    <row r="315" spans="1:22" x14ac:dyDescent="0.25">
      <c r="A315" s="139">
        <f>A314+1</f>
        <v>56</v>
      </c>
      <c r="B315" s="85" t="s">
        <v>119</v>
      </c>
      <c r="C315" s="86"/>
      <c r="D315" s="42">
        <f>SUM(D270:D273)+D276+D285</f>
        <v>27.78</v>
      </c>
      <c r="E315" s="106"/>
      <c r="F315" s="7">
        <f>SUM(F270:F273)+F276+F285</f>
        <v>26.18</v>
      </c>
      <c r="G315" s="56">
        <f>F315-D315</f>
        <v>-1.6000000000000014</v>
      </c>
      <c r="H315" s="86"/>
      <c r="I315" s="42">
        <f>SUM(I270:I273)+I276+I285</f>
        <v>31.03</v>
      </c>
      <c r="J315" s="106"/>
      <c r="K315" s="7">
        <f>SUM(K270:K273)+K276+K285</f>
        <v>26.18</v>
      </c>
      <c r="L315" s="56">
        <f>K315-I315</f>
        <v>-4.8500000000000014</v>
      </c>
      <c r="M315" s="86"/>
      <c r="N315" s="42">
        <f>SUM(N270:N273)+N276+N285</f>
        <v>27.339999999999996</v>
      </c>
      <c r="O315" s="106"/>
      <c r="P315" s="7">
        <f>SUM(P270:P273)+P276+P285</f>
        <v>26.18</v>
      </c>
      <c r="Q315" s="56">
        <f>P315-N315</f>
        <v>-1.1599999999999966</v>
      </c>
      <c r="R315" s="86"/>
      <c r="S315" s="42">
        <f>SUM(S270:S273)+S276+S285</f>
        <v>25.89</v>
      </c>
      <c r="T315" s="106"/>
      <c r="U315" s="7">
        <f>SUM(U270:U273)+U276+U285</f>
        <v>26.18</v>
      </c>
      <c r="V315" s="56">
        <f>U315-S315</f>
        <v>0.28999999999999915</v>
      </c>
    </row>
    <row r="316" spans="1:22" x14ac:dyDescent="0.25">
      <c r="A316" s="164">
        <f t="shared" ref="A316:A318" si="89">A315+1</f>
        <v>57</v>
      </c>
      <c r="B316" s="165" t="s">
        <v>118</v>
      </c>
      <c r="C316" s="166"/>
      <c r="D316" s="167"/>
      <c r="E316" s="168"/>
      <c r="F316" s="93"/>
      <c r="G316" s="169">
        <f>G315/SUM(D315:D318)</f>
        <v>-4.5272437076405658E-2</v>
      </c>
      <c r="H316" s="166"/>
      <c r="I316" s="167"/>
      <c r="J316" s="168"/>
      <c r="K316" s="93"/>
      <c r="L316" s="169">
        <f>L315/SUM(I315:I318)</f>
        <v>-0.12146221878866761</v>
      </c>
      <c r="M316" s="166"/>
      <c r="N316" s="167"/>
      <c r="O316" s="168"/>
      <c r="P316" s="93"/>
      <c r="Q316" s="169">
        <f>Q315/SUM(N315:N318)</f>
        <v>-3.0293796551249648E-2</v>
      </c>
      <c r="R316" s="166"/>
      <c r="S316" s="167"/>
      <c r="T316" s="168"/>
      <c r="U316" s="93"/>
      <c r="V316" s="169">
        <f>V315/SUM(S315:S318)</f>
        <v>6.530925508714037E-3</v>
      </c>
    </row>
    <row r="317" spans="1:22" x14ac:dyDescent="0.25">
      <c r="A317" s="139">
        <f t="shared" si="89"/>
        <v>58</v>
      </c>
      <c r="B317" s="85" t="s">
        <v>121</v>
      </c>
      <c r="C317" s="86"/>
      <c r="D317" s="42">
        <f>D274+SUM(D277:D284)+D275</f>
        <v>7.5615919999999957</v>
      </c>
      <c r="E317" s="106"/>
      <c r="F317" s="7">
        <f>F274+SUM(F277:F284)+F275</f>
        <v>9.1622339999999909</v>
      </c>
      <c r="G317" s="56">
        <f>F317-D317</f>
        <v>1.6006419999999952</v>
      </c>
      <c r="H317" s="86"/>
      <c r="I317" s="42">
        <f>I274+SUM(I277:I284)+I275</f>
        <v>8.9001119999999947</v>
      </c>
      <c r="J317" s="106"/>
      <c r="K317" s="7">
        <f>K274+SUM(K277:K284)+K275</f>
        <v>9.1622339999999909</v>
      </c>
      <c r="L317" s="56">
        <f>K317-I317</f>
        <v>0.26212199999999619</v>
      </c>
      <c r="M317" s="86"/>
      <c r="N317" s="42">
        <f>N274+SUM(N277:N284)+N275</f>
        <v>10.951668000000005</v>
      </c>
      <c r="O317" s="106"/>
      <c r="P317" s="7">
        <f>P274+SUM(P277:P284)+P275</f>
        <v>9.5622339999999895</v>
      </c>
      <c r="Q317" s="56">
        <f>P317-N317</f>
        <v>-1.3894340000000156</v>
      </c>
      <c r="R317" s="86"/>
      <c r="S317" s="42">
        <f>S274+SUM(S277:S284)+S275</f>
        <v>18.514119999999998</v>
      </c>
      <c r="T317" s="106"/>
      <c r="U317" s="7">
        <f>U274+SUM(U277:U284)+U275</f>
        <v>11.46223399999999</v>
      </c>
      <c r="V317" s="56">
        <f>U317-S317</f>
        <v>-7.0518860000000085</v>
      </c>
    </row>
    <row r="318" spans="1:22" ht="15.75" thickBot="1" x14ac:dyDescent="0.3">
      <c r="A318" s="170">
        <f t="shared" si="89"/>
        <v>59</v>
      </c>
      <c r="B318" s="171" t="s">
        <v>118</v>
      </c>
      <c r="C318" s="172"/>
      <c r="D318" s="173"/>
      <c r="E318" s="174"/>
      <c r="F318" s="175"/>
      <c r="G318" s="176">
        <f>G317/SUM(D315:D318)</f>
        <v>4.529060264178239E-2</v>
      </c>
      <c r="H318" s="172"/>
      <c r="I318" s="173"/>
      <c r="J318" s="174"/>
      <c r="K318" s="175"/>
      <c r="L318" s="176">
        <f>L317/SUM(I315:I318)</f>
        <v>6.5645195285201361E-3</v>
      </c>
      <c r="M318" s="172"/>
      <c r="N318" s="173"/>
      <c r="O318" s="174"/>
      <c r="P318" s="175"/>
      <c r="Q318" s="176">
        <f>Q317/SUM(N315:N318)</f>
        <v>-3.6285543894301379E-2</v>
      </c>
      <c r="R318" s="172"/>
      <c r="S318" s="173"/>
      <c r="T318" s="174"/>
      <c r="U318" s="175"/>
      <c r="V318" s="176">
        <f>V317/SUM(S315:S318)</f>
        <v>-0.1588115246963572</v>
      </c>
    </row>
    <row r="319" spans="1:22" ht="15.75" thickBot="1" x14ac:dyDescent="0.3"/>
    <row r="320" spans="1:22" x14ac:dyDescent="0.25">
      <c r="A320" s="331" t="s">
        <v>111</v>
      </c>
      <c r="B320" s="333" t="s">
        <v>0</v>
      </c>
      <c r="C320" s="329" t="s">
        <v>115</v>
      </c>
      <c r="D320" s="330"/>
      <c r="E320" s="327" t="s">
        <v>116</v>
      </c>
      <c r="F320" s="327"/>
      <c r="G320" s="328"/>
      <c r="H320" s="329" t="s">
        <v>117</v>
      </c>
      <c r="I320" s="330"/>
      <c r="J320" s="327" t="s">
        <v>116</v>
      </c>
      <c r="K320" s="327"/>
      <c r="L320" s="328"/>
      <c r="M320" s="329" t="s">
        <v>124</v>
      </c>
      <c r="N320" s="330"/>
      <c r="O320" s="327" t="s">
        <v>116</v>
      </c>
      <c r="P320" s="327"/>
      <c r="Q320" s="328"/>
      <c r="R320" s="329" t="s">
        <v>123</v>
      </c>
      <c r="S320" s="330"/>
      <c r="T320" s="327" t="s">
        <v>116</v>
      </c>
      <c r="U320" s="327"/>
      <c r="V320" s="328"/>
    </row>
    <row r="321" spans="1:22" x14ac:dyDescent="0.25">
      <c r="A321" s="332"/>
      <c r="B321" s="334"/>
      <c r="C321" s="157" t="s">
        <v>2</v>
      </c>
      <c r="D321" s="158" t="s">
        <v>3</v>
      </c>
      <c r="E321" s="159" t="s">
        <v>2</v>
      </c>
      <c r="F321" s="160" t="s">
        <v>3</v>
      </c>
      <c r="G321" s="251" t="s">
        <v>103</v>
      </c>
      <c r="H321" s="157" t="s">
        <v>2</v>
      </c>
      <c r="I321" s="158" t="s">
        <v>3</v>
      </c>
      <c r="J321" s="159" t="s">
        <v>2</v>
      </c>
      <c r="K321" s="160" t="s">
        <v>3</v>
      </c>
      <c r="L321" s="251" t="s">
        <v>103</v>
      </c>
      <c r="M321" s="157" t="s">
        <v>2</v>
      </c>
      <c r="N321" s="158" t="s">
        <v>3</v>
      </c>
      <c r="O321" s="159" t="s">
        <v>2</v>
      </c>
      <c r="P321" s="160" t="s">
        <v>3</v>
      </c>
      <c r="Q321" s="251" t="s">
        <v>103</v>
      </c>
      <c r="R321" s="157" t="s">
        <v>2</v>
      </c>
      <c r="S321" s="158" t="s">
        <v>3</v>
      </c>
      <c r="T321" s="159" t="s">
        <v>2</v>
      </c>
      <c r="U321" s="160" t="s">
        <v>3</v>
      </c>
      <c r="V321" s="251" t="s">
        <v>103</v>
      </c>
    </row>
    <row r="322" spans="1:22" x14ac:dyDescent="0.25">
      <c r="A322" s="139">
        <v>1</v>
      </c>
      <c r="B322" s="85" t="s">
        <v>91</v>
      </c>
      <c r="C322" s="86"/>
      <c r="D322" s="252">
        <v>1500</v>
      </c>
      <c r="E322" s="106"/>
      <c r="F322" s="1">
        <f>D322</f>
        <v>1500</v>
      </c>
      <c r="G322" s="85"/>
      <c r="H322" s="86"/>
      <c r="I322" s="40">
        <f>D322</f>
        <v>1500</v>
      </c>
      <c r="J322" s="106"/>
      <c r="K322" s="1">
        <f>I322</f>
        <v>1500</v>
      </c>
      <c r="L322" s="85"/>
      <c r="M322" s="86"/>
      <c r="N322" s="40">
        <f>D322</f>
        <v>1500</v>
      </c>
      <c r="O322" s="106"/>
      <c r="P322" s="1">
        <f>N322</f>
        <v>1500</v>
      </c>
      <c r="Q322" s="85"/>
      <c r="R322" s="86"/>
      <c r="S322" s="40">
        <f>D322</f>
        <v>1500</v>
      </c>
      <c r="T322" s="106"/>
      <c r="U322" s="1">
        <f>S322</f>
        <v>1500</v>
      </c>
      <c r="V322" s="85"/>
    </row>
    <row r="323" spans="1:22" x14ac:dyDescent="0.25">
      <c r="A323" s="139">
        <f>A322+1</f>
        <v>2</v>
      </c>
      <c r="B323" s="85" t="s">
        <v>92</v>
      </c>
      <c r="C323" s="86"/>
      <c r="D323" s="40">
        <v>0</v>
      </c>
      <c r="E323" s="106"/>
      <c r="F323" s="1">
        <f>D323</f>
        <v>0</v>
      </c>
      <c r="G323" s="85"/>
      <c r="H323" s="86"/>
      <c r="I323" s="40">
        <v>0</v>
      </c>
      <c r="J323" s="106"/>
      <c r="K323" s="1">
        <f>I323</f>
        <v>0</v>
      </c>
      <c r="L323" s="85"/>
      <c r="M323" s="86"/>
      <c r="N323" s="40">
        <v>0</v>
      </c>
      <c r="O323" s="106"/>
      <c r="P323" s="1">
        <f>N323</f>
        <v>0</v>
      </c>
      <c r="Q323" s="85"/>
      <c r="R323" s="86"/>
      <c r="S323" s="40">
        <v>0</v>
      </c>
      <c r="T323" s="106"/>
      <c r="U323" s="1">
        <f>S323</f>
        <v>0</v>
      </c>
      <c r="V323" s="85"/>
    </row>
    <row r="324" spans="1:22" x14ac:dyDescent="0.25">
      <c r="A324" s="139">
        <f t="shared" ref="A324:A374" si="90">A323+1</f>
        <v>3</v>
      </c>
      <c r="B324" s="85" t="s">
        <v>22</v>
      </c>
      <c r="C324" s="86"/>
      <c r="D324" s="40">
        <f>CKH_LOSS</f>
        <v>1.0427999999999999</v>
      </c>
      <c r="E324" s="106"/>
      <c r="F324" s="1">
        <f>EPI_LOSS</f>
        <v>1.0430999999999999</v>
      </c>
      <c r="G324" s="85"/>
      <c r="H324" s="86"/>
      <c r="I324" s="40">
        <f>SMP_LOSS</f>
        <v>1.0608</v>
      </c>
      <c r="J324" s="106"/>
      <c r="K324" s="1">
        <f>EPI_LOSS</f>
        <v>1.0430999999999999</v>
      </c>
      <c r="L324" s="85"/>
      <c r="M324" s="86"/>
      <c r="N324" s="40">
        <f>DUT_LOSS</f>
        <v>1.0662</v>
      </c>
      <c r="O324" s="106"/>
      <c r="P324" s="1">
        <f>EPI_LOSS</f>
        <v>1.0430999999999999</v>
      </c>
      <c r="Q324" s="85"/>
      <c r="R324" s="86"/>
      <c r="S324" s="72">
        <f>NEW_LOSS</f>
        <v>1.0580000000000001</v>
      </c>
      <c r="T324" s="106"/>
      <c r="U324" s="1">
        <f>EPI_LOSS</f>
        <v>1.0430999999999999</v>
      </c>
      <c r="V324" s="85"/>
    </row>
    <row r="325" spans="1:22" x14ac:dyDescent="0.25">
      <c r="A325" s="139">
        <f t="shared" si="90"/>
        <v>4</v>
      </c>
      <c r="B325" s="85" t="s">
        <v>93</v>
      </c>
      <c r="C325" s="86"/>
      <c r="D325" s="40">
        <f>D322*D324</f>
        <v>1564.1999999999998</v>
      </c>
      <c r="E325" s="106"/>
      <c r="F325" s="1">
        <f>F322*F324</f>
        <v>1564.6499999999999</v>
      </c>
      <c r="G325" s="85"/>
      <c r="H325" s="86"/>
      <c r="I325" s="40">
        <f>I322*I324</f>
        <v>1591.2</v>
      </c>
      <c r="J325" s="106"/>
      <c r="K325" s="1">
        <f>K322*K324</f>
        <v>1564.6499999999999</v>
      </c>
      <c r="L325" s="85"/>
      <c r="M325" s="86"/>
      <c r="N325" s="40">
        <f>N322*N324</f>
        <v>1599.3</v>
      </c>
      <c r="O325" s="106"/>
      <c r="P325" s="1">
        <f>P322*P324</f>
        <v>1564.6499999999999</v>
      </c>
      <c r="Q325" s="85"/>
      <c r="R325" s="86"/>
      <c r="S325" s="40">
        <f>S322*S324</f>
        <v>1587</v>
      </c>
      <c r="T325" s="106"/>
      <c r="U325" s="1">
        <f>U322*U324</f>
        <v>1564.6499999999999</v>
      </c>
      <c r="V325" s="85"/>
    </row>
    <row r="326" spans="1:22" x14ac:dyDescent="0.25">
      <c r="A326" s="140">
        <f t="shared" si="90"/>
        <v>5</v>
      </c>
      <c r="B326" s="83" t="s">
        <v>27</v>
      </c>
      <c r="C326" s="82"/>
      <c r="D326" s="41"/>
      <c r="E326" s="107"/>
      <c r="F326" s="39"/>
      <c r="G326" s="83"/>
      <c r="H326" s="82"/>
      <c r="I326" s="41"/>
      <c r="J326" s="107"/>
      <c r="K326" s="39"/>
      <c r="L326" s="83"/>
      <c r="M326" s="82"/>
      <c r="N326" s="41"/>
      <c r="O326" s="107"/>
      <c r="P326" s="39"/>
      <c r="Q326" s="83"/>
      <c r="R326" s="82"/>
      <c r="S326" s="41"/>
      <c r="T326" s="107"/>
      <c r="U326" s="39"/>
      <c r="V326" s="83"/>
    </row>
    <row r="327" spans="1:22" x14ac:dyDescent="0.25">
      <c r="A327" s="139">
        <f t="shared" si="90"/>
        <v>6</v>
      </c>
      <c r="B327" s="85" t="s">
        <v>23</v>
      </c>
      <c r="C327" s="84">
        <f>'General Input'!$B$11</f>
        <v>0.08</v>
      </c>
      <c r="D327" s="42">
        <f>D$322*C327*TOU_OFF</f>
        <v>76.8</v>
      </c>
      <c r="E327" s="108">
        <f>'General Input'!$B$11</f>
        <v>0.08</v>
      </c>
      <c r="F327" s="7">
        <f>F$322*E327*TOU_OFF</f>
        <v>76.8</v>
      </c>
      <c r="G327" s="85"/>
      <c r="H327" s="84">
        <f>'General Input'!$B$11</f>
        <v>0.08</v>
      </c>
      <c r="I327" s="42">
        <f>I$322*H327*TOU_OFF</f>
        <v>76.8</v>
      </c>
      <c r="J327" s="108">
        <f>'General Input'!$B$11</f>
        <v>0.08</v>
      </c>
      <c r="K327" s="7">
        <f>K$322*J327*TOU_OFF</f>
        <v>76.8</v>
      </c>
      <c r="L327" s="85"/>
      <c r="M327" s="84">
        <f>'General Input'!$B$11</f>
        <v>0.08</v>
      </c>
      <c r="N327" s="42">
        <f>N$322*M327*TOU_OFF</f>
        <v>76.8</v>
      </c>
      <c r="O327" s="108">
        <f>'General Input'!$B$11</f>
        <v>0.08</v>
      </c>
      <c r="P327" s="7">
        <f>P$322*O327*TOU_OFF</f>
        <v>76.8</v>
      </c>
      <c r="Q327" s="85"/>
      <c r="R327" s="84">
        <f>'General Input'!$B$11</f>
        <v>0.08</v>
      </c>
      <c r="S327" s="42">
        <f>S$322*R327*TOU_OFF</f>
        <v>76.8</v>
      </c>
      <c r="T327" s="108">
        <f>'General Input'!$B$11</f>
        <v>0.08</v>
      </c>
      <c r="U327" s="7">
        <f>U$322*T327*TOU_OFF</f>
        <v>76.8</v>
      </c>
      <c r="V327" s="85"/>
    </row>
    <row r="328" spans="1:22" x14ac:dyDescent="0.25">
      <c r="A328" s="139">
        <f t="shared" si="90"/>
        <v>7</v>
      </c>
      <c r="B328" s="85" t="s">
        <v>24</v>
      </c>
      <c r="C328" s="84">
        <f>'General Input'!$B$12</f>
        <v>0.122</v>
      </c>
      <c r="D328" s="42">
        <f>D$322*C328*TOU_MID</f>
        <v>32.94</v>
      </c>
      <c r="E328" s="108">
        <f>'General Input'!$B$12</f>
        <v>0.122</v>
      </c>
      <c r="F328" s="7">
        <f>F$322*E328*TOU_MID</f>
        <v>32.94</v>
      </c>
      <c r="G328" s="85"/>
      <c r="H328" s="84">
        <f>'General Input'!$B$12</f>
        <v>0.122</v>
      </c>
      <c r="I328" s="42">
        <f>I$322*H328*TOU_MID</f>
        <v>32.94</v>
      </c>
      <c r="J328" s="108">
        <f>'General Input'!$B$12</f>
        <v>0.122</v>
      </c>
      <c r="K328" s="7">
        <f>K$322*J328*TOU_MID</f>
        <v>32.94</v>
      </c>
      <c r="L328" s="85"/>
      <c r="M328" s="84">
        <f>'General Input'!$B$12</f>
        <v>0.122</v>
      </c>
      <c r="N328" s="42">
        <f>N$322*M328*TOU_MID</f>
        <v>32.94</v>
      </c>
      <c r="O328" s="108">
        <f>'General Input'!$B$12</f>
        <v>0.122</v>
      </c>
      <c r="P328" s="7">
        <f>P$322*O328*TOU_MID</f>
        <v>32.94</v>
      </c>
      <c r="Q328" s="85"/>
      <c r="R328" s="84">
        <f>'General Input'!$B$12</f>
        <v>0.122</v>
      </c>
      <c r="S328" s="42">
        <f>S$322*R328*TOU_MID</f>
        <v>32.94</v>
      </c>
      <c r="T328" s="108">
        <f>'General Input'!$B$12</f>
        <v>0.122</v>
      </c>
      <c r="U328" s="7">
        <f>U$322*T328*TOU_MID</f>
        <v>32.94</v>
      </c>
      <c r="V328" s="85"/>
    </row>
    <row r="329" spans="1:22" x14ac:dyDescent="0.25">
      <c r="A329" s="141">
        <f t="shared" si="90"/>
        <v>8</v>
      </c>
      <c r="B329" s="125" t="s">
        <v>25</v>
      </c>
      <c r="C329" s="124">
        <f>'General Input'!$B$13</f>
        <v>0.161</v>
      </c>
      <c r="D329" s="69">
        <f>D$322*C329*TOU_ON</f>
        <v>43.47</v>
      </c>
      <c r="E329" s="109">
        <f>'General Input'!$B$13</f>
        <v>0.161</v>
      </c>
      <c r="F329" s="70">
        <f>F$322*E329*TOU_ON</f>
        <v>43.47</v>
      </c>
      <c r="G329" s="125"/>
      <c r="H329" s="124">
        <f>'General Input'!$B$13</f>
        <v>0.161</v>
      </c>
      <c r="I329" s="69">
        <f>I$322*H329*TOU_ON</f>
        <v>43.47</v>
      </c>
      <c r="J329" s="109">
        <f>'General Input'!$B$13</f>
        <v>0.161</v>
      </c>
      <c r="K329" s="70">
        <f>K$322*J329*TOU_ON</f>
        <v>43.47</v>
      </c>
      <c r="L329" s="125"/>
      <c r="M329" s="124">
        <f>'General Input'!$B$13</f>
        <v>0.161</v>
      </c>
      <c r="N329" s="69">
        <f>N$322*M329*TOU_ON</f>
        <v>43.47</v>
      </c>
      <c r="O329" s="109">
        <f>'General Input'!$B$13</f>
        <v>0.161</v>
      </c>
      <c r="P329" s="70">
        <f>P$322*O329*TOU_ON</f>
        <v>43.47</v>
      </c>
      <c r="Q329" s="125"/>
      <c r="R329" s="124">
        <f>'General Input'!$B$13</f>
        <v>0.161</v>
      </c>
      <c r="S329" s="69">
        <f>S$322*R329*TOU_ON</f>
        <v>43.47</v>
      </c>
      <c r="T329" s="109">
        <f>'General Input'!$B$13</f>
        <v>0.161</v>
      </c>
      <c r="U329" s="70">
        <f>U$322*T329*TOU_ON</f>
        <v>43.47</v>
      </c>
      <c r="V329" s="125"/>
    </row>
    <row r="330" spans="1:22" x14ac:dyDescent="0.25">
      <c r="A330" s="142">
        <f t="shared" si="90"/>
        <v>9</v>
      </c>
      <c r="B330" s="143" t="s">
        <v>26</v>
      </c>
      <c r="C330" s="126"/>
      <c r="D330" s="96">
        <f>SUM(D327:D329)</f>
        <v>153.20999999999998</v>
      </c>
      <c r="E330" s="110"/>
      <c r="F330" s="95">
        <f>SUM(F327:F329)</f>
        <v>153.20999999999998</v>
      </c>
      <c r="G330" s="127">
        <f>D330-F330</f>
        <v>0</v>
      </c>
      <c r="H330" s="126"/>
      <c r="I330" s="96">
        <f>SUM(I327:I329)</f>
        <v>153.20999999999998</v>
      </c>
      <c r="J330" s="110"/>
      <c r="K330" s="95">
        <f>SUM(K327:K329)</f>
        <v>153.20999999999998</v>
      </c>
      <c r="L330" s="127">
        <f>I330-K330</f>
        <v>0</v>
      </c>
      <c r="M330" s="126"/>
      <c r="N330" s="96">
        <f>SUM(N327:N329)</f>
        <v>153.20999999999998</v>
      </c>
      <c r="O330" s="110"/>
      <c r="P330" s="95">
        <f>SUM(P327:P329)</f>
        <v>153.20999999999998</v>
      </c>
      <c r="Q330" s="127">
        <f>N330-P330</f>
        <v>0</v>
      </c>
      <c r="R330" s="126"/>
      <c r="S330" s="96">
        <f>SUM(S327:S329)</f>
        <v>153.20999999999998</v>
      </c>
      <c r="T330" s="110"/>
      <c r="U330" s="95">
        <f>SUM(U327:U329)</f>
        <v>153.20999999999998</v>
      </c>
      <c r="V330" s="127">
        <f>S330-U330</f>
        <v>0</v>
      </c>
    </row>
    <row r="331" spans="1:22" x14ac:dyDescent="0.25">
      <c r="A331" s="144">
        <f t="shared" si="90"/>
        <v>10</v>
      </c>
      <c r="B331" s="145" t="s">
        <v>118</v>
      </c>
      <c r="C331" s="128"/>
      <c r="D331" s="120"/>
      <c r="E331" s="111"/>
      <c r="F331" s="97"/>
      <c r="G331" s="129">
        <f>G330/D330</f>
        <v>0</v>
      </c>
      <c r="H331" s="128"/>
      <c r="I331" s="120"/>
      <c r="J331" s="111"/>
      <c r="K331" s="97"/>
      <c r="L331" s="129">
        <f>L330/I330</f>
        <v>0</v>
      </c>
      <c r="M331" s="128"/>
      <c r="N331" s="120"/>
      <c r="O331" s="111"/>
      <c r="P331" s="97"/>
      <c r="Q331" s="129">
        <f>Q330/N330</f>
        <v>0</v>
      </c>
      <c r="R331" s="128"/>
      <c r="S331" s="120"/>
      <c r="T331" s="111"/>
      <c r="U331" s="97"/>
      <c r="V331" s="129">
        <f>V330/S330</f>
        <v>0</v>
      </c>
    </row>
    <row r="332" spans="1:22" x14ac:dyDescent="0.25">
      <c r="A332" s="146">
        <f t="shared" si="90"/>
        <v>11</v>
      </c>
      <c r="B332" s="131" t="s">
        <v>28</v>
      </c>
      <c r="C332" s="130"/>
      <c r="D332" s="121"/>
      <c r="E332" s="112"/>
      <c r="F332" s="94"/>
      <c r="G332" s="131"/>
      <c r="H332" s="130"/>
      <c r="I332" s="121"/>
      <c r="J332" s="112"/>
      <c r="K332" s="94"/>
      <c r="L332" s="131"/>
      <c r="M332" s="130"/>
      <c r="N332" s="121"/>
      <c r="O332" s="112"/>
      <c r="P332" s="94"/>
      <c r="Q332" s="131"/>
      <c r="R332" s="130"/>
      <c r="S332" s="121"/>
      <c r="T332" s="112"/>
      <c r="U332" s="94"/>
      <c r="V332" s="131"/>
    </row>
    <row r="333" spans="1:22" x14ac:dyDescent="0.25">
      <c r="A333" s="139">
        <f t="shared" si="90"/>
        <v>12</v>
      </c>
      <c r="B333" s="85" t="s">
        <v>5</v>
      </c>
      <c r="C333" s="55">
        <f>'2015 Approved'!$B$4</f>
        <v>18.98</v>
      </c>
      <c r="D333" s="42">
        <f>C333</f>
        <v>18.98</v>
      </c>
      <c r="E333" s="113">
        <f>'2016 Proposed'!$B$3</f>
        <v>18.98</v>
      </c>
      <c r="F333" s="7">
        <f>E333</f>
        <v>18.98</v>
      </c>
      <c r="G333" s="85"/>
      <c r="H333" s="55">
        <f>'2015 Approved'!$M$4</f>
        <v>14.43</v>
      </c>
      <c r="I333" s="42">
        <f>H333</f>
        <v>14.43</v>
      </c>
      <c r="J333" s="113">
        <f>'2016 Proposed'!$B$3</f>
        <v>18.98</v>
      </c>
      <c r="K333" s="7">
        <f>J333</f>
        <v>18.98</v>
      </c>
      <c r="L333" s="85"/>
      <c r="M333" s="55">
        <f>'2015 Approved'!$T$4</f>
        <v>13.44</v>
      </c>
      <c r="N333" s="42">
        <f>M333</f>
        <v>13.44</v>
      </c>
      <c r="O333" s="113">
        <f>'2016 Proposed'!$B$3</f>
        <v>18.98</v>
      </c>
      <c r="P333" s="7">
        <f>O333</f>
        <v>18.98</v>
      </c>
      <c r="Q333" s="85"/>
      <c r="R333" s="55">
        <f>'2015 Approved'!$X$4</f>
        <v>12.52</v>
      </c>
      <c r="S333" s="42">
        <f>R333</f>
        <v>12.52</v>
      </c>
      <c r="T333" s="113">
        <f>'2016 Proposed'!$B$3</f>
        <v>18.98</v>
      </c>
      <c r="U333" s="7">
        <f>T333</f>
        <v>18.98</v>
      </c>
      <c r="V333" s="85"/>
    </row>
    <row r="334" spans="1:22" x14ac:dyDescent="0.25">
      <c r="A334" s="139">
        <f t="shared" si="90"/>
        <v>13</v>
      </c>
      <c r="B334" s="85" t="s">
        <v>86</v>
      </c>
      <c r="C334" s="55">
        <f>'2015 Approved'!$B$5</f>
        <v>0</v>
      </c>
      <c r="D334" s="42">
        <f t="shared" ref="D334:D337" si="91">C334</f>
        <v>0</v>
      </c>
      <c r="E334" s="113">
        <f>'2016 Proposed'!$B$5</f>
        <v>0</v>
      </c>
      <c r="F334" s="7">
        <f t="shared" ref="F334:F337" si="92">E334</f>
        <v>0</v>
      </c>
      <c r="G334" s="85"/>
      <c r="H334" s="55">
        <f>'2015 Approved'!$M$5</f>
        <v>1.23</v>
      </c>
      <c r="I334" s="42">
        <f t="shared" ref="I334:I337" si="93">H334</f>
        <v>1.23</v>
      </c>
      <c r="J334" s="113">
        <f>'2016 Proposed'!$B$5</f>
        <v>0</v>
      </c>
      <c r="K334" s="7">
        <f t="shared" ref="K334:K337" si="94">J334</f>
        <v>0</v>
      </c>
      <c r="L334" s="85"/>
      <c r="M334" s="55">
        <f>'2015 Approved'!$T$5</f>
        <v>1.2</v>
      </c>
      <c r="N334" s="42">
        <f t="shared" ref="N334:N337" si="95">M334</f>
        <v>1.2</v>
      </c>
      <c r="O334" s="113">
        <f>'2016 Proposed'!$B$5</f>
        <v>0</v>
      </c>
      <c r="P334" s="7">
        <f t="shared" ref="P334:P337" si="96">O334</f>
        <v>0</v>
      </c>
      <c r="Q334" s="85"/>
      <c r="R334" s="55">
        <f>'2015 Approved'!$X$5</f>
        <v>0.77</v>
      </c>
      <c r="S334" s="42">
        <f t="shared" ref="S334:S337" si="97">R334</f>
        <v>0.77</v>
      </c>
      <c r="T334" s="113">
        <f>'2016 Proposed'!$B$5</f>
        <v>0</v>
      </c>
      <c r="U334" s="7">
        <f t="shared" ref="U334:U337" si="98">T334</f>
        <v>0</v>
      </c>
      <c r="V334" s="85"/>
    </row>
    <row r="335" spans="1:22" x14ac:dyDescent="0.25">
      <c r="A335" s="139">
        <f t="shared" si="90"/>
        <v>14</v>
      </c>
      <c r="B335" s="85" t="s">
        <v>86</v>
      </c>
      <c r="C335" s="55">
        <f>'2015 Approved'!$B$6</f>
        <v>0</v>
      </c>
      <c r="D335" s="42">
        <f t="shared" si="91"/>
        <v>0</v>
      </c>
      <c r="E335" s="113">
        <f>'2016 Proposed'!$B$6</f>
        <v>0</v>
      </c>
      <c r="F335" s="7">
        <f t="shared" si="92"/>
        <v>0</v>
      </c>
      <c r="G335" s="85"/>
      <c r="H335" s="55">
        <f>'2015 Approved'!$M$6</f>
        <v>0.77</v>
      </c>
      <c r="I335" s="42">
        <f t="shared" si="93"/>
        <v>0.77</v>
      </c>
      <c r="J335" s="113">
        <f>'2016 Proposed'!$B$6</f>
        <v>0</v>
      </c>
      <c r="K335" s="7">
        <f t="shared" si="94"/>
        <v>0</v>
      </c>
      <c r="L335" s="85"/>
      <c r="M335" s="55">
        <f>'2015 Approved'!$T$6</f>
        <v>0</v>
      </c>
      <c r="N335" s="42">
        <f t="shared" si="95"/>
        <v>0</v>
      </c>
      <c r="O335" s="113">
        <f>'2016 Proposed'!$B$6</f>
        <v>0</v>
      </c>
      <c r="P335" s="7">
        <f t="shared" si="96"/>
        <v>0</v>
      </c>
      <c r="Q335" s="85"/>
      <c r="R335" s="55">
        <f>'2015 Approved'!$X$6</f>
        <v>0</v>
      </c>
      <c r="S335" s="42">
        <f t="shared" si="97"/>
        <v>0</v>
      </c>
      <c r="T335" s="113">
        <f>'2016 Proposed'!$B$6</f>
        <v>0</v>
      </c>
      <c r="U335" s="7">
        <f t="shared" si="98"/>
        <v>0</v>
      </c>
      <c r="V335" s="85"/>
    </row>
    <row r="336" spans="1:22" x14ac:dyDescent="0.25">
      <c r="A336" s="139">
        <f t="shared" si="90"/>
        <v>15</v>
      </c>
      <c r="B336" s="85" t="s">
        <v>6</v>
      </c>
      <c r="C336" s="55">
        <f>'2015 Approved'!$B$322</f>
        <v>0</v>
      </c>
      <c r="D336" s="42">
        <f t="shared" si="91"/>
        <v>0</v>
      </c>
      <c r="E336" s="113">
        <f>'2016 Proposed'!$B$322</f>
        <v>0</v>
      </c>
      <c r="F336" s="7">
        <f t="shared" si="92"/>
        <v>0</v>
      </c>
      <c r="G336" s="85"/>
      <c r="H336" s="55">
        <f>'2015 Approved'!$M$322</f>
        <v>0</v>
      </c>
      <c r="I336" s="42">
        <f t="shared" si="93"/>
        <v>0</v>
      </c>
      <c r="J336" s="113">
        <f>'2016 Proposed'!$B$322</f>
        <v>0</v>
      </c>
      <c r="K336" s="7">
        <f t="shared" si="94"/>
        <v>0</v>
      </c>
      <c r="L336" s="85"/>
      <c r="M336" s="55">
        <f>'2015 Approved'!$T$322</f>
        <v>0</v>
      </c>
      <c r="N336" s="42">
        <f t="shared" si="95"/>
        <v>0</v>
      </c>
      <c r="O336" s="113">
        <f>'2016 Proposed'!$B$322</f>
        <v>0</v>
      </c>
      <c r="P336" s="7">
        <f t="shared" si="96"/>
        <v>0</v>
      </c>
      <c r="Q336" s="85"/>
      <c r="R336" s="55">
        <f>'2015 Approved'!$X$322</f>
        <v>0</v>
      </c>
      <c r="S336" s="42">
        <f t="shared" si="97"/>
        <v>0</v>
      </c>
      <c r="T336" s="113">
        <f>'2016 Proposed'!$B$322</f>
        <v>0</v>
      </c>
      <c r="U336" s="7">
        <f t="shared" si="98"/>
        <v>0</v>
      </c>
      <c r="V336" s="85"/>
    </row>
    <row r="337" spans="1:22" x14ac:dyDescent="0.25">
      <c r="A337" s="139">
        <f t="shared" si="90"/>
        <v>16</v>
      </c>
      <c r="B337" s="85" t="s">
        <v>95</v>
      </c>
      <c r="C337" s="55">
        <f>'2015 Approved'!$B$8</f>
        <v>0.79</v>
      </c>
      <c r="D337" s="42">
        <f t="shared" si="91"/>
        <v>0.79</v>
      </c>
      <c r="E337" s="113">
        <f>'2016 Proposed'!$B$8</f>
        <v>0.79</v>
      </c>
      <c r="F337" s="7">
        <f t="shared" si="92"/>
        <v>0.79</v>
      </c>
      <c r="G337" s="85"/>
      <c r="H337" s="55">
        <f>'2015 Approved'!$M$8</f>
        <v>0.79</v>
      </c>
      <c r="I337" s="42">
        <f t="shared" si="93"/>
        <v>0.79</v>
      </c>
      <c r="J337" s="113">
        <f>'2016 Proposed'!$B$8</f>
        <v>0.79</v>
      </c>
      <c r="K337" s="7">
        <f t="shared" si="94"/>
        <v>0.79</v>
      </c>
      <c r="L337" s="85"/>
      <c r="M337" s="55">
        <f>'2015 Approved'!$T$8</f>
        <v>0.79</v>
      </c>
      <c r="N337" s="42">
        <f t="shared" si="95"/>
        <v>0.79</v>
      </c>
      <c r="O337" s="113">
        <f>'2016 Proposed'!$B$8</f>
        <v>0.79</v>
      </c>
      <c r="P337" s="7">
        <f t="shared" si="96"/>
        <v>0.79</v>
      </c>
      <c r="Q337" s="85"/>
      <c r="R337" s="55">
        <f>'2015 Approved'!$X$8</f>
        <v>0.79</v>
      </c>
      <c r="S337" s="42">
        <f t="shared" si="97"/>
        <v>0.79</v>
      </c>
      <c r="T337" s="113">
        <f>'2016 Proposed'!$B$8</f>
        <v>0.79</v>
      </c>
      <c r="U337" s="7">
        <f t="shared" si="98"/>
        <v>0.79</v>
      </c>
      <c r="V337" s="85"/>
    </row>
    <row r="338" spans="1:22" x14ac:dyDescent="0.25">
      <c r="A338" s="139">
        <f t="shared" si="90"/>
        <v>17</v>
      </c>
      <c r="B338" s="85" t="s">
        <v>4</v>
      </c>
      <c r="C338" s="59">
        <f>D330/D322</f>
        <v>0.10213999999999998</v>
      </c>
      <c r="D338" s="42">
        <f>(D325-D322)*C338</f>
        <v>6.55738799999998</v>
      </c>
      <c r="E338" s="114">
        <f>F330/$F$322</f>
        <v>0.10213999999999998</v>
      </c>
      <c r="F338" s="7">
        <f>(F325-F322)*E338</f>
        <v>6.6033509999999849</v>
      </c>
      <c r="G338" s="85"/>
      <c r="H338" s="59">
        <f>I330/I322</f>
        <v>0.10213999999999998</v>
      </c>
      <c r="I338" s="42">
        <f>(I325-I322)*H338</f>
        <v>9.3151680000000034</v>
      </c>
      <c r="J338" s="114">
        <f>K330/$F$322</f>
        <v>0.10213999999999998</v>
      </c>
      <c r="K338" s="7">
        <f>(K325-K322)*J338</f>
        <v>6.6033509999999849</v>
      </c>
      <c r="L338" s="85"/>
      <c r="M338" s="59">
        <f>N330/N322</f>
        <v>0.10213999999999998</v>
      </c>
      <c r="N338" s="42">
        <f>(N325-N322)*M338</f>
        <v>10.142501999999993</v>
      </c>
      <c r="O338" s="114">
        <f>P330/$F$322</f>
        <v>0.10213999999999998</v>
      </c>
      <c r="P338" s="7">
        <f>(P325-P322)*O338</f>
        <v>6.6033509999999849</v>
      </c>
      <c r="Q338" s="85"/>
      <c r="R338" s="59">
        <f>S330/S322</f>
        <v>0.10213999999999998</v>
      </c>
      <c r="S338" s="42">
        <f>(S325-S322)*R338</f>
        <v>8.8861799999999977</v>
      </c>
      <c r="T338" s="114">
        <f>U330/$F$322</f>
        <v>0.10213999999999998</v>
      </c>
      <c r="U338" s="7">
        <f>(U325-U322)*T338</f>
        <v>6.6033509999999849</v>
      </c>
      <c r="V338" s="85"/>
    </row>
    <row r="339" spans="1:22" x14ac:dyDescent="0.25">
      <c r="A339" s="139">
        <f t="shared" si="90"/>
        <v>18</v>
      </c>
      <c r="B339" s="85" t="s">
        <v>90</v>
      </c>
      <c r="C339" s="59">
        <f>'2015 Approved'!$B$11</f>
        <v>8.8000000000000005E-3</v>
      </c>
      <c r="D339" s="42">
        <f t="shared" ref="D339:D348" si="99">C339*D$322</f>
        <v>13.200000000000001</v>
      </c>
      <c r="E339" s="114">
        <f>'2016 Proposed'!$B$11</f>
        <v>8.6E-3</v>
      </c>
      <c r="F339" s="7">
        <f t="shared" ref="F339:F346" si="100">E339*F$322</f>
        <v>12.9</v>
      </c>
      <c r="G339" s="85"/>
      <c r="H339" s="59">
        <f>'2015 Approved'!$M$11</f>
        <v>1.46E-2</v>
      </c>
      <c r="I339" s="42">
        <f t="shared" ref="I339:I348" si="101">H339*I$322</f>
        <v>21.9</v>
      </c>
      <c r="J339" s="114">
        <f>'2016 Proposed'!$B$11</f>
        <v>8.6E-3</v>
      </c>
      <c r="K339" s="7">
        <f t="shared" ref="K339:K346" si="102">J339*K$322</f>
        <v>12.9</v>
      </c>
      <c r="L339" s="85"/>
      <c r="M339" s="59">
        <f>'2015 Approved'!$T$11</f>
        <v>1.2699999999999999E-2</v>
      </c>
      <c r="N339" s="42">
        <f t="shared" ref="N339:N348" si="103">M339*N$322</f>
        <v>19.05</v>
      </c>
      <c r="O339" s="114">
        <f>'2016 Proposed'!$B$11</f>
        <v>8.6E-3</v>
      </c>
      <c r="P339" s="7">
        <f t="shared" ref="P339:P346" si="104">O339*P$322</f>
        <v>12.9</v>
      </c>
      <c r="Q339" s="85"/>
      <c r="R339" s="59">
        <f>'2015 Approved'!$X$11</f>
        <v>1.26E-2</v>
      </c>
      <c r="S339" s="42">
        <f t="shared" ref="S339:S348" si="105">R339*S$322</f>
        <v>18.899999999999999</v>
      </c>
      <c r="T339" s="114">
        <f>'2016 Proposed'!$B$11</f>
        <v>8.6E-3</v>
      </c>
      <c r="U339" s="7">
        <f t="shared" ref="U339:U346" si="106">T339*U$322</f>
        <v>12.9</v>
      </c>
      <c r="V339" s="85"/>
    </row>
    <row r="340" spans="1:22" x14ac:dyDescent="0.25">
      <c r="A340" s="139">
        <f t="shared" si="90"/>
        <v>19</v>
      </c>
      <c r="B340" s="85" t="s">
        <v>8</v>
      </c>
      <c r="C340" s="59">
        <f>'2015 Approved'!$B$12</f>
        <v>2.9999999999999997E-4</v>
      </c>
      <c r="D340" s="42">
        <f t="shared" si="99"/>
        <v>0.44999999999999996</v>
      </c>
      <c r="E340" s="114">
        <f>'2016 Proposed'!$B$13</f>
        <v>1.8E-3</v>
      </c>
      <c r="F340" s="7">
        <f t="shared" si="100"/>
        <v>2.6999999999999997</v>
      </c>
      <c r="G340" s="85"/>
      <c r="H340" s="59">
        <f>'2015 Approved'!$M$12</f>
        <v>2.9999999999999997E-4</v>
      </c>
      <c r="I340" s="42">
        <f t="shared" si="101"/>
        <v>0.44999999999999996</v>
      </c>
      <c r="J340" s="114">
        <f>'2016 Proposed'!$B$13</f>
        <v>1.8E-3</v>
      </c>
      <c r="K340" s="7">
        <f t="shared" si="102"/>
        <v>2.6999999999999997</v>
      </c>
      <c r="L340" s="85"/>
      <c r="M340" s="59">
        <f>'2015 Approved'!$T$12</f>
        <v>1.4E-3</v>
      </c>
      <c r="N340" s="42">
        <f t="shared" si="103"/>
        <v>2.1</v>
      </c>
      <c r="O340" s="114">
        <f>'2016 Proposed'!$B$13</f>
        <v>1.8E-3</v>
      </c>
      <c r="P340" s="7">
        <f t="shared" si="104"/>
        <v>2.6999999999999997</v>
      </c>
      <c r="Q340" s="85"/>
      <c r="R340" s="59">
        <f>'2015 Approved'!$X$12</f>
        <v>4.3E-3</v>
      </c>
      <c r="S340" s="42">
        <f t="shared" si="105"/>
        <v>6.45</v>
      </c>
      <c r="T340" s="114">
        <f>'2016 Proposed'!$B$13</f>
        <v>1.8E-3</v>
      </c>
      <c r="U340" s="7">
        <f t="shared" si="106"/>
        <v>2.6999999999999997</v>
      </c>
      <c r="V340" s="85"/>
    </row>
    <row r="341" spans="1:22" x14ac:dyDescent="0.25">
      <c r="A341" s="139">
        <f t="shared" si="90"/>
        <v>20</v>
      </c>
      <c r="B341" s="85" t="s">
        <v>87</v>
      </c>
      <c r="C341" s="59">
        <f>'2015 Approved'!$B$13</f>
        <v>0</v>
      </c>
      <c r="D341" s="42">
        <f t="shared" si="99"/>
        <v>0</v>
      </c>
      <c r="E341" s="114">
        <f>'2016 Proposed'!$B$14</f>
        <v>0</v>
      </c>
      <c r="F341" s="7">
        <f t="shared" si="100"/>
        <v>0</v>
      </c>
      <c r="G341" s="85"/>
      <c r="H341" s="59">
        <f>'2015 Approved'!$M$13</f>
        <v>2.0000000000000001E-4</v>
      </c>
      <c r="I341" s="42">
        <f t="shared" si="101"/>
        <v>0.3</v>
      </c>
      <c r="J341" s="114">
        <f>'2016 Proposed'!$B$14</f>
        <v>0</v>
      </c>
      <c r="K341" s="7">
        <f t="shared" si="102"/>
        <v>0</v>
      </c>
      <c r="L341" s="85"/>
      <c r="M341" s="59">
        <f>'2015 Approved'!$T$13</f>
        <v>0</v>
      </c>
      <c r="N341" s="42">
        <f t="shared" si="103"/>
        <v>0</v>
      </c>
      <c r="O341" s="114">
        <f>'2016 Proposed'!$B$14</f>
        <v>0</v>
      </c>
      <c r="P341" s="7">
        <f t="shared" si="104"/>
        <v>0</v>
      </c>
      <c r="Q341" s="85"/>
      <c r="R341" s="59">
        <f>'2015 Approved'!$X$13</f>
        <v>0</v>
      </c>
      <c r="S341" s="42">
        <f t="shared" si="105"/>
        <v>0</v>
      </c>
      <c r="T341" s="114">
        <f>'2016 Proposed'!$B$14</f>
        <v>0</v>
      </c>
      <c r="U341" s="7">
        <f t="shared" si="106"/>
        <v>0</v>
      </c>
      <c r="V341" s="85"/>
    </row>
    <row r="342" spans="1:22" x14ac:dyDescent="0.25">
      <c r="A342" s="139">
        <f t="shared" si="90"/>
        <v>21</v>
      </c>
      <c r="B342" s="85" t="s">
        <v>9</v>
      </c>
      <c r="C342" s="59">
        <f>'2015 Approved'!$B$14</f>
        <v>1E-4</v>
      </c>
      <c r="D342" s="42">
        <f t="shared" si="99"/>
        <v>0.15</v>
      </c>
      <c r="E342" s="114">
        <f>'2016 Proposed'!$B$15</f>
        <v>2.0000000000000001E-4</v>
      </c>
      <c r="F342" s="7">
        <f t="shared" si="100"/>
        <v>0.3</v>
      </c>
      <c r="G342" s="85"/>
      <c r="H342" s="59">
        <f>'2015 Approved'!$M$14</f>
        <v>2.0000000000000001E-4</v>
      </c>
      <c r="I342" s="42">
        <f t="shared" si="101"/>
        <v>0.3</v>
      </c>
      <c r="J342" s="114">
        <f>'2016 Proposed'!$B$15</f>
        <v>2.0000000000000001E-4</v>
      </c>
      <c r="K342" s="7">
        <f t="shared" si="102"/>
        <v>0.3</v>
      </c>
      <c r="L342" s="85"/>
      <c r="M342" s="59">
        <f>'2015 Approved'!$T$14</f>
        <v>0</v>
      </c>
      <c r="N342" s="42">
        <f t="shared" si="103"/>
        <v>0</v>
      </c>
      <c r="O342" s="114">
        <f>'2016 Proposed'!$B$15</f>
        <v>2.0000000000000001E-4</v>
      </c>
      <c r="P342" s="7">
        <f t="shared" si="104"/>
        <v>0.3</v>
      </c>
      <c r="Q342" s="85"/>
      <c r="R342" s="59">
        <f>'2015 Approved'!$X$14</f>
        <v>0</v>
      </c>
      <c r="S342" s="42">
        <f t="shared" si="105"/>
        <v>0</v>
      </c>
      <c r="T342" s="114">
        <f>'2016 Proposed'!$B$15</f>
        <v>2.0000000000000001E-4</v>
      </c>
      <c r="U342" s="7">
        <f t="shared" si="106"/>
        <v>0.3</v>
      </c>
      <c r="V342" s="85"/>
    </row>
    <row r="343" spans="1:22" x14ac:dyDescent="0.25">
      <c r="A343" s="139">
        <f t="shared" si="90"/>
        <v>22</v>
      </c>
      <c r="B343" s="85" t="s">
        <v>10</v>
      </c>
      <c r="C343" s="59">
        <f>'2015 Approved'!$B$15</f>
        <v>-2.0000000000000001E-4</v>
      </c>
      <c r="D343" s="42">
        <f t="shared" si="99"/>
        <v>-0.3</v>
      </c>
      <c r="E343" s="114">
        <f>'2016 Proposed'!$B$16</f>
        <v>0</v>
      </c>
      <c r="F343" s="7">
        <f t="shared" si="100"/>
        <v>0</v>
      </c>
      <c r="G343" s="85"/>
      <c r="H343" s="59">
        <f>'2015 Approved'!$M$15</f>
        <v>-2.0000000000000001E-4</v>
      </c>
      <c r="I343" s="42">
        <f t="shared" si="101"/>
        <v>-0.3</v>
      </c>
      <c r="J343" s="114">
        <f>'2016 Proposed'!$B$16</f>
        <v>0</v>
      </c>
      <c r="K343" s="7">
        <f t="shared" si="102"/>
        <v>0</v>
      </c>
      <c r="L343" s="85"/>
      <c r="M343" s="59">
        <f>'2015 Approved'!$T$15</f>
        <v>0</v>
      </c>
      <c r="N343" s="42">
        <f t="shared" si="103"/>
        <v>0</v>
      </c>
      <c r="O343" s="114">
        <f>'2016 Proposed'!$B$16</f>
        <v>0</v>
      </c>
      <c r="P343" s="7">
        <f t="shared" si="104"/>
        <v>0</v>
      </c>
      <c r="Q343" s="85"/>
      <c r="R343" s="59">
        <f>'2015 Approved'!$X$15</f>
        <v>0</v>
      </c>
      <c r="S343" s="42">
        <f t="shared" si="105"/>
        <v>0</v>
      </c>
      <c r="T343" s="114">
        <f>'2016 Proposed'!$B$16</f>
        <v>0</v>
      </c>
      <c r="U343" s="7">
        <f t="shared" si="106"/>
        <v>0</v>
      </c>
      <c r="V343" s="85"/>
    </row>
    <row r="344" spans="1:22" x14ac:dyDescent="0.25">
      <c r="A344" s="139">
        <f t="shared" si="90"/>
        <v>23</v>
      </c>
      <c r="B344" s="85" t="s">
        <v>101</v>
      </c>
      <c r="C344" s="59">
        <f>'2015 Approved'!$B$16</f>
        <v>0</v>
      </c>
      <c r="D344" s="42">
        <f t="shared" si="99"/>
        <v>0</v>
      </c>
      <c r="E344" s="114">
        <f>'2016 Proposed'!$B$17</f>
        <v>0</v>
      </c>
      <c r="F344" s="7">
        <f t="shared" si="100"/>
        <v>0</v>
      </c>
      <c r="G344" s="85"/>
      <c r="H344" s="59">
        <f>'2015 Approved'!$M$16</f>
        <v>0</v>
      </c>
      <c r="I344" s="42">
        <f t="shared" si="101"/>
        <v>0</v>
      </c>
      <c r="J344" s="114">
        <f>'2016 Proposed'!$B$17</f>
        <v>0</v>
      </c>
      <c r="K344" s="7">
        <f t="shared" si="102"/>
        <v>0</v>
      </c>
      <c r="L344" s="85"/>
      <c r="M344" s="59">
        <f>'2015 Approved'!$T$16</f>
        <v>4.0000000000000002E-4</v>
      </c>
      <c r="N344" s="42">
        <f t="shared" si="103"/>
        <v>0.6</v>
      </c>
      <c r="O344" s="114">
        <f>M344</f>
        <v>4.0000000000000002E-4</v>
      </c>
      <c r="P344" s="7">
        <f t="shared" si="104"/>
        <v>0.6</v>
      </c>
      <c r="Q344" s="85"/>
      <c r="R344" s="59">
        <f>'2015 Approved'!$X$16</f>
        <v>2.3E-3</v>
      </c>
      <c r="S344" s="42">
        <f t="shared" si="105"/>
        <v>3.4499999999999997</v>
      </c>
      <c r="T344" s="114">
        <f>R344</f>
        <v>2.3E-3</v>
      </c>
      <c r="U344" s="7">
        <f t="shared" si="106"/>
        <v>3.4499999999999997</v>
      </c>
      <c r="V344" s="85"/>
    </row>
    <row r="345" spans="1:22" x14ac:dyDescent="0.25">
      <c r="A345" s="139">
        <f t="shared" si="90"/>
        <v>24</v>
      </c>
      <c r="B345" s="85" t="s">
        <v>112</v>
      </c>
      <c r="C345" s="59">
        <f>'2015 Approved'!$B$17</f>
        <v>2.2000000000000001E-3</v>
      </c>
      <c r="D345" s="42">
        <f t="shared" si="99"/>
        <v>3.3000000000000003</v>
      </c>
      <c r="E345" s="114">
        <f>'2016 Proposed'!$B$18</f>
        <v>0</v>
      </c>
      <c r="F345" s="7">
        <f t="shared" si="100"/>
        <v>0</v>
      </c>
      <c r="G345" s="85"/>
      <c r="H345" s="59">
        <f>'2015 Approved'!$M$17</f>
        <v>1.4E-3</v>
      </c>
      <c r="I345" s="42">
        <f t="shared" si="101"/>
        <v>2.1</v>
      </c>
      <c r="J345" s="114">
        <f>'2016 Proposed'!$B$18</f>
        <v>0</v>
      </c>
      <c r="K345" s="7">
        <f t="shared" si="102"/>
        <v>0</v>
      </c>
      <c r="L345" s="85"/>
      <c r="M345" s="59">
        <f>'2015 Approved'!$T$17</f>
        <v>1.6000000000000001E-3</v>
      </c>
      <c r="N345" s="42">
        <f t="shared" si="103"/>
        <v>2.4</v>
      </c>
      <c r="O345" s="114">
        <f>'2016 Proposed'!$B$18</f>
        <v>0</v>
      </c>
      <c r="P345" s="7">
        <f t="shared" si="104"/>
        <v>0</v>
      </c>
      <c r="Q345" s="85"/>
      <c r="R345" s="59">
        <f>'2015 Approved'!$X$17</f>
        <v>5.1999999999999998E-3</v>
      </c>
      <c r="S345" s="42">
        <f t="shared" si="105"/>
        <v>7.8</v>
      </c>
      <c r="T345" s="114">
        <f>'2016 Proposed'!$B$18</f>
        <v>0</v>
      </c>
      <c r="U345" s="7">
        <f t="shared" si="106"/>
        <v>0</v>
      </c>
      <c r="V345" s="85"/>
    </row>
    <row r="346" spans="1:22" x14ac:dyDescent="0.25">
      <c r="A346" s="139">
        <f t="shared" si="90"/>
        <v>25</v>
      </c>
      <c r="B346" s="85" t="s">
        <v>102</v>
      </c>
      <c r="C346" s="59">
        <f>'2015 Approved'!$B$18</f>
        <v>0</v>
      </c>
      <c r="D346" s="42">
        <f t="shared" si="99"/>
        <v>0</v>
      </c>
      <c r="E346" s="114">
        <f>'2016 Proposed'!$B$19</f>
        <v>1.5E-3</v>
      </c>
      <c r="F346" s="7">
        <f t="shared" si="100"/>
        <v>2.25</v>
      </c>
      <c r="G346" s="85"/>
      <c r="H346" s="59">
        <f>'2015 Approved'!$M$18</f>
        <v>0</v>
      </c>
      <c r="I346" s="42">
        <f t="shared" si="101"/>
        <v>0</v>
      </c>
      <c r="J346" s="114">
        <f>'2016 Proposed'!$B$19</f>
        <v>1.5E-3</v>
      </c>
      <c r="K346" s="7">
        <f t="shared" si="102"/>
        <v>2.25</v>
      </c>
      <c r="L346" s="85"/>
      <c r="M346" s="59">
        <f>'2015 Approved'!$T$18</f>
        <v>0</v>
      </c>
      <c r="N346" s="42">
        <f t="shared" si="103"/>
        <v>0</v>
      </c>
      <c r="O346" s="114">
        <f>'2016 Proposed'!$B$19</f>
        <v>1.5E-3</v>
      </c>
      <c r="P346" s="7">
        <f t="shared" si="104"/>
        <v>2.25</v>
      </c>
      <c r="Q346" s="85"/>
      <c r="R346" s="59">
        <f>'2015 Approved'!$X$18</f>
        <v>0</v>
      </c>
      <c r="S346" s="42">
        <f t="shared" si="105"/>
        <v>0</v>
      </c>
      <c r="T346" s="114">
        <f>'2016 Proposed'!$B$19</f>
        <v>1.5E-3</v>
      </c>
      <c r="U346" s="7">
        <f t="shared" si="106"/>
        <v>2.25</v>
      </c>
      <c r="V346" s="85"/>
    </row>
    <row r="347" spans="1:22" x14ac:dyDescent="0.25">
      <c r="A347" s="139">
        <f t="shared" si="90"/>
        <v>26</v>
      </c>
      <c r="B347" s="85" t="s">
        <v>94</v>
      </c>
      <c r="C347" s="59">
        <f>'2015 Approved'!$B$19</f>
        <v>0</v>
      </c>
      <c r="D347" s="42">
        <f t="shared" si="99"/>
        <v>0</v>
      </c>
      <c r="E347" s="114">
        <f>'2016 Proposed'!$B$20</f>
        <v>0.47</v>
      </c>
      <c r="F347" s="7">
        <f>E347</f>
        <v>0.47</v>
      </c>
      <c r="G347" s="85"/>
      <c r="H347" s="59">
        <f>'2015 Approved'!$M$19</f>
        <v>0</v>
      </c>
      <c r="I347" s="42">
        <f t="shared" si="101"/>
        <v>0</v>
      </c>
      <c r="J347" s="114">
        <f>'2016 Proposed'!$B$20</f>
        <v>0.47</v>
      </c>
      <c r="K347" s="7">
        <f>J347</f>
        <v>0.47</v>
      </c>
      <c r="L347" s="85"/>
      <c r="M347" s="59">
        <f>'2015 Approved'!$T$19</f>
        <v>0</v>
      </c>
      <c r="N347" s="42">
        <f t="shared" si="103"/>
        <v>0</v>
      </c>
      <c r="O347" s="114">
        <f>'2016 Proposed'!$B$20</f>
        <v>0.47</v>
      </c>
      <c r="P347" s="7">
        <f>O347</f>
        <v>0.47</v>
      </c>
      <c r="Q347" s="85"/>
      <c r="R347" s="59">
        <f>'2015 Approved'!$X$19</f>
        <v>0</v>
      </c>
      <c r="S347" s="42">
        <f t="shared" si="105"/>
        <v>0</v>
      </c>
      <c r="T347" s="114">
        <f>'2016 Proposed'!$B$20</f>
        <v>0.47</v>
      </c>
      <c r="U347" s="7">
        <f>T347</f>
        <v>0.47</v>
      </c>
      <c r="V347" s="85"/>
    </row>
    <row r="348" spans="1:22" x14ac:dyDescent="0.25">
      <c r="A348" s="139">
        <f t="shared" si="90"/>
        <v>27</v>
      </c>
      <c r="B348" s="85" t="s">
        <v>104</v>
      </c>
      <c r="C348" s="59">
        <f>'2015 Approved'!$B$20</f>
        <v>0</v>
      </c>
      <c r="D348" s="42">
        <f t="shared" si="99"/>
        <v>0</v>
      </c>
      <c r="E348" s="114">
        <f>'2016 Proposed'!$B$21</f>
        <v>-1.4</v>
      </c>
      <c r="F348" s="7">
        <f>E348</f>
        <v>-1.4</v>
      </c>
      <c r="G348" s="85"/>
      <c r="H348" s="59">
        <f>'2015 Approved'!$M$20</f>
        <v>0</v>
      </c>
      <c r="I348" s="42">
        <f t="shared" si="101"/>
        <v>0</v>
      </c>
      <c r="J348" s="114">
        <f>'2016 Proposed'!$B$21</f>
        <v>-1.4</v>
      </c>
      <c r="K348" s="7">
        <f>J348</f>
        <v>-1.4</v>
      </c>
      <c r="L348" s="85"/>
      <c r="M348" s="59">
        <f>'2015 Approved'!$T$20</f>
        <v>0</v>
      </c>
      <c r="N348" s="42">
        <f t="shared" si="103"/>
        <v>0</v>
      </c>
      <c r="O348" s="114">
        <f>'2016 Proposed'!$B$21</f>
        <v>-1.4</v>
      </c>
      <c r="P348" s="7">
        <f>O348</f>
        <v>-1.4</v>
      </c>
      <c r="Q348" s="85"/>
      <c r="R348" s="59">
        <f>'2015 Approved'!$X$20</f>
        <v>0</v>
      </c>
      <c r="S348" s="42">
        <f t="shared" si="105"/>
        <v>0</v>
      </c>
      <c r="T348" s="114">
        <f>'2016 Proposed'!$B$21</f>
        <v>-1.4</v>
      </c>
      <c r="U348" s="7">
        <f>T348</f>
        <v>-1.4</v>
      </c>
      <c r="V348" s="85"/>
    </row>
    <row r="349" spans="1:22" x14ac:dyDescent="0.25">
      <c r="A349" s="142">
        <f t="shared" si="90"/>
        <v>28</v>
      </c>
      <c r="B349" s="143" t="s">
        <v>26</v>
      </c>
      <c r="C349" s="126"/>
      <c r="D349" s="96">
        <f>SUM(D333:D348)</f>
        <v>43.127387999999982</v>
      </c>
      <c r="E349" s="110"/>
      <c r="F349" s="95">
        <f>SUM(F333:F348)</f>
        <v>43.593350999999984</v>
      </c>
      <c r="G349" s="127">
        <f>F349-D349</f>
        <v>0.46596300000000213</v>
      </c>
      <c r="H349" s="126"/>
      <c r="I349" s="96">
        <f>SUM(I333:I348)</f>
        <v>51.285168000000006</v>
      </c>
      <c r="J349" s="110"/>
      <c r="K349" s="95">
        <f>SUM(K333:K348)</f>
        <v>43.593350999999984</v>
      </c>
      <c r="L349" s="127">
        <f>K349-I349</f>
        <v>-7.6918170000000217</v>
      </c>
      <c r="M349" s="126"/>
      <c r="N349" s="96">
        <f>SUM(N333:N348)</f>
        <v>49.722501999999999</v>
      </c>
      <c r="O349" s="110"/>
      <c r="P349" s="95">
        <f>SUM(P333:P348)</f>
        <v>44.193350999999986</v>
      </c>
      <c r="Q349" s="127">
        <f>P349-N349</f>
        <v>-5.529151000000013</v>
      </c>
      <c r="R349" s="126"/>
      <c r="S349" s="96">
        <f>SUM(S333:S348)</f>
        <v>59.566179999999996</v>
      </c>
      <c r="T349" s="110"/>
      <c r="U349" s="95">
        <f>SUM(U333:U348)</f>
        <v>47.043350999999987</v>
      </c>
      <c r="V349" s="127">
        <f>U349-S349</f>
        <v>-12.522829000000009</v>
      </c>
    </row>
    <row r="350" spans="1:22" x14ac:dyDescent="0.25">
      <c r="A350" s="144">
        <f t="shared" si="90"/>
        <v>29</v>
      </c>
      <c r="B350" s="145" t="s">
        <v>118</v>
      </c>
      <c r="C350" s="128"/>
      <c r="D350" s="120"/>
      <c r="E350" s="111"/>
      <c r="F350" s="97"/>
      <c r="G350" s="129">
        <f>G349/D349</f>
        <v>1.0804340851804017E-2</v>
      </c>
      <c r="H350" s="128"/>
      <c r="I350" s="120"/>
      <c r="J350" s="111"/>
      <c r="K350" s="97"/>
      <c r="L350" s="129">
        <f>L349/I349</f>
        <v>-0.14998131623552488</v>
      </c>
      <c r="M350" s="128"/>
      <c r="N350" s="120"/>
      <c r="O350" s="111"/>
      <c r="P350" s="97"/>
      <c r="Q350" s="129">
        <f>Q349/N349</f>
        <v>-0.11120017653174438</v>
      </c>
      <c r="R350" s="128"/>
      <c r="S350" s="120"/>
      <c r="T350" s="111"/>
      <c r="U350" s="97"/>
      <c r="V350" s="129">
        <f>V349/S349</f>
        <v>-0.21023387768025428</v>
      </c>
    </row>
    <row r="351" spans="1:22" x14ac:dyDescent="0.25">
      <c r="A351" s="146">
        <f t="shared" si="90"/>
        <v>30</v>
      </c>
      <c r="B351" s="131" t="s">
        <v>29</v>
      </c>
      <c r="C351" s="130"/>
      <c r="D351" s="121"/>
      <c r="E351" s="112"/>
      <c r="F351" s="94"/>
      <c r="G351" s="131"/>
      <c r="H351" s="130"/>
      <c r="I351" s="121"/>
      <c r="J351" s="112"/>
      <c r="K351" s="94"/>
      <c r="L351" s="131"/>
      <c r="M351" s="130"/>
      <c r="N351" s="121"/>
      <c r="O351" s="112"/>
      <c r="P351" s="94"/>
      <c r="Q351" s="131"/>
      <c r="R351" s="130"/>
      <c r="S351" s="121"/>
      <c r="T351" s="112"/>
      <c r="U351" s="94"/>
      <c r="V351" s="131"/>
    </row>
    <row r="352" spans="1:22" x14ac:dyDescent="0.25">
      <c r="A352" s="139">
        <f t="shared" si="90"/>
        <v>31</v>
      </c>
      <c r="B352" s="85" t="s">
        <v>68</v>
      </c>
      <c r="C352" s="59">
        <f>'2015 Approved'!$B$26</f>
        <v>7.4000000000000003E-3</v>
      </c>
      <c r="D352" s="42">
        <f>C352*D$325</f>
        <v>11.57508</v>
      </c>
      <c r="E352" s="114">
        <f>'2016 Proposed'!$B$28</f>
        <v>7.3000000000000001E-3</v>
      </c>
      <c r="F352" s="7">
        <f>E352*F$325</f>
        <v>11.421944999999999</v>
      </c>
      <c r="G352" s="85"/>
      <c r="H352" s="59">
        <f>'2015 Approved'!$M$26</f>
        <v>7.1999999999999998E-3</v>
      </c>
      <c r="I352" s="42">
        <f>H352*I$325</f>
        <v>11.45664</v>
      </c>
      <c r="J352" s="114">
        <f>'2016 Proposed'!$B$28</f>
        <v>7.3000000000000001E-3</v>
      </c>
      <c r="K352" s="7">
        <f>J352*K$325</f>
        <v>11.421944999999999</v>
      </c>
      <c r="L352" s="85"/>
      <c r="M352" s="59">
        <f>'2015 Approved'!$T$26</f>
        <v>7.6E-3</v>
      </c>
      <c r="N352" s="42">
        <f>M352*N$325</f>
        <v>12.154679999999999</v>
      </c>
      <c r="O352" s="114">
        <f>'2016 Proposed'!$B$28</f>
        <v>7.3000000000000001E-3</v>
      </c>
      <c r="P352" s="7">
        <f>O352*P$325</f>
        <v>11.421944999999999</v>
      </c>
      <c r="Q352" s="85"/>
      <c r="R352" s="59">
        <f>'2015 Approved'!$X$26</f>
        <v>7.4450068112693092E-3</v>
      </c>
      <c r="S352" s="42">
        <f>R352*S$325</f>
        <v>11.815225809484394</v>
      </c>
      <c r="T352" s="114">
        <f>'2016 Proposed'!$B$28</f>
        <v>7.3000000000000001E-3</v>
      </c>
      <c r="U352" s="7">
        <f>T352*U$325</f>
        <v>11.421944999999999</v>
      </c>
      <c r="V352" s="85"/>
    </row>
    <row r="353" spans="1:22" x14ac:dyDescent="0.25">
      <c r="A353" s="139">
        <f t="shared" si="90"/>
        <v>32</v>
      </c>
      <c r="B353" s="85" t="s">
        <v>69</v>
      </c>
      <c r="C353" s="59">
        <f>'2015 Approved'!$B$27</f>
        <v>5.3E-3</v>
      </c>
      <c r="D353" s="42">
        <f>C353*D$325</f>
        <v>8.2902599999999982</v>
      </c>
      <c r="E353" s="114">
        <f>'2016 Proposed'!$B$29</f>
        <v>5.4000000000000003E-3</v>
      </c>
      <c r="F353" s="7">
        <f>E353*F$325</f>
        <v>8.4491099999999992</v>
      </c>
      <c r="G353" s="85"/>
      <c r="H353" s="59">
        <f>'2015 Approved'!$M$27</f>
        <v>5.1000000000000004E-3</v>
      </c>
      <c r="I353" s="42">
        <f>H353*I$325</f>
        <v>8.115120000000001</v>
      </c>
      <c r="J353" s="114">
        <f>'2016 Proposed'!$B$29</f>
        <v>5.4000000000000003E-3</v>
      </c>
      <c r="K353" s="7">
        <f>J353*K$325</f>
        <v>8.4491099999999992</v>
      </c>
      <c r="L353" s="85"/>
      <c r="M353" s="59">
        <f>'2015 Approved'!$T$27</f>
        <v>5.5999999999999999E-3</v>
      </c>
      <c r="N353" s="42">
        <f>M353*N$325</f>
        <v>8.95608</v>
      </c>
      <c r="O353" s="114">
        <f>'2016 Proposed'!$B$29</f>
        <v>5.4000000000000003E-3</v>
      </c>
      <c r="P353" s="7">
        <f>O353*P$325</f>
        <v>8.4491099999999992</v>
      </c>
      <c r="Q353" s="85"/>
      <c r="R353" s="59">
        <f>'2015 Approved'!$X$27</f>
        <v>3.7551994493456586E-3</v>
      </c>
      <c r="S353" s="42">
        <f>R353*S$325</f>
        <v>5.95950152611156</v>
      </c>
      <c r="T353" s="114">
        <f>'2016 Proposed'!$B$29</f>
        <v>5.4000000000000003E-3</v>
      </c>
      <c r="U353" s="7">
        <f>T353*U$325</f>
        <v>8.4491099999999992</v>
      </c>
      <c r="V353" s="85"/>
    </row>
    <row r="354" spans="1:22" x14ac:dyDescent="0.25">
      <c r="A354" s="142">
        <f t="shared" si="90"/>
        <v>33</v>
      </c>
      <c r="B354" s="143" t="s">
        <v>26</v>
      </c>
      <c r="C354" s="126"/>
      <c r="D354" s="96">
        <f>SUM(D352:D353)</f>
        <v>19.865339999999996</v>
      </c>
      <c r="E354" s="110"/>
      <c r="F354" s="95">
        <f>SUM(F352:F353)</f>
        <v>19.871054999999998</v>
      </c>
      <c r="G354" s="127">
        <f>F354-D354</f>
        <v>5.715000000002135E-3</v>
      </c>
      <c r="H354" s="126"/>
      <c r="I354" s="96">
        <f>SUM(I352:I353)</f>
        <v>19.571760000000001</v>
      </c>
      <c r="J354" s="110"/>
      <c r="K354" s="95">
        <f>SUM(K352:K353)</f>
        <v>19.871054999999998</v>
      </c>
      <c r="L354" s="127">
        <f>K354-I354</f>
        <v>0.2992949999999972</v>
      </c>
      <c r="M354" s="126"/>
      <c r="N354" s="96">
        <f>SUM(N352:N353)</f>
        <v>21.110759999999999</v>
      </c>
      <c r="O354" s="110"/>
      <c r="P354" s="95">
        <f>SUM(P352:P353)</f>
        <v>19.871054999999998</v>
      </c>
      <c r="Q354" s="127">
        <f>P354-N354</f>
        <v>-1.2397050000000007</v>
      </c>
      <c r="R354" s="126"/>
      <c r="S354" s="96">
        <f>SUM(S352:S353)</f>
        <v>17.774727335595955</v>
      </c>
      <c r="T354" s="110"/>
      <c r="U354" s="95">
        <f>SUM(U352:U353)</f>
        <v>19.871054999999998</v>
      </c>
      <c r="V354" s="127">
        <f>U354-S354</f>
        <v>2.0963276644040434</v>
      </c>
    </row>
    <row r="355" spans="1:22" x14ac:dyDescent="0.25">
      <c r="A355" s="144">
        <f t="shared" si="90"/>
        <v>34</v>
      </c>
      <c r="B355" s="145" t="s">
        <v>118</v>
      </c>
      <c r="C355" s="128"/>
      <c r="D355" s="120"/>
      <c r="E355" s="111"/>
      <c r="F355" s="97"/>
      <c r="G355" s="129">
        <f>G354/D354</f>
        <v>2.8768699654786359E-4</v>
      </c>
      <c r="H355" s="128"/>
      <c r="I355" s="120"/>
      <c r="J355" s="111"/>
      <c r="K355" s="97"/>
      <c r="L355" s="129">
        <f>L354/I354</f>
        <v>1.529218629290351E-2</v>
      </c>
      <c r="M355" s="128"/>
      <c r="N355" s="120"/>
      <c r="O355" s="111"/>
      <c r="P355" s="97"/>
      <c r="Q355" s="129">
        <f>Q354/N354</f>
        <v>-5.8723845091318401E-2</v>
      </c>
      <c r="R355" s="128"/>
      <c r="S355" s="120"/>
      <c r="T355" s="111"/>
      <c r="U355" s="97"/>
      <c r="V355" s="129">
        <f>V354/S354</f>
        <v>0.11793866790889691</v>
      </c>
    </row>
    <row r="356" spans="1:22" x14ac:dyDescent="0.25">
      <c r="A356" s="146">
        <f t="shared" si="90"/>
        <v>35</v>
      </c>
      <c r="B356" s="131" t="s">
        <v>30</v>
      </c>
      <c r="C356" s="130"/>
      <c r="D356" s="121"/>
      <c r="E356" s="112"/>
      <c r="F356" s="94"/>
      <c r="G356" s="131"/>
      <c r="H356" s="130"/>
      <c r="I356" s="121"/>
      <c r="J356" s="112"/>
      <c r="K356" s="94"/>
      <c r="L356" s="131"/>
      <c r="M356" s="130"/>
      <c r="N356" s="121"/>
      <c r="O356" s="112"/>
      <c r="P356" s="94"/>
      <c r="Q356" s="131"/>
      <c r="R356" s="130"/>
      <c r="S356" s="121"/>
      <c r="T356" s="112"/>
      <c r="U356" s="94"/>
      <c r="V356" s="131"/>
    </row>
    <row r="357" spans="1:22" x14ac:dyDescent="0.25">
      <c r="A357" s="139">
        <f t="shared" si="90"/>
        <v>36</v>
      </c>
      <c r="B357" s="85" t="s">
        <v>66</v>
      </c>
      <c r="C357" s="59">
        <f>WMSR+RRRP</f>
        <v>5.7000000000000002E-3</v>
      </c>
      <c r="D357" s="42">
        <f>C357*D325</f>
        <v>8.9159399999999991</v>
      </c>
      <c r="E357" s="114">
        <f>WMSR+RRRP</f>
        <v>5.7000000000000002E-3</v>
      </c>
      <c r="F357" s="7">
        <f>E357*F325</f>
        <v>8.9185049999999997</v>
      </c>
      <c r="G357" s="85"/>
      <c r="H357" s="59">
        <f>WMSR+RRRP</f>
        <v>5.7000000000000002E-3</v>
      </c>
      <c r="I357" s="42">
        <f>H357*I325</f>
        <v>9.069840000000001</v>
      </c>
      <c r="J357" s="114">
        <f>WMSR+RRRP</f>
        <v>5.7000000000000002E-3</v>
      </c>
      <c r="K357" s="7">
        <f>J357*K325</f>
        <v>8.9185049999999997</v>
      </c>
      <c r="L357" s="85"/>
      <c r="M357" s="59">
        <f>WMSR+RRRP</f>
        <v>5.7000000000000002E-3</v>
      </c>
      <c r="N357" s="42">
        <f>M357*N325</f>
        <v>9.1160099999999993</v>
      </c>
      <c r="O357" s="114">
        <f>WMSR+RRRP</f>
        <v>5.7000000000000002E-3</v>
      </c>
      <c r="P357" s="7">
        <f>O357*P325</f>
        <v>8.9185049999999997</v>
      </c>
      <c r="Q357" s="85"/>
      <c r="R357" s="59">
        <f>WMSR+RRRP</f>
        <v>5.7000000000000002E-3</v>
      </c>
      <c r="S357" s="42">
        <f>R357*S325</f>
        <v>9.0458999999999996</v>
      </c>
      <c r="T357" s="114">
        <f>WMSR+RRRP</f>
        <v>5.7000000000000002E-3</v>
      </c>
      <c r="U357" s="7">
        <f>T357*U325</f>
        <v>8.9185049999999997</v>
      </c>
      <c r="V357" s="85"/>
    </row>
    <row r="358" spans="1:22" x14ac:dyDescent="0.25">
      <c r="A358" s="139">
        <f t="shared" si="90"/>
        <v>37</v>
      </c>
      <c r="B358" s="85" t="s">
        <v>67</v>
      </c>
      <c r="C358" s="59">
        <f>SSS</f>
        <v>0.25</v>
      </c>
      <c r="D358" s="42">
        <f>C358</f>
        <v>0.25</v>
      </c>
      <c r="E358" s="114">
        <f>SSS</f>
        <v>0.25</v>
      </c>
      <c r="F358" s="7">
        <f>E358</f>
        <v>0.25</v>
      </c>
      <c r="G358" s="85"/>
      <c r="H358" s="59">
        <f>SSS</f>
        <v>0.25</v>
      </c>
      <c r="I358" s="42">
        <f>H358</f>
        <v>0.25</v>
      </c>
      <c r="J358" s="114">
        <f>SSS</f>
        <v>0.25</v>
      </c>
      <c r="K358" s="7">
        <f>J358</f>
        <v>0.25</v>
      </c>
      <c r="L358" s="85"/>
      <c r="M358" s="59">
        <f>SSS</f>
        <v>0.25</v>
      </c>
      <c r="N358" s="42">
        <f>M358</f>
        <v>0.25</v>
      </c>
      <c r="O358" s="114">
        <f>SSS</f>
        <v>0.25</v>
      </c>
      <c r="P358" s="7">
        <f>O358</f>
        <v>0.25</v>
      </c>
      <c r="Q358" s="85"/>
      <c r="R358" s="59">
        <f>SSS</f>
        <v>0.25</v>
      </c>
      <c r="S358" s="42">
        <f>R358</f>
        <v>0.25</v>
      </c>
      <c r="T358" s="114">
        <f>SSS</f>
        <v>0.25</v>
      </c>
      <c r="U358" s="7">
        <f>T358</f>
        <v>0.25</v>
      </c>
      <c r="V358" s="85"/>
    </row>
    <row r="359" spans="1:22" x14ac:dyDescent="0.25">
      <c r="A359" s="139">
        <f t="shared" si="90"/>
        <v>38</v>
      </c>
      <c r="B359" s="85" t="s">
        <v>11</v>
      </c>
      <c r="C359" s="59">
        <v>7.0000000000000001E-3</v>
      </c>
      <c r="D359" s="42">
        <f>C359*D322</f>
        <v>10.5</v>
      </c>
      <c r="E359" s="114">
        <v>7.0000000000000001E-3</v>
      </c>
      <c r="F359" s="7">
        <f>E359*F322</f>
        <v>10.5</v>
      </c>
      <c r="G359" s="85"/>
      <c r="H359" s="59">
        <v>7.0000000000000001E-3</v>
      </c>
      <c r="I359" s="42">
        <f>H359*I322</f>
        <v>10.5</v>
      </c>
      <c r="J359" s="114">
        <v>7.0000000000000001E-3</v>
      </c>
      <c r="K359" s="7">
        <f>J359*K322</f>
        <v>10.5</v>
      </c>
      <c r="L359" s="85"/>
      <c r="M359" s="59">
        <v>7.0000000000000001E-3</v>
      </c>
      <c r="N359" s="42">
        <f>M359*N322</f>
        <v>10.5</v>
      </c>
      <c r="O359" s="114">
        <v>7.0000000000000001E-3</v>
      </c>
      <c r="P359" s="7">
        <f>O359*P322</f>
        <v>10.5</v>
      </c>
      <c r="Q359" s="85"/>
      <c r="R359" s="59">
        <v>7.0000000000000001E-3</v>
      </c>
      <c r="S359" s="42">
        <f>R359*S322</f>
        <v>10.5</v>
      </c>
      <c r="T359" s="114">
        <v>7.0000000000000001E-3</v>
      </c>
      <c r="U359" s="7">
        <f>T359*U322</f>
        <v>10.5</v>
      </c>
      <c r="V359" s="85"/>
    </row>
    <row r="360" spans="1:22" x14ac:dyDescent="0.25">
      <c r="A360" s="139">
        <f t="shared" si="90"/>
        <v>39</v>
      </c>
      <c r="B360" s="85" t="s">
        <v>31</v>
      </c>
      <c r="C360" s="86">
        <v>0</v>
      </c>
      <c r="D360" s="42"/>
      <c r="E360" s="106">
        <v>0</v>
      </c>
      <c r="F360" s="7"/>
      <c r="G360" s="85"/>
      <c r="H360" s="86">
        <v>0</v>
      </c>
      <c r="I360" s="42"/>
      <c r="J360" s="106">
        <v>0</v>
      </c>
      <c r="K360" s="7"/>
      <c r="L360" s="85"/>
      <c r="M360" s="86">
        <v>0</v>
      </c>
      <c r="N360" s="42"/>
      <c r="O360" s="106">
        <v>0</v>
      </c>
      <c r="P360" s="7"/>
      <c r="Q360" s="85"/>
      <c r="R360" s="86">
        <v>0</v>
      </c>
      <c r="S360" s="42"/>
      <c r="T360" s="106">
        <v>0</v>
      </c>
      <c r="U360" s="7"/>
      <c r="V360" s="85"/>
    </row>
    <row r="361" spans="1:22" x14ac:dyDescent="0.25">
      <c r="A361" s="142">
        <f t="shared" si="90"/>
        <v>40</v>
      </c>
      <c r="B361" s="143" t="s">
        <v>12</v>
      </c>
      <c r="C361" s="126"/>
      <c r="D361" s="96">
        <f>SUM(D357:D360)</f>
        <v>19.665939999999999</v>
      </c>
      <c r="E361" s="110"/>
      <c r="F361" s="95">
        <f>SUM(F357:F360)</f>
        <v>19.668505</v>
      </c>
      <c r="G361" s="127">
        <f>F361-D361</f>
        <v>2.5650000000005946E-3</v>
      </c>
      <c r="H361" s="126"/>
      <c r="I361" s="96">
        <f>SUM(I357:I360)</f>
        <v>19.819839999999999</v>
      </c>
      <c r="J361" s="110"/>
      <c r="K361" s="95">
        <f>SUM(K357:K360)</f>
        <v>19.668505</v>
      </c>
      <c r="L361" s="127">
        <f>K361-I361</f>
        <v>-0.15133499999999955</v>
      </c>
      <c r="M361" s="126"/>
      <c r="N361" s="96">
        <f>SUM(N357:N360)</f>
        <v>19.866009999999999</v>
      </c>
      <c r="O361" s="110"/>
      <c r="P361" s="95">
        <f>SUM(P357:P360)</f>
        <v>19.668505</v>
      </c>
      <c r="Q361" s="127">
        <f>P361-N361</f>
        <v>-0.1975049999999996</v>
      </c>
      <c r="R361" s="126"/>
      <c r="S361" s="96">
        <f>SUM(S357:S360)</f>
        <v>19.7959</v>
      </c>
      <c r="T361" s="110"/>
      <c r="U361" s="95">
        <f>SUM(U357:U360)</f>
        <v>19.668505</v>
      </c>
      <c r="V361" s="127">
        <f>U361-S361</f>
        <v>-0.12739499999999992</v>
      </c>
    </row>
    <row r="362" spans="1:22" x14ac:dyDescent="0.25">
      <c r="A362" s="144">
        <f t="shared" si="90"/>
        <v>41</v>
      </c>
      <c r="B362" s="145" t="s">
        <v>118</v>
      </c>
      <c r="C362" s="128"/>
      <c r="D362" s="120"/>
      <c r="E362" s="111"/>
      <c r="F362" s="97"/>
      <c r="G362" s="129">
        <f>G361/D361</f>
        <v>1.3042854803790689E-4</v>
      </c>
      <c r="H362" s="128"/>
      <c r="I362" s="120"/>
      <c r="J362" s="111"/>
      <c r="K362" s="97"/>
      <c r="L362" s="129">
        <f>L361/I361</f>
        <v>-7.6355308620049186E-3</v>
      </c>
      <c r="M362" s="128"/>
      <c r="N362" s="120"/>
      <c r="O362" s="111"/>
      <c r="P362" s="97"/>
      <c r="Q362" s="129">
        <f>Q361/N361</f>
        <v>-9.9418554606586634E-3</v>
      </c>
      <c r="R362" s="128"/>
      <c r="S362" s="120"/>
      <c r="T362" s="111"/>
      <c r="U362" s="97"/>
      <c r="V362" s="129">
        <f>V361/S361</f>
        <v>-6.4354234967846837E-3</v>
      </c>
    </row>
    <row r="363" spans="1:22" x14ac:dyDescent="0.25">
      <c r="A363" s="147">
        <f t="shared" si="90"/>
        <v>42</v>
      </c>
      <c r="B363" s="133" t="s">
        <v>129</v>
      </c>
      <c r="C363" s="132"/>
      <c r="D363" s="122">
        <f>D330+D349+D354+D361</f>
        <v>235.86866799999999</v>
      </c>
      <c r="E363" s="115"/>
      <c r="F363" s="102">
        <f>F330+F349+F354+F361</f>
        <v>236.34291099999999</v>
      </c>
      <c r="G363" s="133"/>
      <c r="H363" s="132"/>
      <c r="I363" s="122">
        <f>I330+I349+I354+I361</f>
        <v>243.88676799999999</v>
      </c>
      <c r="J363" s="115"/>
      <c r="K363" s="102">
        <f>K330+K349+K354+K361</f>
        <v>236.34291099999999</v>
      </c>
      <c r="L363" s="133"/>
      <c r="M363" s="132"/>
      <c r="N363" s="122">
        <f>N330+N349+N354+N361</f>
        <v>243.90927199999996</v>
      </c>
      <c r="O363" s="115"/>
      <c r="P363" s="102">
        <f>P330+P349+P354+P361</f>
        <v>236.94291099999995</v>
      </c>
      <c r="Q363" s="133"/>
      <c r="R363" s="132"/>
      <c r="S363" s="122">
        <f>S330+S349+S354+S361</f>
        <v>250.34680733559591</v>
      </c>
      <c r="T363" s="115"/>
      <c r="U363" s="102">
        <f>U330+U349+U354+U361</f>
        <v>239.79291099999998</v>
      </c>
      <c r="V363" s="133"/>
    </row>
    <row r="364" spans="1:22" x14ac:dyDescent="0.25">
      <c r="A364" s="148">
        <f t="shared" si="90"/>
        <v>43</v>
      </c>
      <c r="B364" s="134" t="s">
        <v>13</v>
      </c>
      <c r="C364" s="87"/>
      <c r="D364" s="43">
        <f>D363*0.13</f>
        <v>30.662926840000001</v>
      </c>
      <c r="E364" s="116"/>
      <c r="F364" s="99">
        <f>F363*0.13</f>
        <v>30.724578429999998</v>
      </c>
      <c r="G364" s="134"/>
      <c r="H364" s="87"/>
      <c r="I364" s="43">
        <f>I363*0.13</f>
        <v>31.705279839999999</v>
      </c>
      <c r="J364" s="116"/>
      <c r="K364" s="99">
        <f>K363*0.13</f>
        <v>30.724578429999998</v>
      </c>
      <c r="L364" s="134"/>
      <c r="M364" s="87"/>
      <c r="N364" s="43">
        <f>N363*0.13</f>
        <v>31.708205359999997</v>
      </c>
      <c r="O364" s="116"/>
      <c r="P364" s="99">
        <f>P363*0.13</f>
        <v>30.802578429999993</v>
      </c>
      <c r="Q364" s="134"/>
      <c r="R364" s="87"/>
      <c r="S364" s="43">
        <f>S363*0.13</f>
        <v>32.545084953627473</v>
      </c>
      <c r="T364" s="116"/>
      <c r="U364" s="99">
        <f>U363*0.13</f>
        <v>31.173078429999997</v>
      </c>
      <c r="V364" s="134"/>
    </row>
    <row r="365" spans="1:22" x14ac:dyDescent="0.25">
      <c r="A365" s="141">
        <f t="shared" si="90"/>
        <v>44</v>
      </c>
      <c r="B365" s="125" t="s">
        <v>14</v>
      </c>
      <c r="C365" s="88"/>
      <c r="D365" s="69">
        <f>SUM(D363:D364)*-0.1</f>
        <v>-26.653159484</v>
      </c>
      <c r="E365" s="117"/>
      <c r="F365" s="70">
        <f>SUM(F363:F364)*-0.1</f>
        <v>-26.706748942999997</v>
      </c>
      <c r="G365" s="125"/>
      <c r="H365" s="88"/>
      <c r="I365" s="69">
        <f>SUM(I363:I364)*-0.1</f>
        <v>-27.559204783999999</v>
      </c>
      <c r="J365" s="117"/>
      <c r="K365" s="70">
        <f>SUM(K363:K364)*-0.1</f>
        <v>-26.706748942999997</v>
      </c>
      <c r="L365" s="125"/>
      <c r="M365" s="88"/>
      <c r="N365" s="69">
        <f>SUM(N363:N364)*-0.1</f>
        <v>-27.561747735999997</v>
      </c>
      <c r="O365" s="117"/>
      <c r="P365" s="70">
        <f>SUM(P363:P364)*-0.1</f>
        <v>-26.774548942999999</v>
      </c>
      <c r="Q365" s="125"/>
      <c r="R365" s="88"/>
      <c r="S365" s="69">
        <f>SUM(S363:S364)*-0.1</f>
        <v>-28.289189228922339</v>
      </c>
      <c r="T365" s="117"/>
      <c r="U365" s="70">
        <f>SUM(U363:U364)*-0.1</f>
        <v>-27.096598943</v>
      </c>
      <c r="V365" s="125"/>
    </row>
    <row r="366" spans="1:22" x14ac:dyDescent="0.25">
      <c r="A366" s="149">
        <f t="shared" si="90"/>
        <v>45</v>
      </c>
      <c r="B366" s="150" t="s">
        <v>15</v>
      </c>
      <c r="C366" s="135"/>
      <c r="D366" s="104">
        <f>SUM(D363:D365)</f>
        <v>239.87843535599995</v>
      </c>
      <c r="E366" s="118"/>
      <c r="F366" s="103">
        <f>SUM(F363:F365)</f>
        <v>240.36074048699996</v>
      </c>
      <c r="G366" s="136">
        <f>F366-D366</f>
        <v>0.48230513100000394</v>
      </c>
      <c r="H366" s="135"/>
      <c r="I366" s="104">
        <f>SUM(I363:I365)</f>
        <v>248.03284305599996</v>
      </c>
      <c r="J366" s="118"/>
      <c r="K366" s="103">
        <f>SUM(K363:K365)</f>
        <v>240.36074048699996</v>
      </c>
      <c r="L366" s="136">
        <f>K366-I366</f>
        <v>-7.6721025690000033</v>
      </c>
      <c r="M366" s="135"/>
      <c r="N366" s="104">
        <f>SUM(N363:N365)</f>
        <v>248.05572962399995</v>
      </c>
      <c r="O366" s="118"/>
      <c r="P366" s="103">
        <f>SUM(P363:P365)</f>
        <v>240.97094048699995</v>
      </c>
      <c r="Q366" s="136">
        <f>P366-N366</f>
        <v>-7.0847891370000013</v>
      </c>
      <c r="R366" s="135"/>
      <c r="S366" s="104">
        <f>SUM(S363:S365)</f>
        <v>254.60270306030105</v>
      </c>
      <c r="T366" s="118"/>
      <c r="U366" s="103">
        <f>SUM(U363:U365)</f>
        <v>243.86939048699998</v>
      </c>
      <c r="V366" s="136">
        <f>U366-S366</f>
        <v>-10.733312573301077</v>
      </c>
    </row>
    <row r="367" spans="1:22" x14ac:dyDescent="0.25">
      <c r="A367" s="151">
        <f t="shared" si="90"/>
        <v>46</v>
      </c>
      <c r="B367" s="152" t="s">
        <v>118</v>
      </c>
      <c r="C367" s="137"/>
      <c r="D367" s="123"/>
      <c r="E367" s="119"/>
      <c r="F367" s="105"/>
      <c r="G367" s="138">
        <f>G366/D366</f>
        <v>2.0106231320219433E-3</v>
      </c>
      <c r="H367" s="137"/>
      <c r="I367" s="123"/>
      <c r="J367" s="119"/>
      <c r="K367" s="105"/>
      <c r="L367" s="138">
        <f>L366/I366</f>
        <v>-3.0931801105339198E-2</v>
      </c>
      <c r="M367" s="137"/>
      <c r="N367" s="123"/>
      <c r="O367" s="119"/>
      <c r="P367" s="105"/>
      <c r="Q367" s="138">
        <f>Q366/N366</f>
        <v>-2.8561279950029956E-2</v>
      </c>
      <c r="R367" s="137"/>
      <c r="S367" s="123"/>
      <c r="T367" s="119"/>
      <c r="U367" s="105"/>
      <c r="V367" s="138">
        <f>V366/S366</f>
        <v>-4.2157103771042682E-2</v>
      </c>
    </row>
    <row r="368" spans="1:22" x14ac:dyDescent="0.25">
      <c r="A368" s="191">
        <f>A367+1</f>
        <v>47</v>
      </c>
      <c r="B368" s="192" t="s">
        <v>16</v>
      </c>
      <c r="C368" s="193"/>
      <c r="D368" s="194"/>
      <c r="E368" s="195"/>
      <c r="F368" s="196"/>
      <c r="G368" s="192"/>
      <c r="H368" s="193"/>
      <c r="I368" s="194"/>
      <c r="J368" s="195"/>
      <c r="K368" s="196"/>
      <c r="L368" s="192"/>
      <c r="M368" s="193"/>
      <c r="N368" s="194"/>
      <c r="O368" s="195"/>
      <c r="P368" s="196"/>
      <c r="Q368" s="192"/>
      <c r="R368" s="193"/>
      <c r="S368" s="194"/>
      <c r="T368" s="195"/>
      <c r="U368" s="196"/>
      <c r="V368" s="192"/>
    </row>
    <row r="369" spans="1:22" x14ac:dyDescent="0.25">
      <c r="A369" s="148">
        <f>A368+1</f>
        <v>48</v>
      </c>
      <c r="B369" s="134" t="s">
        <v>127</v>
      </c>
      <c r="C369" s="202">
        <f>'2015 Approved'!$B$23</f>
        <v>0</v>
      </c>
      <c r="D369" s="43">
        <f>C369*D322</f>
        <v>0</v>
      </c>
      <c r="E369" s="203">
        <f>C369</f>
        <v>0</v>
      </c>
      <c r="F369" s="99">
        <f>E369*F322</f>
        <v>0</v>
      </c>
      <c r="G369" s="134"/>
      <c r="H369" s="59">
        <f>'2015 Approved'!$M$23</f>
        <v>0</v>
      </c>
      <c r="I369" s="43">
        <f>H369*I322</f>
        <v>0</v>
      </c>
      <c r="J369" s="203">
        <f>H369</f>
        <v>0</v>
      </c>
      <c r="K369" s="7">
        <f>J369*K322</f>
        <v>0</v>
      </c>
      <c r="L369" s="134"/>
      <c r="M369" s="59">
        <f>'2015 Approved'!T338</f>
        <v>0</v>
      </c>
      <c r="N369" s="43">
        <f>M369*N322</f>
        <v>0</v>
      </c>
      <c r="O369" s="203">
        <f>M369</f>
        <v>0</v>
      </c>
      <c r="P369" s="7">
        <f>O369*P322</f>
        <v>0</v>
      </c>
      <c r="Q369" s="134"/>
      <c r="R369" s="59">
        <f>'2015 Approved'!$X$23</f>
        <v>3.0999999999999999E-3</v>
      </c>
      <c r="S369" s="43">
        <f>R369*S322</f>
        <v>4.6499999999999995</v>
      </c>
      <c r="T369" s="203">
        <f>R369</f>
        <v>3.0999999999999999E-3</v>
      </c>
      <c r="U369" s="7">
        <f>T369*U322</f>
        <v>4.6499999999999995</v>
      </c>
      <c r="V369" s="134"/>
    </row>
    <row r="370" spans="1:22" x14ac:dyDescent="0.25">
      <c r="A370" s="148">
        <f>A369+1</f>
        <v>49</v>
      </c>
      <c r="B370" s="85" t="s">
        <v>128</v>
      </c>
      <c r="C370" s="59">
        <f>'2015 Approved'!$B$24</f>
        <v>3.1999999999999997E-3</v>
      </c>
      <c r="D370" s="42">
        <f>C370*D322</f>
        <v>4.8</v>
      </c>
      <c r="E370" s="203">
        <f>'2016 Proposed'!$B$26</f>
        <v>3.3999999999999998E-3</v>
      </c>
      <c r="F370" s="7">
        <f>E370*F322</f>
        <v>5.0999999999999996</v>
      </c>
      <c r="G370" s="85"/>
      <c r="H370" s="59">
        <f>'2015 Approved'!$M$24</f>
        <v>-8.0000000000000004E-4</v>
      </c>
      <c r="I370" s="42">
        <f>H370*I322</f>
        <v>-1.2</v>
      </c>
      <c r="J370" s="114">
        <f>'2016 Proposed'!$B$26</f>
        <v>3.3999999999999998E-3</v>
      </c>
      <c r="K370" s="7">
        <f>J370*K322</f>
        <v>5.0999999999999996</v>
      </c>
      <c r="L370" s="85"/>
      <c r="M370" s="59">
        <f>'2015 Approved'!$T$24</f>
        <v>-4.0000000000000002E-4</v>
      </c>
      <c r="N370" s="42">
        <f>M370*N322</f>
        <v>-0.6</v>
      </c>
      <c r="O370" s="114">
        <f>'2016 Proposed'!$B$26</f>
        <v>3.3999999999999998E-3</v>
      </c>
      <c r="P370" s="7">
        <f>O370*P322</f>
        <v>5.0999999999999996</v>
      </c>
      <c r="Q370" s="85"/>
      <c r="R370" s="59">
        <f>'2015 Approved'!$X$24</f>
        <v>-2.9999999999999997E-4</v>
      </c>
      <c r="S370" s="42">
        <f>R370*S322</f>
        <v>-0.44999999999999996</v>
      </c>
      <c r="T370" s="114">
        <f>'2016 Proposed'!$B$26</f>
        <v>3.3999999999999998E-3</v>
      </c>
      <c r="U370" s="7">
        <f>T370*U322</f>
        <v>5.0999999999999996</v>
      </c>
      <c r="V370" s="85"/>
    </row>
    <row r="371" spans="1:22" x14ac:dyDescent="0.25">
      <c r="A371" s="139">
        <f t="shared" si="90"/>
        <v>50</v>
      </c>
      <c r="B371" s="85" t="s">
        <v>17</v>
      </c>
      <c r="C371" s="86"/>
      <c r="D371" s="42">
        <f>D363+SUM(D369:D370)</f>
        <v>240.668668</v>
      </c>
      <c r="E371" s="106"/>
      <c r="F371" s="7">
        <f>F363+SUM(F369:F370)</f>
        <v>241.44291099999998</v>
      </c>
      <c r="G371" s="85"/>
      <c r="H371" s="86"/>
      <c r="I371" s="42">
        <f>I363+I370+I369</f>
        <v>242.686768</v>
      </c>
      <c r="J371" s="106"/>
      <c r="K371" s="7">
        <f>K363+K370+K369</f>
        <v>241.44291099999998</v>
      </c>
      <c r="L371" s="85"/>
      <c r="M371" s="86"/>
      <c r="N371" s="42">
        <f>N363+N370+N369</f>
        <v>243.30927199999996</v>
      </c>
      <c r="O371" s="106"/>
      <c r="P371" s="7">
        <f>P363+P370+P369</f>
        <v>242.04291099999995</v>
      </c>
      <c r="Q371" s="85"/>
      <c r="R371" s="86"/>
      <c r="S371" s="42">
        <f>S363+S370+S369</f>
        <v>254.54680733559593</v>
      </c>
      <c r="T371" s="106"/>
      <c r="U371" s="7">
        <f>U363+U370+U369</f>
        <v>249.54291099999998</v>
      </c>
      <c r="V371" s="85"/>
    </row>
    <row r="372" spans="1:22" x14ac:dyDescent="0.25">
      <c r="A372" s="139">
        <f t="shared" si="90"/>
        <v>51</v>
      </c>
      <c r="B372" s="85" t="s">
        <v>13</v>
      </c>
      <c r="C372" s="86"/>
      <c r="D372" s="42">
        <f>D371*0.13</f>
        <v>31.28692684</v>
      </c>
      <c r="E372" s="106"/>
      <c r="F372" s="7">
        <f>F371*0.13</f>
        <v>31.387578429999998</v>
      </c>
      <c r="G372" s="85"/>
      <c r="H372" s="86"/>
      <c r="I372" s="42">
        <f>I371*0.13</f>
        <v>31.549279840000001</v>
      </c>
      <c r="J372" s="106"/>
      <c r="K372" s="7">
        <f>K371*0.13</f>
        <v>31.387578429999998</v>
      </c>
      <c r="L372" s="85"/>
      <c r="M372" s="86"/>
      <c r="N372" s="42">
        <f>N371*0.13</f>
        <v>31.630205359999998</v>
      </c>
      <c r="O372" s="106"/>
      <c r="P372" s="7">
        <f>P371*0.13</f>
        <v>31.465578429999994</v>
      </c>
      <c r="Q372" s="85"/>
      <c r="R372" s="86"/>
      <c r="S372" s="42">
        <f>S371*0.13</f>
        <v>33.091084953627472</v>
      </c>
      <c r="T372" s="106"/>
      <c r="U372" s="7">
        <f>U371*0.13</f>
        <v>32.440578429999995</v>
      </c>
      <c r="V372" s="85"/>
    </row>
    <row r="373" spans="1:22" x14ac:dyDescent="0.25">
      <c r="A373" s="139">
        <f t="shared" si="90"/>
        <v>52</v>
      </c>
      <c r="B373" s="85" t="s">
        <v>18</v>
      </c>
      <c r="C373" s="86"/>
      <c r="D373" s="42">
        <f>SUM(D371:D372)*-0.1</f>
        <v>-27.195559484</v>
      </c>
      <c r="E373" s="106"/>
      <c r="F373" s="7">
        <f>SUM(F371:F372)*-0.1</f>
        <v>-27.283048943000001</v>
      </c>
      <c r="G373" s="85"/>
      <c r="H373" s="86"/>
      <c r="I373" s="42">
        <f>SUM(I371:I372)*-0.1</f>
        <v>-27.423604784000005</v>
      </c>
      <c r="J373" s="106"/>
      <c r="K373" s="7">
        <f>SUM(K371:K372)*-0.1</f>
        <v>-27.283048943000001</v>
      </c>
      <c r="L373" s="85"/>
      <c r="M373" s="86"/>
      <c r="N373" s="42">
        <f>SUM(N371:N372)*-0.1</f>
        <v>-27.493947735999996</v>
      </c>
      <c r="O373" s="106"/>
      <c r="P373" s="7">
        <f>SUM(P371:P372)*-0.1</f>
        <v>-27.350848942999995</v>
      </c>
      <c r="Q373" s="85"/>
      <c r="R373" s="86"/>
      <c r="S373" s="42">
        <f>SUM(S371:S372)*-0.1</f>
        <v>-28.763789228922338</v>
      </c>
      <c r="T373" s="106"/>
      <c r="U373" s="7">
        <f>SUM(U371:U372)*-0.1</f>
        <v>-28.198348942999999</v>
      </c>
      <c r="V373" s="85"/>
    </row>
    <row r="374" spans="1:22" x14ac:dyDescent="0.25">
      <c r="A374" s="177">
        <f t="shared" si="90"/>
        <v>53</v>
      </c>
      <c r="B374" s="178" t="s">
        <v>15</v>
      </c>
      <c r="C374" s="179"/>
      <c r="D374" s="180">
        <f>SUM(D371:D373)</f>
        <v>244.760035356</v>
      </c>
      <c r="E374" s="181"/>
      <c r="F374" s="182">
        <f>SUM(F371:F373)</f>
        <v>245.54744048699999</v>
      </c>
      <c r="G374" s="183">
        <f>F374-D374</f>
        <v>0.78740513099998566</v>
      </c>
      <c r="H374" s="179"/>
      <c r="I374" s="180">
        <f>SUM(I371:I373)</f>
        <v>246.81244305600001</v>
      </c>
      <c r="J374" s="181"/>
      <c r="K374" s="182">
        <f>SUM(K371:K373)</f>
        <v>245.54744048699999</v>
      </c>
      <c r="L374" s="183">
        <f>K374-I374</f>
        <v>-1.2650025690000177</v>
      </c>
      <c r="M374" s="179"/>
      <c r="N374" s="180">
        <f>SUM(N371:N373)</f>
        <v>247.44552962399996</v>
      </c>
      <c r="O374" s="181"/>
      <c r="P374" s="182">
        <f>SUM(P371:P373)</f>
        <v>246.15764048699995</v>
      </c>
      <c r="Q374" s="183">
        <f>P374-N374</f>
        <v>-1.2878891370000076</v>
      </c>
      <c r="R374" s="179"/>
      <c r="S374" s="180">
        <f>SUM(S371:S373)</f>
        <v>258.87410306030102</v>
      </c>
      <c r="T374" s="181"/>
      <c r="U374" s="182">
        <f>SUM(U371:U373)</f>
        <v>253.78514048699998</v>
      </c>
      <c r="V374" s="183">
        <f>U374-S374</f>
        <v>-5.0889625733010462</v>
      </c>
    </row>
    <row r="375" spans="1:22" ht="15.75" thickBot="1" x14ac:dyDescent="0.3">
      <c r="A375" s="184">
        <f>A374+1</f>
        <v>54</v>
      </c>
      <c r="B375" s="185" t="s">
        <v>118</v>
      </c>
      <c r="C375" s="186"/>
      <c r="D375" s="187"/>
      <c r="E375" s="188"/>
      <c r="F375" s="189"/>
      <c r="G375" s="190">
        <f>G374/D374</f>
        <v>3.2170494249795152E-3</v>
      </c>
      <c r="H375" s="186"/>
      <c r="I375" s="187"/>
      <c r="J375" s="188"/>
      <c r="K375" s="189"/>
      <c r="L375" s="190">
        <f>L374/I374</f>
        <v>-5.1253597806371438E-3</v>
      </c>
      <c r="M375" s="186"/>
      <c r="N375" s="187"/>
      <c r="O375" s="188"/>
      <c r="P375" s="189"/>
      <c r="Q375" s="190">
        <f>Q374/N374</f>
        <v>-5.2047379435667691E-3</v>
      </c>
      <c r="R375" s="186"/>
      <c r="S375" s="187"/>
      <c r="T375" s="188"/>
      <c r="U375" s="189"/>
      <c r="V375" s="190">
        <f>V374/S374</f>
        <v>-1.9658059702154312E-2</v>
      </c>
    </row>
    <row r="376" spans="1:22" ht="15.75" thickBot="1" x14ac:dyDescent="0.3"/>
    <row r="377" spans="1:22" x14ac:dyDescent="0.25">
      <c r="A377" s="153">
        <f>A375+1</f>
        <v>55</v>
      </c>
      <c r="B377" s="154" t="s">
        <v>120</v>
      </c>
      <c r="C377" s="153" t="s">
        <v>2</v>
      </c>
      <c r="D377" s="198" t="s">
        <v>3</v>
      </c>
      <c r="E377" s="199" t="s">
        <v>2</v>
      </c>
      <c r="F377" s="200" t="s">
        <v>3</v>
      </c>
      <c r="G377" s="201" t="s">
        <v>103</v>
      </c>
      <c r="H377" s="153" t="s">
        <v>2</v>
      </c>
      <c r="I377" s="198" t="s">
        <v>3</v>
      </c>
      <c r="J377" s="199" t="s">
        <v>2</v>
      </c>
      <c r="K377" s="200" t="s">
        <v>3</v>
      </c>
      <c r="L377" s="201" t="s">
        <v>103</v>
      </c>
      <c r="M377" s="153" t="s">
        <v>2</v>
      </c>
      <c r="N377" s="198" t="s">
        <v>3</v>
      </c>
      <c r="O377" s="199" t="s">
        <v>2</v>
      </c>
      <c r="P377" s="200" t="s">
        <v>3</v>
      </c>
      <c r="Q377" s="201" t="s">
        <v>103</v>
      </c>
      <c r="R377" s="153" t="s">
        <v>2</v>
      </c>
      <c r="S377" s="198" t="s">
        <v>3</v>
      </c>
      <c r="T377" s="199" t="s">
        <v>2</v>
      </c>
      <c r="U377" s="200" t="s">
        <v>3</v>
      </c>
      <c r="V377" s="201" t="s">
        <v>103</v>
      </c>
    </row>
    <row r="378" spans="1:22" x14ac:dyDescent="0.25">
      <c r="A378" s="139">
        <f>A377+1</f>
        <v>56</v>
      </c>
      <c r="B378" s="85" t="s">
        <v>119</v>
      </c>
      <c r="C378" s="86"/>
      <c r="D378" s="42">
        <f>SUM(D333:D336)+D339+D348</f>
        <v>32.18</v>
      </c>
      <c r="E378" s="106"/>
      <c r="F378" s="7">
        <f>SUM(F333:F336)+F339+F348</f>
        <v>30.480000000000004</v>
      </c>
      <c r="G378" s="56">
        <f>F378-D378</f>
        <v>-1.6999999999999957</v>
      </c>
      <c r="H378" s="86"/>
      <c r="I378" s="42">
        <f>SUM(I333:I336)+I339+I348</f>
        <v>38.33</v>
      </c>
      <c r="J378" s="106"/>
      <c r="K378" s="7">
        <f>SUM(K333:K336)+K339+K348</f>
        <v>30.480000000000004</v>
      </c>
      <c r="L378" s="56">
        <f>K378-I378</f>
        <v>-7.8499999999999943</v>
      </c>
      <c r="M378" s="86"/>
      <c r="N378" s="42">
        <f>SUM(N333:N336)+N339+N348</f>
        <v>33.69</v>
      </c>
      <c r="O378" s="106"/>
      <c r="P378" s="7">
        <f>SUM(P333:P336)+P339+P348</f>
        <v>30.480000000000004</v>
      </c>
      <c r="Q378" s="56">
        <f>P378-N378</f>
        <v>-3.2099999999999937</v>
      </c>
      <c r="R378" s="86"/>
      <c r="S378" s="42">
        <f>SUM(S333:S336)+S339+S348</f>
        <v>32.19</v>
      </c>
      <c r="T378" s="106"/>
      <c r="U378" s="7">
        <f>SUM(U333:U336)+U339+U348</f>
        <v>30.480000000000004</v>
      </c>
      <c r="V378" s="56">
        <f>U378-S378</f>
        <v>-1.7099999999999937</v>
      </c>
    </row>
    <row r="379" spans="1:22" x14ac:dyDescent="0.25">
      <c r="A379" s="164">
        <f t="shared" ref="A379:A381" si="107">A378+1</f>
        <v>57</v>
      </c>
      <c r="B379" s="165" t="s">
        <v>118</v>
      </c>
      <c r="C379" s="166"/>
      <c r="D379" s="167"/>
      <c r="E379" s="168"/>
      <c r="F379" s="93"/>
      <c r="G379" s="169">
        <f>G378/SUM(D378:D381)</f>
        <v>-3.9418107120236363E-2</v>
      </c>
      <c r="H379" s="166"/>
      <c r="I379" s="167"/>
      <c r="J379" s="168"/>
      <c r="K379" s="93"/>
      <c r="L379" s="169">
        <f>L378/SUM(I378:I381)</f>
        <v>-0.15306569727918207</v>
      </c>
      <c r="M379" s="166"/>
      <c r="N379" s="167"/>
      <c r="O379" s="168"/>
      <c r="P379" s="93"/>
      <c r="Q379" s="169">
        <f>Q378/SUM(N378:N381)</f>
        <v>-6.4558295960247425E-2</v>
      </c>
      <c r="R379" s="166"/>
      <c r="S379" s="167"/>
      <c r="T379" s="168"/>
      <c r="U379" s="93"/>
      <c r="V379" s="169">
        <f>V378/SUM(S378:S381)</f>
        <v>-2.8707565266061948E-2</v>
      </c>
    </row>
    <row r="380" spans="1:22" x14ac:dyDescent="0.25">
      <c r="A380" s="139">
        <f t="shared" si="107"/>
        <v>58</v>
      </c>
      <c r="B380" s="85" t="s">
        <v>121</v>
      </c>
      <c r="C380" s="86"/>
      <c r="D380" s="42">
        <f>D337+SUM(D340:D347)+D338</f>
        <v>10.947387999999981</v>
      </c>
      <c r="E380" s="106"/>
      <c r="F380" s="7">
        <f>F337+SUM(F340:F347)+F338</f>
        <v>13.113350999999984</v>
      </c>
      <c r="G380" s="56">
        <f>F380-D380</f>
        <v>2.1659630000000032</v>
      </c>
      <c r="H380" s="86"/>
      <c r="I380" s="42">
        <f>I337+SUM(I340:I347)+I338</f>
        <v>12.955168000000004</v>
      </c>
      <c r="J380" s="106"/>
      <c r="K380" s="7">
        <f>K337+SUM(K340:K347)+K338</f>
        <v>13.113350999999984</v>
      </c>
      <c r="L380" s="56">
        <f>K380-I380</f>
        <v>0.15818299999997976</v>
      </c>
      <c r="M380" s="86"/>
      <c r="N380" s="42">
        <f>N337+SUM(N340:N347)+N338</f>
        <v>16.032501999999994</v>
      </c>
      <c r="O380" s="106"/>
      <c r="P380" s="7">
        <f>P337+SUM(P340:P347)+P338</f>
        <v>13.713350999999985</v>
      </c>
      <c r="Q380" s="56">
        <f>P380-N380</f>
        <v>-2.3191510000000086</v>
      </c>
      <c r="R380" s="86"/>
      <c r="S380" s="42">
        <f>S337+SUM(S340:S347)+S338</f>
        <v>27.376179999999998</v>
      </c>
      <c r="T380" s="106"/>
      <c r="U380" s="7">
        <f>U337+SUM(U340:U347)+U338</f>
        <v>16.563350999999987</v>
      </c>
      <c r="V380" s="56">
        <f>U380-S380</f>
        <v>-10.812829000000011</v>
      </c>
    </row>
    <row r="381" spans="1:22" ht="15.75" thickBot="1" x14ac:dyDescent="0.3">
      <c r="A381" s="170">
        <f t="shared" si="107"/>
        <v>59</v>
      </c>
      <c r="B381" s="171" t="s">
        <v>118</v>
      </c>
      <c r="C381" s="172"/>
      <c r="D381" s="173"/>
      <c r="E381" s="174"/>
      <c r="F381" s="175"/>
      <c r="G381" s="176">
        <f>G380/SUM(D378:D381)</f>
        <v>5.0222447972040507E-2</v>
      </c>
      <c r="H381" s="172"/>
      <c r="I381" s="173"/>
      <c r="J381" s="174"/>
      <c r="K381" s="175"/>
      <c r="L381" s="176">
        <f>L380/SUM(I378:I381)</f>
        <v>3.0843810436572958E-3</v>
      </c>
      <c r="M381" s="172"/>
      <c r="N381" s="173"/>
      <c r="O381" s="174"/>
      <c r="P381" s="175"/>
      <c r="Q381" s="176">
        <f>Q380/SUM(N378:N381)</f>
        <v>-4.6641880571496763E-2</v>
      </c>
      <c r="R381" s="172"/>
      <c r="S381" s="173"/>
      <c r="T381" s="174"/>
      <c r="U381" s="175"/>
      <c r="V381" s="176">
        <f>V380/SUM(S378:S381)</f>
        <v>-0.18152631241419229</v>
      </c>
    </row>
    <row r="382" spans="1:22" ht="15.75" thickBot="1" x14ac:dyDescent="0.3"/>
    <row r="383" spans="1:22" x14ac:dyDescent="0.25">
      <c r="A383" s="331" t="s">
        <v>111</v>
      </c>
      <c r="B383" s="333" t="s">
        <v>0</v>
      </c>
      <c r="C383" s="329" t="s">
        <v>115</v>
      </c>
      <c r="D383" s="330"/>
      <c r="E383" s="327" t="s">
        <v>116</v>
      </c>
      <c r="F383" s="327"/>
      <c r="G383" s="328"/>
      <c r="H383" s="329" t="s">
        <v>117</v>
      </c>
      <c r="I383" s="330"/>
      <c r="J383" s="327" t="s">
        <v>116</v>
      </c>
      <c r="K383" s="327"/>
      <c r="L383" s="328"/>
      <c r="M383" s="329" t="s">
        <v>124</v>
      </c>
      <c r="N383" s="330"/>
      <c r="O383" s="327" t="s">
        <v>116</v>
      </c>
      <c r="P383" s="327"/>
      <c r="Q383" s="328"/>
      <c r="R383" s="329" t="s">
        <v>123</v>
      </c>
      <c r="S383" s="330"/>
      <c r="T383" s="327" t="s">
        <v>116</v>
      </c>
      <c r="U383" s="327"/>
      <c r="V383" s="328"/>
    </row>
    <row r="384" spans="1:22" x14ac:dyDescent="0.25">
      <c r="A384" s="332"/>
      <c r="B384" s="334"/>
      <c r="C384" s="157" t="s">
        <v>2</v>
      </c>
      <c r="D384" s="158" t="s">
        <v>3</v>
      </c>
      <c r="E384" s="159" t="s">
        <v>2</v>
      </c>
      <c r="F384" s="160" t="s">
        <v>3</v>
      </c>
      <c r="G384" s="251" t="s">
        <v>103</v>
      </c>
      <c r="H384" s="157" t="s">
        <v>2</v>
      </c>
      <c r="I384" s="158" t="s">
        <v>3</v>
      </c>
      <c r="J384" s="159" t="s">
        <v>2</v>
      </c>
      <c r="K384" s="160" t="s">
        <v>3</v>
      </c>
      <c r="L384" s="251" t="s">
        <v>103</v>
      </c>
      <c r="M384" s="157" t="s">
        <v>2</v>
      </c>
      <c r="N384" s="158" t="s">
        <v>3</v>
      </c>
      <c r="O384" s="159" t="s">
        <v>2</v>
      </c>
      <c r="P384" s="160" t="s">
        <v>3</v>
      </c>
      <c r="Q384" s="251" t="s">
        <v>103</v>
      </c>
      <c r="R384" s="157" t="s">
        <v>2</v>
      </c>
      <c r="S384" s="158" t="s">
        <v>3</v>
      </c>
      <c r="T384" s="159" t="s">
        <v>2</v>
      </c>
      <c r="U384" s="160" t="s">
        <v>3</v>
      </c>
      <c r="V384" s="251" t="s">
        <v>103</v>
      </c>
    </row>
    <row r="385" spans="1:22" x14ac:dyDescent="0.25">
      <c r="A385" s="139">
        <v>1</v>
      </c>
      <c r="B385" s="85" t="s">
        <v>91</v>
      </c>
      <c r="C385" s="86"/>
      <c r="D385" s="252">
        <v>2000</v>
      </c>
      <c r="E385" s="106"/>
      <c r="F385" s="1">
        <f>D385</f>
        <v>2000</v>
      </c>
      <c r="G385" s="85"/>
      <c r="H385" s="86"/>
      <c r="I385" s="40">
        <f>D385</f>
        <v>2000</v>
      </c>
      <c r="J385" s="106"/>
      <c r="K385" s="1">
        <f>I385</f>
        <v>2000</v>
      </c>
      <c r="L385" s="85"/>
      <c r="M385" s="86"/>
      <c r="N385" s="40">
        <f>D385</f>
        <v>2000</v>
      </c>
      <c r="O385" s="106"/>
      <c r="P385" s="1">
        <f>N385</f>
        <v>2000</v>
      </c>
      <c r="Q385" s="85"/>
      <c r="R385" s="86"/>
      <c r="S385" s="40">
        <f>D385</f>
        <v>2000</v>
      </c>
      <c r="T385" s="106"/>
      <c r="U385" s="1">
        <f>S385</f>
        <v>2000</v>
      </c>
      <c r="V385" s="85"/>
    </row>
    <row r="386" spans="1:22" x14ac:dyDescent="0.25">
      <c r="A386" s="139">
        <f>A385+1</f>
        <v>2</v>
      </c>
      <c r="B386" s="85" t="s">
        <v>92</v>
      </c>
      <c r="C386" s="86"/>
      <c r="D386" s="40">
        <v>0</v>
      </c>
      <c r="E386" s="106"/>
      <c r="F386" s="1">
        <f>D386</f>
        <v>0</v>
      </c>
      <c r="G386" s="85"/>
      <c r="H386" s="86"/>
      <c r="I386" s="40">
        <v>0</v>
      </c>
      <c r="J386" s="106"/>
      <c r="K386" s="1">
        <f>I386</f>
        <v>0</v>
      </c>
      <c r="L386" s="85"/>
      <c r="M386" s="86"/>
      <c r="N386" s="40">
        <v>0</v>
      </c>
      <c r="O386" s="106"/>
      <c r="P386" s="1">
        <f>N386</f>
        <v>0</v>
      </c>
      <c r="Q386" s="85"/>
      <c r="R386" s="86"/>
      <c r="S386" s="40">
        <v>0</v>
      </c>
      <c r="T386" s="106"/>
      <c r="U386" s="1">
        <f>S386</f>
        <v>0</v>
      </c>
      <c r="V386" s="85"/>
    </row>
    <row r="387" spans="1:22" x14ac:dyDescent="0.25">
      <c r="A387" s="139">
        <f t="shared" ref="A387:A437" si="108">A386+1</f>
        <v>3</v>
      </c>
      <c r="B387" s="85" t="s">
        <v>22</v>
      </c>
      <c r="C387" s="86"/>
      <c r="D387" s="40">
        <f>CKH_LOSS</f>
        <v>1.0427999999999999</v>
      </c>
      <c r="E387" s="106"/>
      <c r="F387" s="1">
        <f>EPI_LOSS</f>
        <v>1.0430999999999999</v>
      </c>
      <c r="G387" s="85"/>
      <c r="H387" s="86"/>
      <c r="I387" s="40">
        <f>SMP_LOSS</f>
        <v>1.0608</v>
      </c>
      <c r="J387" s="106"/>
      <c r="K387" s="1">
        <f>EPI_LOSS</f>
        <v>1.0430999999999999</v>
      </c>
      <c r="L387" s="85"/>
      <c r="M387" s="86"/>
      <c r="N387" s="40">
        <f>DUT_LOSS</f>
        <v>1.0662</v>
      </c>
      <c r="O387" s="106"/>
      <c r="P387" s="1">
        <f>EPI_LOSS</f>
        <v>1.0430999999999999</v>
      </c>
      <c r="Q387" s="85"/>
      <c r="R387" s="86"/>
      <c r="S387" s="72">
        <f>NEW_LOSS</f>
        <v>1.0580000000000001</v>
      </c>
      <c r="T387" s="106"/>
      <c r="U387" s="1">
        <f>EPI_LOSS</f>
        <v>1.0430999999999999</v>
      </c>
      <c r="V387" s="85"/>
    </row>
    <row r="388" spans="1:22" x14ac:dyDescent="0.25">
      <c r="A388" s="139">
        <f t="shared" si="108"/>
        <v>4</v>
      </c>
      <c r="B388" s="85" t="s">
        <v>93</v>
      </c>
      <c r="C388" s="86"/>
      <c r="D388" s="40">
        <f>D385*D387</f>
        <v>2085.6</v>
      </c>
      <c r="E388" s="106"/>
      <c r="F388" s="1">
        <f>F385*F387</f>
        <v>2086.1999999999998</v>
      </c>
      <c r="G388" s="85"/>
      <c r="H388" s="86"/>
      <c r="I388" s="40">
        <f>I385*I387</f>
        <v>2121.6</v>
      </c>
      <c r="J388" s="106"/>
      <c r="K388" s="1">
        <f>K385*K387</f>
        <v>2086.1999999999998</v>
      </c>
      <c r="L388" s="85"/>
      <c r="M388" s="86"/>
      <c r="N388" s="40">
        <f>N385*N387</f>
        <v>2132.4</v>
      </c>
      <c r="O388" s="106"/>
      <c r="P388" s="1">
        <f>P385*P387</f>
        <v>2086.1999999999998</v>
      </c>
      <c r="Q388" s="85"/>
      <c r="R388" s="86"/>
      <c r="S388" s="40">
        <f>S385*S387</f>
        <v>2116</v>
      </c>
      <c r="T388" s="106"/>
      <c r="U388" s="1">
        <f>U385*U387</f>
        <v>2086.1999999999998</v>
      </c>
      <c r="V388" s="85"/>
    </row>
    <row r="389" spans="1:22" x14ac:dyDescent="0.25">
      <c r="A389" s="140">
        <f t="shared" si="108"/>
        <v>5</v>
      </c>
      <c r="B389" s="83" t="s">
        <v>27</v>
      </c>
      <c r="C389" s="82"/>
      <c r="D389" s="41"/>
      <c r="E389" s="107"/>
      <c r="F389" s="39"/>
      <c r="G389" s="83"/>
      <c r="H389" s="82"/>
      <c r="I389" s="41"/>
      <c r="J389" s="107"/>
      <c r="K389" s="39"/>
      <c r="L389" s="83"/>
      <c r="M389" s="82"/>
      <c r="N389" s="41"/>
      <c r="O389" s="107"/>
      <c r="P389" s="39"/>
      <c r="Q389" s="83"/>
      <c r="R389" s="82"/>
      <c r="S389" s="41"/>
      <c r="T389" s="107"/>
      <c r="U389" s="39"/>
      <c r="V389" s="83"/>
    </row>
    <row r="390" spans="1:22" x14ac:dyDescent="0.25">
      <c r="A390" s="139">
        <f t="shared" si="108"/>
        <v>6</v>
      </c>
      <c r="B390" s="85" t="s">
        <v>23</v>
      </c>
      <c r="C390" s="84">
        <f>'General Input'!$B$11</f>
        <v>0.08</v>
      </c>
      <c r="D390" s="42">
        <f>D$385*C390*TOU_OFF</f>
        <v>102.4</v>
      </c>
      <c r="E390" s="108">
        <f>'General Input'!$B$11</f>
        <v>0.08</v>
      </c>
      <c r="F390" s="7">
        <f>F$385*E390*TOU_OFF</f>
        <v>102.4</v>
      </c>
      <c r="G390" s="85"/>
      <c r="H390" s="84">
        <f>'General Input'!$B$11</f>
        <v>0.08</v>
      </c>
      <c r="I390" s="42">
        <f>I$385*H390*TOU_OFF</f>
        <v>102.4</v>
      </c>
      <c r="J390" s="108">
        <f>'General Input'!$B$11</f>
        <v>0.08</v>
      </c>
      <c r="K390" s="7">
        <f>K$385*J390*TOU_OFF</f>
        <v>102.4</v>
      </c>
      <c r="L390" s="85"/>
      <c r="M390" s="84">
        <f>'General Input'!$B$11</f>
        <v>0.08</v>
      </c>
      <c r="N390" s="42">
        <f>N$385*M390*TOU_OFF</f>
        <v>102.4</v>
      </c>
      <c r="O390" s="108">
        <f>'General Input'!$B$11</f>
        <v>0.08</v>
      </c>
      <c r="P390" s="7">
        <f>P$385*O390*TOU_OFF</f>
        <v>102.4</v>
      </c>
      <c r="Q390" s="85"/>
      <c r="R390" s="84">
        <f>'General Input'!$B$11</f>
        <v>0.08</v>
      </c>
      <c r="S390" s="42">
        <f>S$385*R390*TOU_OFF</f>
        <v>102.4</v>
      </c>
      <c r="T390" s="108">
        <f>'General Input'!$B$11</f>
        <v>0.08</v>
      </c>
      <c r="U390" s="7">
        <f>U$385*T390*TOU_OFF</f>
        <v>102.4</v>
      </c>
      <c r="V390" s="85"/>
    </row>
    <row r="391" spans="1:22" x14ac:dyDescent="0.25">
      <c r="A391" s="139">
        <f t="shared" si="108"/>
        <v>7</v>
      </c>
      <c r="B391" s="85" t="s">
        <v>24</v>
      </c>
      <c r="C391" s="84">
        <f>'General Input'!$B$12</f>
        <v>0.122</v>
      </c>
      <c r="D391" s="42">
        <f>D$385*C391*TOU_MID</f>
        <v>43.92</v>
      </c>
      <c r="E391" s="108">
        <f>'General Input'!$B$12</f>
        <v>0.122</v>
      </c>
      <c r="F391" s="7">
        <f>F$385*E391*TOU_MID</f>
        <v>43.92</v>
      </c>
      <c r="G391" s="85"/>
      <c r="H391" s="84">
        <f>'General Input'!$B$12</f>
        <v>0.122</v>
      </c>
      <c r="I391" s="42">
        <f>I$385*H391*TOU_MID</f>
        <v>43.92</v>
      </c>
      <c r="J391" s="108">
        <f>'General Input'!$B$12</f>
        <v>0.122</v>
      </c>
      <c r="K391" s="7">
        <f>K$385*J391*TOU_MID</f>
        <v>43.92</v>
      </c>
      <c r="L391" s="85"/>
      <c r="M391" s="84">
        <f>'General Input'!$B$12</f>
        <v>0.122</v>
      </c>
      <c r="N391" s="42">
        <f>N$385*M391*TOU_MID</f>
        <v>43.92</v>
      </c>
      <c r="O391" s="108">
        <f>'General Input'!$B$12</f>
        <v>0.122</v>
      </c>
      <c r="P391" s="7">
        <f>P$385*O391*TOU_MID</f>
        <v>43.92</v>
      </c>
      <c r="Q391" s="85"/>
      <c r="R391" s="84">
        <f>'General Input'!$B$12</f>
        <v>0.122</v>
      </c>
      <c r="S391" s="42">
        <f>S$385*R391*TOU_MID</f>
        <v>43.92</v>
      </c>
      <c r="T391" s="108">
        <f>'General Input'!$B$12</f>
        <v>0.122</v>
      </c>
      <c r="U391" s="7">
        <f>U$385*T391*TOU_MID</f>
        <v>43.92</v>
      </c>
      <c r="V391" s="85"/>
    </row>
    <row r="392" spans="1:22" x14ac:dyDescent="0.25">
      <c r="A392" s="141">
        <f t="shared" si="108"/>
        <v>8</v>
      </c>
      <c r="B392" s="125" t="s">
        <v>25</v>
      </c>
      <c r="C392" s="124">
        <f>'General Input'!$B$13</f>
        <v>0.161</v>
      </c>
      <c r="D392" s="69">
        <f>D$385*C392*TOU_ON</f>
        <v>57.96</v>
      </c>
      <c r="E392" s="109">
        <f>'General Input'!$B$13</f>
        <v>0.161</v>
      </c>
      <c r="F392" s="70">
        <f>F$385*E392*TOU_ON</f>
        <v>57.96</v>
      </c>
      <c r="G392" s="125"/>
      <c r="H392" s="124">
        <f>'General Input'!$B$13</f>
        <v>0.161</v>
      </c>
      <c r="I392" s="69">
        <f>I$385*H392*TOU_ON</f>
        <v>57.96</v>
      </c>
      <c r="J392" s="109">
        <f>'General Input'!$B$13</f>
        <v>0.161</v>
      </c>
      <c r="K392" s="70">
        <f>K$385*J392*TOU_ON</f>
        <v>57.96</v>
      </c>
      <c r="L392" s="125"/>
      <c r="M392" s="124">
        <f>'General Input'!$B$13</f>
        <v>0.161</v>
      </c>
      <c r="N392" s="69">
        <f>N$385*M392*TOU_ON</f>
        <v>57.96</v>
      </c>
      <c r="O392" s="109">
        <f>'General Input'!$B$13</f>
        <v>0.161</v>
      </c>
      <c r="P392" s="70">
        <f>P$385*O392*TOU_ON</f>
        <v>57.96</v>
      </c>
      <c r="Q392" s="125"/>
      <c r="R392" s="124">
        <f>'General Input'!$B$13</f>
        <v>0.161</v>
      </c>
      <c r="S392" s="69">
        <f>S$385*R392*TOU_ON</f>
        <v>57.96</v>
      </c>
      <c r="T392" s="109">
        <f>'General Input'!$B$13</f>
        <v>0.161</v>
      </c>
      <c r="U392" s="70">
        <f>U$385*T392*TOU_ON</f>
        <v>57.96</v>
      </c>
      <c r="V392" s="125"/>
    </row>
    <row r="393" spans="1:22" x14ac:dyDescent="0.25">
      <c r="A393" s="142">
        <f t="shared" si="108"/>
        <v>9</v>
      </c>
      <c r="B393" s="143" t="s">
        <v>26</v>
      </c>
      <c r="C393" s="126"/>
      <c r="D393" s="96">
        <f>SUM(D390:D392)</f>
        <v>204.28</v>
      </c>
      <c r="E393" s="110"/>
      <c r="F393" s="95">
        <f>SUM(F390:F392)</f>
        <v>204.28</v>
      </c>
      <c r="G393" s="127">
        <f>D393-F393</f>
        <v>0</v>
      </c>
      <c r="H393" s="126"/>
      <c r="I393" s="96">
        <f>SUM(I390:I392)</f>
        <v>204.28</v>
      </c>
      <c r="J393" s="110"/>
      <c r="K393" s="95">
        <f>SUM(K390:K392)</f>
        <v>204.28</v>
      </c>
      <c r="L393" s="127">
        <f>I393-K393</f>
        <v>0</v>
      </c>
      <c r="M393" s="126"/>
      <c r="N393" s="96">
        <f>SUM(N390:N392)</f>
        <v>204.28</v>
      </c>
      <c r="O393" s="110"/>
      <c r="P393" s="95">
        <f>SUM(P390:P392)</f>
        <v>204.28</v>
      </c>
      <c r="Q393" s="127">
        <f>N393-P393</f>
        <v>0</v>
      </c>
      <c r="R393" s="126"/>
      <c r="S393" s="96">
        <f>SUM(S390:S392)</f>
        <v>204.28</v>
      </c>
      <c r="T393" s="110"/>
      <c r="U393" s="95">
        <f>SUM(U390:U392)</f>
        <v>204.28</v>
      </c>
      <c r="V393" s="127">
        <f>S393-U393</f>
        <v>0</v>
      </c>
    </row>
    <row r="394" spans="1:22" x14ac:dyDescent="0.25">
      <c r="A394" s="144">
        <f t="shared" si="108"/>
        <v>10</v>
      </c>
      <c r="B394" s="145" t="s">
        <v>118</v>
      </c>
      <c r="C394" s="128"/>
      <c r="D394" s="120"/>
      <c r="E394" s="111"/>
      <c r="F394" s="97"/>
      <c r="G394" s="129">
        <f>G393/D393</f>
        <v>0</v>
      </c>
      <c r="H394" s="128"/>
      <c r="I394" s="120"/>
      <c r="J394" s="111"/>
      <c r="K394" s="97"/>
      <c r="L394" s="129">
        <f>L393/I393</f>
        <v>0</v>
      </c>
      <c r="M394" s="128"/>
      <c r="N394" s="120"/>
      <c r="O394" s="111"/>
      <c r="P394" s="97"/>
      <c r="Q394" s="129">
        <f>Q393/N393</f>
        <v>0</v>
      </c>
      <c r="R394" s="128"/>
      <c r="S394" s="120"/>
      <c r="T394" s="111"/>
      <c r="U394" s="97"/>
      <c r="V394" s="129">
        <f>V393/S393</f>
        <v>0</v>
      </c>
    </row>
    <row r="395" spans="1:22" x14ac:dyDescent="0.25">
      <c r="A395" s="146">
        <f t="shared" si="108"/>
        <v>11</v>
      </c>
      <c r="B395" s="131" t="s">
        <v>28</v>
      </c>
      <c r="C395" s="130"/>
      <c r="D395" s="121"/>
      <c r="E395" s="112"/>
      <c r="F395" s="94"/>
      <c r="G395" s="131"/>
      <c r="H395" s="130"/>
      <c r="I395" s="121"/>
      <c r="J395" s="112"/>
      <c r="K395" s="94"/>
      <c r="L395" s="131"/>
      <c r="M395" s="130"/>
      <c r="N395" s="121"/>
      <c r="O395" s="112"/>
      <c r="P395" s="94"/>
      <c r="Q395" s="131"/>
      <c r="R395" s="130"/>
      <c r="S395" s="121"/>
      <c r="T395" s="112"/>
      <c r="U395" s="94"/>
      <c r="V395" s="131"/>
    </row>
    <row r="396" spans="1:22" x14ac:dyDescent="0.25">
      <c r="A396" s="139">
        <f t="shared" si="108"/>
        <v>12</v>
      </c>
      <c r="B396" s="85" t="s">
        <v>5</v>
      </c>
      <c r="C396" s="55">
        <f>'2015 Approved'!$B$4</f>
        <v>18.98</v>
      </c>
      <c r="D396" s="42">
        <f>C396</f>
        <v>18.98</v>
      </c>
      <c r="E396" s="113">
        <f>'2016 Proposed'!$B$3</f>
        <v>18.98</v>
      </c>
      <c r="F396" s="7">
        <f>E396</f>
        <v>18.98</v>
      </c>
      <c r="G396" s="85"/>
      <c r="H396" s="55">
        <f>'2015 Approved'!$M$4</f>
        <v>14.43</v>
      </c>
      <c r="I396" s="42">
        <f>H396</f>
        <v>14.43</v>
      </c>
      <c r="J396" s="113">
        <f>'2016 Proposed'!$B$3</f>
        <v>18.98</v>
      </c>
      <c r="K396" s="7">
        <f>J396</f>
        <v>18.98</v>
      </c>
      <c r="L396" s="85"/>
      <c r="M396" s="55">
        <f>'2015 Approved'!$T$4</f>
        <v>13.44</v>
      </c>
      <c r="N396" s="42">
        <f>M396</f>
        <v>13.44</v>
      </c>
      <c r="O396" s="113">
        <f>'2016 Proposed'!$B$3</f>
        <v>18.98</v>
      </c>
      <c r="P396" s="7">
        <f>O396</f>
        <v>18.98</v>
      </c>
      <c r="Q396" s="85"/>
      <c r="R396" s="55">
        <f>'2015 Approved'!$X$4</f>
        <v>12.52</v>
      </c>
      <c r="S396" s="42">
        <f>R396</f>
        <v>12.52</v>
      </c>
      <c r="T396" s="113">
        <f>'2016 Proposed'!$B$3</f>
        <v>18.98</v>
      </c>
      <c r="U396" s="7">
        <f>T396</f>
        <v>18.98</v>
      </c>
      <c r="V396" s="85"/>
    </row>
    <row r="397" spans="1:22" x14ac:dyDescent="0.25">
      <c r="A397" s="139">
        <f t="shared" si="108"/>
        <v>13</v>
      </c>
      <c r="B397" s="85" t="s">
        <v>86</v>
      </c>
      <c r="C397" s="55">
        <f>'2015 Approved'!$B$5</f>
        <v>0</v>
      </c>
      <c r="D397" s="42">
        <f t="shared" ref="D397:D400" si="109">C397</f>
        <v>0</v>
      </c>
      <c r="E397" s="113">
        <f>'2016 Proposed'!$B$5</f>
        <v>0</v>
      </c>
      <c r="F397" s="7">
        <f t="shared" ref="F397:F400" si="110">E397</f>
        <v>0</v>
      </c>
      <c r="G397" s="85"/>
      <c r="H397" s="55">
        <f>'2015 Approved'!$M$5</f>
        <v>1.23</v>
      </c>
      <c r="I397" s="42">
        <f t="shared" ref="I397:I400" si="111">H397</f>
        <v>1.23</v>
      </c>
      <c r="J397" s="113">
        <f>'2016 Proposed'!$B$5</f>
        <v>0</v>
      </c>
      <c r="K397" s="7">
        <f t="shared" ref="K397:K400" si="112">J397</f>
        <v>0</v>
      </c>
      <c r="L397" s="85"/>
      <c r="M397" s="55">
        <f>'2015 Approved'!$T$5</f>
        <v>1.2</v>
      </c>
      <c r="N397" s="42">
        <f t="shared" ref="N397:N400" si="113">M397</f>
        <v>1.2</v>
      </c>
      <c r="O397" s="113">
        <f>'2016 Proposed'!$B$5</f>
        <v>0</v>
      </c>
      <c r="P397" s="7">
        <f t="shared" ref="P397:P400" si="114">O397</f>
        <v>0</v>
      </c>
      <c r="Q397" s="85"/>
      <c r="R397" s="55">
        <f>'2015 Approved'!$X$5</f>
        <v>0.77</v>
      </c>
      <c r="S397" s="42">
        <f t="shared" ref="S397:S400" si="115">R397</f>
        <v>0.77</v>
      </c>
      <c r="T397" s="113">
        <f>'2016 Proposed'!$B$5</f>
        <v>0</v>
      </c>
      <c r="U397" s="7">
        <f t="shared" ref="U397:U400" si="116">T397</f>
        <v>0</v>
      </c>
      <c r="V397" s="85"/>
    </row>
    <row r="398" spans="1:22" x14ac:dyDescent="0.25">
      <c r="A398" s="139">
        <f t="shared" si="108"/>
        <v>14</v>
      </c>
      <c r="B398" s="85" t="s">
        <v>86</v>
      </c>
      <c r="C398" s="55">
        <f>'2015 Approved'!$B$6</f>
        <v>0</v>
      </c>
      <c r="D398" s="42">
        <f t="shared" si="109"/>
        <v>0</v>
      </c>
      <c r="E398" s="113">
        <f>'2016 Proposed'!$B$6</f>
        <v>0</v>
      </c>
      <c r="F398" s="7">
        <f t="shared" si="110"/>
        <v>0</v>
      </c>
      <c r="G398" s="85"/>
      <c r="H398" s="55">
        <f>'2015 Approved'!$M$6</f>
        <v>0.77</v>
      </c>
      <c r="I398" s="42">
        <f t="shared" si="111"/>
        <v>0.77</v>
      </c>
      <c r="J398" s="113">
        <f>'2016 Proposed'!$B$6</f>
        <v>0</v>
      </c>
      <c r="K398" s="7">
        <f t="shared" si="112"/>
        <v>0</v>
      </c>
      <c r="L398" s="85"/>
      <c r="M398" s="55">
        <f>'2015 Approved'!$T$6</f>
        <v>0</v>
      </c>
      <c r="N398" s="42">
        <f t="shared" si="113"/>
        <v>0</v>
      </c>
      <c r="O398" s="113">
        <f>'2016 Proposed'!$B$6</f>
        <v>0</v>
      </c>
      <c r="P398" s="7">
        <f t="shared" si="114"/>
        <v>0</v>
      </c>
      <c r="Q398" s="85"/>
      <c r="R398" s="55">
        <f>'2015 Approved'!$X$6</f>
        <v>0</v>
      </c>
      <c r="S398" s="42">
        <f t="shared" si="115"/>
        <v>0</v>
      </c>
      <c r="T398" s="113">
        <f>'2016 Proposed'!$B$6</f>
        <v>0</v>
      </c>
      <c r="U398" s="7">
        <f t="shared" si="116"/>
        <v>0</v>
      </c>
      <c r="V398" s="85"/>
    </row>
    <row r="399" spans="1:22" x14ac:dyDescent="0.25">
      <c r="A399" s="139">
        <f t="shared" si="108"/>
        <v>15</v>
      </c>
      <c r="B399" s="85" t="s">
        <v>6</v>
      </c>
      <c r="C399" s="55">
        <f>'2015 Approved'!$B$385</f>
        <v>0</v>
      </c>
      <c r="D399" s="42">
        <f t="shared" si="109"/>
        <v>0</v>
      </c>
      <c r="E399" s="113">
        <f>'2016 Proposed'!$B$385</f>
        <v>0</v>
      </c>
      <c r="F399" s="7">
        <f t="shared" si="110"/>
        <v>0</v>
      </c>
      <c r="G399" s="85"/>
      <c r="H399" s="55">
        <f>'2015 Approved'!$M$385</f>
        <v>0</v>
      </c>
      <c r="I399" s="42">
        <f t="shared" si="111"/>
        <v>0</v>
      </c>
      <c r="J399" s="113">
        <f>'2016 Proposed'!$B$385</f>
        <v>0</v>
      </c>
      <c r="K399" s="7">
        <f t="shared" si="112"/>
        <v>0</v>
      </c>
      <c r="L399" s="85"/>
      <c r="M399" s="55">
        <f>'2015 Approved'!$T$385</f>
        <v>0</v>
      </c>
      <c r="N399" s="42">
        <f t="shared" si="113"/>
        <v>0</v>
      </c>
      <c r="O399" s="113">
        <f>'2016 Proposed'!$B$385</f>
        <v>0</v>
      </c>
      <c r="P399" s="7">
        <f t="shared" si="114"/>
        <v>0</v>
      </c>
      <c r="Q399" s="85"/>
      <c r="R399" s="55">
        <f>'2015 Approved'!$X$385</f>
        <v>0</v>
      </c>
      <c r="S399" s="42">
        <f t="shared" si="115"/>
        <v>0</v>
      </c>
      <c r="T399" s="113">
        <f>'2016 Proposed'!$B$385</f>
        <v>0</v>
      </c>
      <c r="U399" s="7">
        <f t="shared" si="116"/>
        <v>0</v>
      </c>
      <c r="V399" s="85"/>
    </row>
    <row r="400" spans="1:22" x14ac:dyDescent="0.25">
      <c r="A400" s="139">
        <f t="shared" si="108"/>
        <v>16</v>
      </c>
      <c r="B400" s="85" t="s">
        <v>95</v>
      </c>
      <c r="C400" s="55">
        <f>'2015 Approved'!$B$8</f>
        <v>0.79</v>
      </c>
      <c r="D400" s="42">
        <f t="shared" si="109"/>
        <v>0.79</v>
      </c>
      <c r="E400" s="113">
        <f>'2016 Proposed'!$B$8</f>
        <v>0.79</v>
      </c>
      <c r="F400" s="7">
        <f t="shared" si="110"/>
        <v>0.79</v>
      </c>
      <c r="G400" s="85"/>
      <c r="H400" s="55">
        <f>'2015 Approved'!$M$8</f>
        <v>0.79</v>
      </c>
      <c r="I400" s="42">
        <f t="shared" si="111"/>
        <v>0.79</v>
      </c>
      <c r="J400" s="113">
        <f>'2016 Proposed'!$B$8</f>
        <v>0.79</v>
      </c>
      <c r="K400" s="7">
        <f t="shared" si="112"/>
        <v>0.79</v>
      </c>
      <c r="L400" s="85"/>
      <c r="M400" s="55">
        <f>'2015 Approved'!$T$8</f>
        <v>0.79</v>
      </c>
      <c r="N400" s="42">
        <f t="shared" si="113"/>
        <v>0.79</v>
      </c>
      <c r="O400" s="113">
        <f>'2016 Proposed'!$B$8</f>
        <v>0.79</v>
      </c>
      <c r="P400" s="7">
        <f t="shared" si="114"/>
        <v>0.79</v>
      </c>
      <c r="Q400" s="85"/>
      <c r="R400" s="55">
        <f>'2015 Approved'!$X$8</f>
        <v>0.79</v>
      </c>
      <c r="S400" s="42">
        <f t="shared" si="115"/>
        <v>0.79</v>
      </c>
      <c r="T400" s="113">
        <f>'2016 Proposed'!$B$8</f>
        <v>0.79</v>
      </c>
      <c r="U400" s="7">
        <f t="shared" si="116"/>
        <v>0.79</v>
      </c>
      <c r="V400" s="85"/>
    </row>
    <row r="401" spans="1:22" x14ac:dyDescent="0.25">
      <c r="A401" s="139">
        <f t="shared" si="108"/>
        <v>17</v>
      </c>
      <c r="B401" s="85" t="s">
        <v>4</v>
      </c>
      <c r="C401" s="59">
        <f>D393/D385</f>
        <v>0.10213999999999999</v>
      </c>
      <c r="D401" s="42">
        <f>(D388-D385)*C401</f>
        <v>8.7431839999999905</v>
      </c>
      <c r="E401" s="114">
        <f>F393/$F$385</f>
        <v>0.10213999999999999</v>
      </c>
      <c r="F401" s="7">
        <f>(F388-F385)*E401</f>
        <v>8.8044679999999804</v>
      </c>
      <c r="G401" s="85"/>
      <c r="H401" s="59">
        <f>I393/I385</f>
        <v>0.10213999999999999</v>
      </c>
      <c r="I401" s="42">
        <f>(I388-I385)*H401</f>
        <v>12.42022399999999</v>
      </c>
      <c r="J401" s="114">
        <f>K393/$F$385</f>
        <v>0.10213999999999999</v>
      </c>
      <c r="K401" s="7">
        <f>(K388-K385)*J401</f>
        <v>8.8044679999999804</v>
      </c>
      <c r="L401" s="85"/>
      <c r="M401" s="59">
        <f>N393/N385</f>
        <v>0.10213999999999999</v>
      </c>
      <c r="N401" s="42">
        <f>(N388-N385)*M401</f>
        <v>13.523336000000009</v>
      </c>
      <c r="O401" s="114">
        <f>P393/$F$385</f>
        <v>0.10213999999999999</v>
      </c>
      <c r="P401" s="7">
        <f>(P388-P385)*O401</f>
        <v>8.8044679999999804</v>
      </c>
      <c r="Q401" s="85"/>
      <c r="R401" s="59">
        <f>S393/S385</f>
        <v>0.10213999999999999</v>
      </c>
      <c r="S401" s="42">
        <f>(S388-S385)*R401</f>
        <v>11.848239999999999</v>
      </c>
      <c r="T401" s="114">
        <f>U393/$F$385</f>
        <v>0.10213999999999999</v>
      </c>
      <c r="U401" s="7">
        <f>(U388-U385)*T401</f>
        <v>8.8044679999999804</v>
      </c>
      <c r="V401" s="85"/>
    </row>
    <row r="402" spans="1:22" x14ac:dyDescent="0.25">
      <c r="A402" s="139">
        <f t="shared" si="108"/>
        <v>18</v>
      </c>
      <c r="B402" s="85" t="s">
        <v>90</v>
      </c>
      <c r="C402" s="59">
        <f>'2015 Approved'!$B$11</f>
        <v>8.8000000000000005E-3</v>
      </c>
      <c r="D402" s="42">
        <f t="shared" ref="D402:D411" si="117">C402*D$385</f>
        <v>17.600000000000001</v>
      </c>
      <c r="E402" s="114">
        <f>'2016 Proposed'!$B$11</f>
        <v>8.6E-3</v>
      </c>
      <c r="F402" s="7">
        <f t="shared" ref="F402:F409" si="118">E402*F$385</f>
        <v>17.2</v>
      </c>
      <c r="G402" s="85"/>
      <c r="H402" s="59">
        <f>'2015 Approved'!$M$11</f>
        <v>1.46E-2</v>
      </c>
      <c r="I402" s="42">
        <f t="shared" ref="I402:I411" si="119">H402*I$385</f>
        <v>29.2</v>
      </c>
      <c r="J402" s="114">
        <f>'2016 Proposed'!$B$11</f>
        <v>8.6E-3</v>
      </c>
      <c r="K402" s="7">
        <f t="shared" ref="K402:K409" si="120">J402*K$385</f>
        <v>17.2</v>
      </c>
      <c r="L402" s="85"/>
      <c r="M402" s="59">
        <f>'2015 Approved'!$T$11</f>
        <v>1.2699999999999999E-2</v>
      </c>
      <c r="N402" s="42">
        <f t="shared" ref="N402:N411" si="121">M402*N$385</f>
        <v>25.4</v>
      </c>
      <c r="O402" s="114">
        <f>'2016 Proposed'!$B$11</f>
        <v>8.6E-3</v>
      </c>
      <c r="P402" s="7">
        <f t="shared" ref="P402:P409" si="122">O402*P$385</f>
        <v>17.2</v>
      </c>
      <c r="Q402" s="85"/>
      <c r="R402" s="59">
        <f>'2015 Approved'!$X$11</f>
        <v>1.26E-2</v>
      </c>
      <c r="S402" s="42">
        <f t="shared" ref="S402:S411" si="123">R402*S$385</f>
        <v>25.2</v>
      </c>
      <c r="T402" s="114">
        <f>'2016 Proposed'!$B$11</f>
        <v>8.6E-3</v>
      </c>
      <c r="U402" s="7">
        <f t="shared" ref="U402:U409" si="124">T402*U$385</f>
        <v>17.2</v>
      </c>
      <c r="V402" s="85"/>
    </row>
    <row r="403" spans="1:22" x14ac:dyDescent="0.25">
      <c r="A403" s="139">
        <f t="shared" si="108"/>
        <v>19</v>
      </c>
      <c r="B403" s="85" t="s">
        <v>8</v>
      </c>
      <c r="C403" s="59">
        <f>'2015 Approved'!$B$12</f>
        <v>2.9999999999999997E-4</v>
      </c>
      <c r="D403" s="42">
        <f t="shared" si="117"/>
        <v>0.6</v>
      </c>
      <c r="E403" s="114">
        <f>'2016 Proposed'!$B$13</f>
        <v>1.8E-3</v>
      </c>
      <c r="F403" s="7">
        <f t="shared" si="118"/>
        <v>3.6</v>
      </c>
      <c r="G403" s="85"/>
      <c r="H403" s="59">
        <f>'2015 Approved'!$M$12</f>
        <v>2.9999999999999997E-4</v>
      </c>
      <c r="I403" s="42">
        <f t="shared" si="119"/>
        <v>0.6</v>
      </c>
      <c r="J403" s="114">
        <f>'2016 Proposed'!$B$13</f>
        <v>1.8E-3</v>
      </c>
      <c r="K403" s="7">
        <f t="shared" si="120"/>
        <v>3.6</v>
      </c>
      <c r="L403" s="85"/>
      <c r="M403" s="59">
        <f>'2015 Approved'!$T$12</f>
        <v>1.4E-3</v>
      </c>
      <c r="N403" s="42">
        <f t="shared" si="121"/>
        <v>2.8</v>
      </c>
      <c r="O403" s="114">
        <f>'2016 Proposed'!$B$13</f>
        <v>1.8E-3</v>
      </c>
      <c r="P403" s="7">
        <f t="shared" si="122"/>
        <v>3.6</v>
      </c>
      <c r="Q403" s="85"/>
      <c r="R403" s="59">
        <f>'2015 Approved'!$X$12</f>
        <v>4.3E-3</v>
      </c>
      <c r="S403" s="42">
        <f t="shared" si="123"/>
        <v>8.6</v>
      </c>
      <c r="T403" s="114">
        <f>'2016 Proposed'!$B$13</f>
        <v>1.8E-3</v>
      </c>
      <c r="U403" s="7">
        <f t="shared" si="124"/>
        <v>3.6</v>
      </c>
      <c r="V403" s="85"/>
    </row>
    <row r="404" spans="1:22" x14ac:dyDescent="0.25">
      <c r="A404" s="139">
        <f t="shared" si="108"/>
        <v>20</v>
      </c>
      <c r="B404" s="85" t="s">
        <v>87</v>
      </c>
      <c r="C404" s="59">
        <f>'2015 Approved'!$B$13</f>
        <v>0</v>
      </c>
      <c r="D404" s="42">
        <f t="shared" si="117"/>
        <v>0</v>
      </c>
      <c r="E404" s="114">
        <f>'2016 Proposed'!$B$14</f>
        <v>0</v>
      </c>
      <c r="F404" s="7">
        <f t="shared" si="118"/>
        <v>0</v>
      </c>
      <c r="G404" s="85"/>
      <c r="H404" s="59">
        <f>'2015 Approved'!$M$13</f>
        <v>2.0000000000000001E-4</v>
      </c>
      <c r="I404" s="42">
        <f t="shared" si="119"/>
        <v>0.4</v>
      </c>
      <c r="J404" s="114">
        <f>'2016 Proposed'!$B$14</f>
        <v>0</v>
      </c>
      <c r="K404" s="7">
        <f t="shared" si="120"/>
        <v>0</v>
      </c>
      <c r="L404" s="85"/>
      <c r="M404" s="59">
        <f>'2015 Approved'!$T$13</f>
        <v>0</v>
      </c>
      <c r="N404" s="42">
        <f t="shared" si="121"/>
        <v>0</v>
      </c>
      <c r="O404" s="114">
        <f>'2016 Proposed'!$B$14</f>
        <v>0</v>
      </c>
      <c r="P404" s="7">
        <f t="shared" si="122"/>
        <v>0</v>
      </c>
      <c r="Q404" s="85"/>
      <c r="R404" s="59">
        <f>'2015 Approved'!$X$13</f>
        <v>0</v>
      </c>
      <c r="S404" s="42">
        <f t="shared" si="123"/>
        <v>0</v>
      </c>
      <c r="T404" s="114">
        <f>'2016 Proposed'!$B$14</f>
        <v>0</v>
      </c>
      <c r="U404" s="7">
        <f t="shared" si="124"/>
        <v>0</v>
      </c>
      <c r="V404" s="85"/>
    </row>
    <row r="405" spans="1:22" x14ac:dyDescent="0.25">
      <c r="A405" s="139">
        <f t="shared" si="108"/>
        <v>21</v>
      </c>
      <c r="B405" s="85" t="s">
        <v>9</v>
      </c>
      <c r="C405" s="59">
        <f>'2015 Approved'!$B$14</f>
        <v>1E-4</v>
      </c>
      <c r="D405" s="42">
        <f t="shared" si="117"/>
        <v>0.2</v>
      </c>
      <c r="E405" s="114">
        <f>'2016 Proposed'!$B$15</f>
        <v>2.0000000000000001E-4</v>
      </c>
      <c r="F405" s="7">
        <f t="shared" si="118"/>
        <v>0.4</v>
      </c>
      <c r="G405" s="85"/>
      <c r="H405" s="59">
        <f>'2015 Approved'!$M$14</f>
        <v>2.0000000000000001E-4</v>
      </c>
      <c r="I405" s="42">
        <f t="shared" si="119"/>
        <v>0.4</v>
      </c>
      <c r="J405" s="114">
        <f>'2016 Proposed'!$B$15</f>
        <v>2.0000000000000001E-4</v>
      </c>
      <c r="K405" s="7">
        <f t="shared" si="120"/>
        <v>0.4</v>
      </c>
      <c r="L405" s="85"/>
      <c r="M405" s="59">
        <f>'2015 Approved'!$T$14</f>
        <v>0</v>
      </c>
      <c r="N405" s="42">
        <f t="shared" si="121"/>
        <v>0</v>
      </c>
      <c r="O405" s="114">
        <f>'2016 Proposed'!$B$15</f>
        <v>2.0000000000000001E-4</v>
      </c>
      <c r="P405" s="7">
        <f t="shared" si="122"/>
        <v>0.4</v>
      </c>
      <c r="Q405" s="85"/>
      <c r="R405" s="59">
        <f>'2015 Approved'!$X$14</f>
        <v>0</v>
      </c>
      <c r="S405" s="42">
        <f t="shared" si="123"/>
        <v>0</v>
      </c>
      <c r="T405" s="114">
        <f>'2016 Proposed'!$B$15</f>
        <v>2.0000000000000001E-4</v>
      </c>
      <c r="U405" s="7">
        <f t="shared" si="124"/>
        <v>0.4</v>
      </c>
      <c r="V405" s="85"/>
    </row>
    <row r="406" spans="1:22" x14ac:dyDescent="0.25">
      <c r="A406" s="139">
        <f t="shared" si="108"/>
        <v>22</v>
      </c>
      <c r="B406" s="85" t="s">
        <v>10</v>
      </c>
      <c r="C406" s="59">
        <f>'2015 Approved'!$B$15</f>
        <v>-2.0000000000000001E-4</v>
      </c>
      <c r="D406" s="42">
        <f t="shared" si="117"/>
        <v>-0.4</v>
      </c>
      <c r="E406" s="114">
        <f>'2016 Proposed'!$B$16</f>
        <v>0</v>
      </c>
      <c r="F406" s="7">
        <f t="shared" si="118"/>
        <v>0</v>
      </c>
      <c r="G406" s="85"/>
      <c r="H406" s="59">
        <f>'2015 Approved'!$M$15</f>
        <v>-2.0000000000000001E-4</v>
      </c>
      <c r="I406" s="42">
        <f t="shared" si="119"/>
        <v>-0.4</v>
      </c>
      <c r="J406" s="114">
        <f>'2016 Proposed'!$B$16</f>
        <v>0</v>
      </c>
      <c r="K406" s="7">
        <f t="shared" si="120"/>
        <v>0</v>
      </c>
      <c r="L406" s="85"/>
      <c r="M406" s="59">
        <f>'2015 Approved'!$T$15</f>
        <v>0</v>
      </c>
      <c r="N406" s="42">
        <f t="shared" si="121"/>
        <v>0</v>
      </c>
      <c r="O406" s="114">
        <f>'2016 Proposed'!$B$16</f>
        <v>0</v>
      </c>
      <c r="P406" s="7">
        <f t="shared" si="122"/>
        <v>0</v>
      </c>
      <c r="Q406" s="85"/>
      <c r="R406" s="59">
        <f>'2015 Approved'!$X$15</f>
        <v>0</v>
      </c>
      <c r="S406" s="42">
        <f t="shared" si="123"/>
        <v>0</v>
      </c>
      <c r="T406" s="114">
        <f>'2016 Proposed'!$B$16</f>
        <v>0</v>
      </c>
      <c r="U406" s="7">
        <f t="shared" si="124"/>
        <v>0</v>
      </c>
      <c r="V406" s="85"/>
    </row>
    <row r="407" spans="1:22" x14ac:dyDescent="0.25">
      <c r="A407" s="139">
        <f t="shared" si="108"/>
        <v>23</v>
      </c>
      <c r="B407" s="85" t="s">
        <v>101</v>
      </c>
      <c r="C407" s="59">
        <f>'2015 Approved'!$B$16</f>
        <v>0</v>
      </c>
      <c r="D407" s="42">
        <f t="shared" si="117"/>
        <v>0</v>
      </c>
      <c r="E407" s="114">
        <f>'2016 Proposed'!$B$17</f>
        <v>0</v>
      </c>
      <c r="F407" s="7">
        <f t="shared" si="118"/>
        <v>0</v>
      </c>
      <c r="G407" s="85"/>
      <c r="H407" s="59">
        <f>'2015 Approved'!$M$16</f>
        <v>0</v>
      </c>
      <c r="I407" s="42">
        <f t="shared" si="119"/>
        <v>0</v>
      </c>
      <c r="J407" s="114">
        <f>'2016 Proposed'!$B$17</f>
        <v>0</v>
      </c>
      <c r="K407" s="7">
        <f t="shared" si="120"/>
        <v>0</v>
      </c>
      <c r="L407" s="85"/>
      <c r="M407" s="59">
        <f>'2015 Approved'!$T$16</f>
        <v>4.0000000000000002E-4</v>
      </c>
      <c r="N407" s="42">
        <f t="shared" si="121"/>
        <v>0.8</v>
      </c>
      <c r="O407" s="114">
        <f>M407</f>
        <v>4.0000000000000002E-4</v>
      </c>
      <c r="P407" s="7">
        <f t="shared" si="122"/>
        <v>0.8</v>
      </c>
      <c r="Q407" s="85"/>
      <c r="R407" s="59">
        <f>'2015 Approved'!$X$16</f>
        <v>2.3E-3</v>
      </c>
      <c r="S407" s="42">
        <f t="shared" si="123"/>
        <v>4.5999999999999996</v>
      </c>
      <c r="T407" s="114">
        <f>R407</f>
        <v>2.3E-3</v>
      </c>
      <c r="U407" s="7">
        <f t="shared" si="124"/>
        <v>4.5999999999999996</v>
      </c>
      <c r="V407" s="85"/>
    </row>
    <row r="408" spans="1:22" x14ac:dyDescent="0.25">
      <c r="A408" s="139">
        <f t="shared" si="108"/>
        <v>24</v>
      </c>
      <c r="B408" s="85" t="s">
        <v>112</v>
      </c>
      <c r="C408" s="59">
        <f>'2015 Approved'!$B$17</f>
        <v>2.2000000000000001E-3</v>
      </c>
      <c r="D408" s="42">
        <f t="shared" si="117"/>
        <v>4.4000000000000004</v>
      </c>
      <c r="E408" s="114">
        <f>'2016 Proposed'!$B$18</f>
        <v>0</v>
      </c>
      <c r="F408" s="7">
        <f t="shared" si="118"/>
        <v>0</v>
      </c>
      <c r="G408" s="85"/>
      <c r="H408" s="59">
        <f>'2015 Approved'!$M$17</f>
        <v>1.4E-3</v>
      </c>
      <c r="I408" s="42">
        <f t="shared" si="119"/>
        <v>2.8</v>
      </c>
      <c r="J408" s="114">
        <f>'2016 Proposed'!$B$18</f>
        <v>0</v>
      </c>
      <c r="K408" s="7">
        <f t="shared" si="120"/>
        <v>0</v>
      </c>
      <c r="L408" s="85"/>
      <c r="M408" s="59">
        <f>'2015 Approved'!$T$17</f>
        <v>1.6000000000000001E-3</v>
      </c>
      <c r="N408" s="42">
        <f t="shared" si="121"/>
        <v>3.2</v>
      </c>
      <c r="O408" s="114">
        <f>'2016 Proposed'!$B$18</f>
        <v>0</v>
      </c>
      <c r="P408" s="7">
        <f t="shared" si="122"/>
        <v>0</v>
      </c>
      <c r="Q408" s="85"/>
      <c r="R408" s="59">
        <f>'2015 Approved'!$X$17</f>
        <v>5.1999999999999998E-3</v>
      </c>
      <c r="S408" s="42">
        <f t="shared" si="123"/>
        <v>10.4</v>
      </c>
      <c r="T408" s="114">
        <f>'2016 Proposed'!$B$18</f>
        <v>0</v>
      </c>
      <c r="U408" s="7">
        <f t="shared" si="124"/>
        <v>0</v>
      </c>
      <c r="V408" s="85"/>
    </row>
    <row r="409" spans="1:22" x14ac:dyDescent="0.25">
      <c r="A409" s="139">
        <f t="shared" si="108"/>
        <v>25</v>
      </c>
      <c r="B409" s="85" t="s">
        <v>102</v>
      </c>
      <c r="C409" s="59">
        <f>'2015 Approved'!$B$18</f>
        <v>0</v>
      </c>
      <c r="D409" s="42">
        <f t="shared" si="117"/>
        <v>0</v>
      </c>
      <c r="E409" s="114">
        <f>'2016 Proposed'!$B$19</f>
        <v>1.5E-3</v>
      </c>
      <c r="F409" s="7">
        <f t="shared" si="118"/>
        <v>3</v>
      </c>
      <c r="G409" s="85"/>
      <c r="H409" s="59">
        <f>'2015 Approved'!$M$18</f>
        <v>0</v>
      </c>
      <c r="I409" s="42">
        <f t="shared" si="119"/>
        <v>0</v>
      </c>
      <c r="J409" s="114">
        <f>'2016 Proposed'!$B$19</f>
        <v>1.5E-3</v>
      </c>
      <c r="K409" s="7">
        <f t="shared" si="120"/>
        <v>3</v>
      </c>
      <c r="L409" s="85"/>
      <c r="M409" s="59">
        <f>'2015 Approved'!$T$18</f>
        <v>0</v>
      </c>
      <c r="N409" s="42">
        <f t="shared" si="121"/>
        <v>0</v>
      </c>
      <c r="O409" s="114">
        <f>'2016 Proposed'!$B$19</f>
        <v>1.5E-3</v>
      </c>
      <c r="P409" s="7">
        <f t="shared" si="122"/>
        <v>3</v>
      </c>
      <c r="Q409" s="85"/>
      <c r="R409" s="59">
        <f>'2015 Approved'!$X$18</f>
        <v>0</v>
      </c>
      <c r="S409" s="42">
        <f t="shared" si="123"/>
        <v>0</v>
      </c>
      <c r="T409" s="114">
        <f>'2016 Proposed'!$B$19</f>
        <v>1.5E-3</v>
      </c>
      <c r="U409" s="7">
        <f t="shared" si="124"/>
        <v>3</v>
      </c>
      <c r="V409" s="85"/>
    </row>
    <row r="410" spans="1:22" x14ac:dyDescent="0.25">
      <c r="A410" s="139">
        <f t="shared" si="108"/>
        <v>26</v>
      </c>
      <c r="B410" s="85" t="s">
        <v>94</v>
      </c>
      <c r="C410" s="59">
        <f>'2015 Approved'!$B$19</f>
        <v>0</v>
      </c>
      <c r="D410" s="42">
        <f t="shared" si="117"/>
        <v>0</v>
      </c>
      <c r="E410" s="114">
        <f>'2016 Proposed'!$B$20</f>
        <v>0.47</v>
      </c>
      <c r="F410" s="7">
        <f>E410</f>
        <v>0.47</v>
      </c>
      <c r="G410" s="85"/>
      <c r="H410" s="59">
        <f>'2015 Approved'!$M$19</f>
        <v>0</v>
      </c>
      <c r="I410" s="42">
        <f t="shared" si="119"/>
        <v>0</v>
      </c>
      <c r="J410" s="114">
        <f>'2016 Proposed'!$B$20</f>
        <v>0.47</v>
      </c>
      <c r="K410" s="7">
        <f>J410</f>
        <v>0.47</v>
      </c>
      <c r="L410" s="85"/>
      <c r="M410" s="59">
        <f>'2015 Approved'!$T$19</f>
        <v>0</v>
      </c>
      <c r="N410" s="42">
        <f t="shared" si="121"/>
        <v>0</v>
      </c>
      <c r="O410" s="114">
        <f>'2016 Proposed'!$B$20</f>
        <v>0.47</v>
      </c>
      <c r="P410" s="7">
        <f>O410</f>
        <v>0.47</v>
      </c>
      <c r="Q410" s="85"/>
      <c r="R410" s="59">
        <f>'2015 Approved'!$X$19</f>
        <v>0</v>
      </c>
      <c r="S410" s="42">
        <f t="shared" si="123"/>
        <v>0</v>
      </c>
      <c r="T410" s="114">
        <f>'2016 Proposed'!$B$20</f>
        <v>0.47</v>
      </c>
      <c r="U410" s="7">
        <f>T410</f>
        <v>0.47</v>
      </c>
      <c r="V410" s="85"/>
    </row>
    <row r="411" spans="1:22" x14ac:dyDescent="0.25">
      <c r="A411" s="139">
        <f t="shared" si="108"/>
        <v>27</v>
      </c>
      <c r="B411" s="85" t="s">
        <v>104</v>
      </c>
      <c r="C411" s="59">
        <f>'2015 Approved'!$B$20</f>
        <v>0</v>
      </c>
      <c r="D411" s="42">
        <f t="shared" si="117"/>
        <v>0</v>
      </c>
      <c r="E411" s="114">
        <f>'2016 Proposed'!$B$21</f>
        <v>-1.4</v>
      </c>
      <c r="F411" s="7">
        <f>E411</f>
        <v>-1.4</v>
      </c>
      <c r="G411" s="85"/>
      <c r="H411" s="59">
        <f>'2015 Approved'!$M$20</f>
        <v>0</v>
      </c>
      <c r="I411" s="42">
        <f t="shared" si="119"/>
        <v>0</v>
      </c>
      <c r="J411" s="114">
        <f>'2016 Proposed'!$B$21</f>
        <v>-1.4</v>
      </c>
      <c r="K411" s="7">
        <f>J411</f>
        <v>-1.4</v>
      </c>
      <c r="L411" s="85"/>
      <c r="M411" s="59">
        <f>'2015 Approved'!$T$20</f>
        <v>0</v>
      </c>
      <c r="N411" s="42">
        <f t="shared" si="121"/>
        <v>0</v>
      </c>
      <c r="O411" s="114">
        <f>'2016 Proposed'!$B$21</f>
        <v>-1.4</v>
      </c>
      <c r="P411" s="7">
        <f>O411</f>
        <v>-1.4</v>
      </c>
      <c r="Q411" s="85"/>
      <c r="R411" s="59">
        <f>'2015 Approved'!$X$20</f>
        <v>0</v>
      </c>
      <c r="S411" s="42">
        <f t="shared" si="123"/>
        <v>0</v>
      </c>
      <c r="T411" s="114">
        <f>'2016 Proposed'!$B$21</f>
        <v>-1.4</v>
      </c>
      <c r="U411" s="7">
        <f>T411</f>
        <v>-1.4</v>
      </c>
      <c r="V411" s="85"/>
    </row>
    <row r="412" spans="1:22" x14ac:dyDescent="0.25">
      <c r="A412" s="142">
        <f t="shared" si="108"/>
        <v>28</v>
      </c>
      <c r="B412" s="143" t="s">
        <v>26</v>
      </c>
      <c r="C412" s="126"/>
      <c r="D412" s="96">
        <f>SUM(D396:D411)</f>
        <v>50.913183999999994</v>
      </c>
      <c r="E412" s="110"/>
      <c r="F412" s="95">
        <f>SUM(F396:F411)</f>
        <v>51.844467999999985</v>
      </c>
      <c r="G412" s="127">
        <f>F412-D412</f>
        <v>0.9312839999999909</v>
      </c>
      <c r="H412" s="126"/>
      <c r="I412" s="96">
        <f>SUM(I396:I411)</f>
        <v>62.640223999999989</v>
      </c>
      <c r="J412" s="110"/>
      <c r="K412" s="95">
        <f>SUM(K396:K411)</f>
        <v>51.844467999999985</v>
      </c>
      <c r="L412" s="127">
        <f>K412-I412</f>
        <v>-10.795756000000004</v>
      </c>
      <c r="M412" s="126"/>
      <c r="N412" s="96">
        <f>SUM(N396:N411)</f>
        <v>61.153336000000003</v>
      </c>
      <c r="O412" s="110"/>
      <c r="P412" s="95">
        <f>SUM(P396:P411)</f>
        <v>52.644467999999982</v>
      </c>
      <c r="Q412" s="127">
        <f>P412-N412</f>
        <v>-8.508868000000021</v>
      </c>
      <c r="R412" s="126"/>
      <c r="S412" s="96">
        <f>SUM(S396:S411)</f>
        <v>74.72824</v>
      </c>
      <c r="T412" s="110"/>
      <c r="U412" s="95">
        <f>SUM(U396:U411)</f>
        <v>56.444467999999986</v>
      </c>
      <c r="V412" s="127">
        <f>U412-S412</f>
        <v>-18.283772000000013</v>
      </c>
    </row>
    <row r="413" spans="1:22" x14ac:dyDescent="0.25">
      <c r="A413" s="144">
        <f t="shared" si="108"/>
        <v>29</v>
      </c>
      <c r="B413" s="145" t="s">
        <v>118</v>
      </c>
      <c r="C413" s="128"/>
      <c r="D413" s="120"/>
      <c r="E413" s="111"/>
      <c r="F413" s="97"/>
      <c r="G413" s="129">
        <f>G412/D412</f>
        <v>1.8291607926151133E-2</v>
      </c>
      <c r="H413" s="128"/>
      <c r="I413" s="120"/>
      <c r="J413" s="111"/>
      <c r="K413" s="97"/>
      <c r="L413" s="129">
        <f>L412/I412</f>
        <v>-0.17234542456297738</v>
      </c>
      <c r="M413" s="128"/>
      <c r="N413" s="120"/>
      <c r="O413" s="111"/>
      <c r="P413" s="97"/>
      <c r="Q413" s="129">
        <f>Q412/N412</f>
        <v>-0.13913988273673281</v>
      </c>
      <c r="R413" s="128"/>
      <c r="S413" s="120"/>
      <c r="T413" s="111"/>
      <c r="U413" s="97"/>
      <c r="V413" s="129">
        <f>V412/S412</f>
        <v>-0.24467018091152706</v>
      </c>
    </row>
    <row r="414" spans="1:22" x14ac:dyDescent="0.25">
      <c r="A414" s="146">
        <f t="shared" si="108"/>
        <v>30</v>
      </c>
      <c r="B414" s="131" t="s">
        <v>29</v>
      </c>
      <c r="C414" s="130"/>
      <c r="D414" s="121"/>
      <c r="E414" s="112"/>
      <c r="F414" s="94"/>
      <c r="G414" s="131"/>
      <c r="H414" s="130"/>
      <c r="I414" s="121"/>
      <c r="J414" s="112"/>
      <c r="K414" s="94"/>
      <c r="L414" s="131"/>
      <c r="M414" s="130"/>
      <c r="N414" s="121"/>
      <c r="O414" s="112"/>
      <c r="P414" s="94"/>
      <c r="Q414" s="131"/>
      <c r="R414" s="130"/>
      <c r="S414" s="121"/>
      <c r="T414" s="112"/>
      <c r="U414" s="94"/>
      <c r="V414" s="131"/>
    </row>
    <row r="415" spans="1:22" x14ac:dyDescent="0.25">
      <c r="A415" s="139">
        <f t="shared" si="108"/>
        <v>31</v>
      </c>
      <c r="B415" s="85" t="s">
        <v>68</v>
      </c>
      <c r="C415" s="59">
        <f>'2015 Approved'!$B$26</f>
        <v>7.4000000000000003E-3</v>
      </c>
      <c r="D415" s="42">
        <f>C415*D$388</f>
        <v>15.433439999999999</v>
      </c>
      <c r="E415" s="114">
        <f>'2016 Proposed'!$B$28</f>
        <v>7.3000000000000001E-3</v>
      </c>
      <c r="F415" s="7">
        <f>E415*F$388</f>
        <v>15.229259999999998</v>
      </c>
      <c r="G415" s="85"/>
      <c r="H415" s="59">
        <f>'2015 Approved'!$M$26</f>
        <v>7.1999999999999998E-3</v>
      </c>
      <c r="I415" s="42">
        <f>H415*I$388</f>
        <v>15.275519999999998</v>
      </c>
      <c r="J415" s="114">
        <f>'2016 Proposed'!$B$28</f>
        <v>7.3000000000000001E-3</v>
      </c>
      <c r="K415" s="7">
        <f>J415*K$388</f>
        <v>15.229259999999998</v>
      </c>
      <c r="L415" s="85"/>
      <c r="M415" s="59">
        <f>'2015 Approved'!$T$26</f>
        <v>7.6E-3</v>
      </c>
      <c r="N415" s="42">
        <f>M415*N$388</f>
        <v>16.206240000000001</v>
      </c>
      <c r="O415" s="114">
        <f>'2016 Proposed'!$B$28</f>
        <v>7.3000000000000001E-3</v>
      </c>
      <c r="P415" s="7">
        <f>O415*P$388</f>
        <v>15.229259999999998</v>
      </c>
      <c r="Q415" s="85"/>
      <c r="R415" s="59">
        <f>'2015 Approved'!$X$26</f>
        <v>7.4450068112693092E-3</v>
      </c>
      <c r="S415" s="42">
        <f>R415*S$388</f>
        <v>15.753634412645859</v>
      </c>
      <c r="T415" s="114">
        <f>'2016 Proposed'!$B$28</f>
        <v>7.3000000000000001E-3</v>
      </c>
      <c r="U415" s="7">
        <f>T415*U$388</f>
        <v>15.229259999999998</v>
      </c>
      <c r="V415" s="85"/>
    </row>
    <row r="416" spans="1:22" x14ac:dyDescent="0.25">
      <c r="A416" s="139">
        <f t="shared" si="108"/>
        <v>32</v>
      </c>
      <c r="B416" s="85" t="s">
        <v>69</v>
      </c>
      <c r="C416" s="59">
        <f>'2015 Approved'!$B$27</f>
        <v>5.3E-3</v>
      </c>
      <c r="D416" s="42">
        <f>C416*D$388</f>
        <v>11.05368</v>
      </c>
      <c r="E416" s="114">
        <f>'2016 Proposed'!$B$29</f>
        <v>5.4000000000000003E-3</v>
      </c>
      <c r="F416" s="7">
        <f>E416*F$388</f>
        <v>11.26548</v>
      </c>
      <c r="G416" s="85"/>
      <c r="H416" s="59">
        <f>'2015 Approved'!$M$27</f>
        <v>5.1000000000000004E-3</v>
      </c>
      <c r="I416" s="42">
        <f>H416*I$388</f>
        <v>10.82016</v>
      </c>
      <c r="J416" s="114">
        <f>'2016 Proposed'!$B$29</f>
        <v>5.4000000000000003E-3</v>
      </c>
      <c r="K416" s="7">
        <f>J416*K$388</f>
        <v>11.26548</v>
      </c>
      <c r="L416" s="85"/>
      <c r="M416" s="59">
        <f>'2015 Approved'!$T$27</f>
        <v>5.5999999999999999E-3</v>
      </c>
      <c r="N416" s="42">
        <f>M416*N$388</f>
        <v>11.94144</v>
      </c>
      <c r="O416" s="114">
        <f>'2016 Proposed'!$B$29</f>
        <v>5.4000000000000003E-3</v>
      </c>
      <c r="P416" s="7">
        <f>O416*P$388</f>
        <v>11.26548</v>
      </c>
      <c r="Q416" s="85"/>
      <c r="R416" s="59">
        <f>'2015 Approved'!$X$27</f>
        <v>3.7551994493456586E-3</v>
      </c>
      <c r="S416" s="42">
        <f>R416*S$388</f>
        <v>7.9460020348154137</v>
      </c>
      <c r="T416" s="114">
        <f>'2016 Proposed'!$B$29</f>
        <v>5.4000000000000003E-3</v>
      </c>
      <c r="U416" s="7">
        <f>T416*U$388</f>
        <v>11.26548</v>
      </c>
      <c r="V416" s="85"/>
    </row>
    <row r="417" spans="1:22" x14ac:dyDescent="0.25">
      <c r="A417" s="142">
        <f t="shared" si="108"/>
        <v>33</v>
      </c>
      <c r="B417" s="143" t="s">
        <v>26</v>
      </c>
      <c r="C417" s="126"/>
      <c r="D417" s="96">
        <f>SUM(D415:D416)</f>
        <v>26.487119999999997</v>
      </c>
      <c r="E417" s="110"/>
      <c r="F417" s="95">
        <f>SUM(F415:F416)</f>
        <v>26.49474</v>
      </c>
      <c r="G417" s="127">
        <f>F417-D417</f>
        <v>7.6200000000028467E-3</v>
      </c>
      <c r="H417" s="126"/>
      <c r="I417" s="96">
        <f>SUM(I415:I416)</f>
        <v>26.095679999999998</v>
      </c>
      <c r="J417" s="110"/>
      <c r="K417" s="95">
        <f>SUM(K415:K416)</f>
        <v>26.49474</v>
      </c>
      <c r="L417" s="127">
        <f>K417-I417</f>
        <v>0.39906000000000219</v>
      </c>
      <c r="M417" s="126"/>
      <c r="N417" s="96">
        <f>SUM(N415:N416)</f>
        <v>28.147680000000001</v>
      </c>
      <c r="O417" s="110"/>
      <c r="P417" s="95">
        <f>SUM(P415:P416)</f>
        <v>26.49474</v>
      </c>
      <c r="Q417" s="127">
        <f>P417-N417</f>
        <v>-1.652940000000001</v>
      </c>
      <c r="R417" s="126"/>
      <c r="S417" s="96">
        <f>SUM(S415:S416)</f>
        <v>23.699636447461273</v>
      </c>
      <c r="T417" s="110"/>
      <c r="U417" s="95">
        <f>SUM(U415:U416)</f>
        <v>26.49474</v>
      </c>
      <c r="V417" s="127">
        <f>U417-S417</f>
        <v>2.7951035525387269</v>
      </c>
    </row>
    <row r="418" spans="1:22" x14ac:dyDescent="0.25">
      <c r="A418" s="144">
        <f t="shared" si="108"/>
        <v>34</v>
      </c>
      <c r="B418" s="145" t="s">
        <v>118</v>
      </c>
      <c r="C418" s="128"/>
      <c r="D418" s="120"/>
      <c r="E418" s="111"/>
      <c r="F418" s="97"/>
      <c r="G418" s="129">
        <f>G417/D417</f>
        <v>2.8768699654786354E-4</v>
      </c>
      <c r="H418" s="128"/>
      <c r="I418" s="120"/>
      <c r="J418" s="111"/>
      <c r="K418" s="97"/>
      <c r="L418" s="129">
        <f>L417/I417</f>
        <v>1.5292186292903739E-2</v>
      </c>
      <c r="M418" s="128"/>
      <c r="N418" s="120"/>
      <c r="O418" s="111"/>
      <c r="P418" s="97"/>
      <c r="Q418" s="129">
        <f>Q417/N417</f>
        <v>-5.8723845091318394E-2</v>
      </c>
      <c r="R418" s="128"/>
      <c r="S418" s="120"/>
      <c r="T418" s="111"/>
      <c r="U418" s="97"/>
      <c r="V418" s="129">
        <f>V417/S417</f>
        <v>0.11793866790889701</v>
      </c>
    </row>
    <row r="419" spans="1:22" x14ac:dyDescent="0.25">
      <c r="A419" s="146">
        <f t="shared" si="108"/>
        <v>35</v>
      </c>
      <c r="B419" s="131" t="s">
        <v>30</v>
      </c>
      <c r="C419" s="130"/>
      <c r="D419" s="121"/>
      <c r="E419" s="112"/>
      <c r="F419" s="94"/>
      <c r="G419" s="131"/>
      <c r="H419" s="130"/>
      <c r="I419" s="121"/>
      <c r="J419" s="112"/>
      <c r="K419" s="94"/>
      <c r="L419" s="131"/>
      <c r="M419" s="130"/>
      <c r="N419" s="121"/>
      <c r="O419" s="112"/>
      <c r="P419" s="94"/>
      <c r="Q419" s="131"/>
      <c r="R419" s="130"/>
      <c r="S419" s="121"/>
      <c r="T419" s="112"/>
      <c r="U419" s="94"/>
      <c r="V419" s="131"/>
    </row>
    <row r="420" spans="1:22" x14ac:dyDescent="0.25">
      <c r="A420" s="139">
        <f t="shared" si="108"/>
        <v>36</v>
      </c>
      <c r="B420" s="85" t="s">
        <v>66</v>
      </c>
      <c r="C420" s="59">
        <f>WMSR+RRRP</f>
        <v>5.7000000000000002E-3</v>
      </c>
      <c r="D420" s="42">
        <f>C420*D388</f>
        <v>11.887919999999999</v>
      </c>
      <c r="E420" s="114">
        <f>WMSR+RRRP</f>
        <v>5.7000000000000002E-3</v>
      </c>
      <c r="F420" s="7">
        <f>E420*F388</f>
        <v>11.89134</v>
      </c>
      <c r="G420" s="85"/>
      <c r="H420" s="59">
        <f>WMSR+RRRP</f>
        <v>5.7000000000000002E-3</v>
      </c>
      <c r="I420" s="42">
        <f>H420*I388</f>
        <v>12.093120000000001</v>
      </c>
      <c r="J420" s="114">
        <f>WMSR+RRRP</f>
        <v>5.7000000000000002E-3</v>
      </c>
      <c r="K420" s="7">
        <f>J420*K388</f>
        <v>11.89134</v>
      </c>
      <c r="L420" s="85"/>
      <c r="M420" s="59">
        <f>WMSR+RRRP</f>
        <v>5.7000000000000002E-3</v>
      </c>
      <c r="N420" s="42">
        <f>M420*N388</f>
        <v>12.154680000000001</v>
      </c>
      <c r="O420" s="114">
        <f>WMSR+RRRP</f>
        <v>5.7000000000000002E-3</v>
      </c>
      <c r="P420" s="7">
        <f>O420*P388</f>
        <v>11.89134</v>
      </c>
      <c r="Q420" s="85"/>
      <c r="R420" s="59">
        <f>WMSR+RRRP</f>
        <v>5.7000000000000002E-3</v>
      </c>
      <c r="S420" s="42">
        <f>R420*S388</f>
        <v>12.061200000000001</v>
      </c>
      <c r="T420" s="114">
        <f>WMSR+RRRP</f>
        <v>5.7000000000000002E-3</v>
      </c>
      <c r="U420" s="7">
        <f>T420*U388</f>
        <v>11.89134</v>
      </c>
      <c r="V420" s="85"/>
    </row>
    <row r="421" spans="1:22" x14ac:dyDescent="0.25">
      <c r="A421" s="139">
        <f t="shared" si="108"/>
        <v>37</v>
      </c>
      <c r="B421" s="85" t="s">
        <v>67</v>
      </c>
      <c r="C421" s="59">
        <f>SSS</f>
        <v>0.25</v>
      </c>
      <c r="D421" s="42">
        <f>C421</f>
        <v>0.25</v>
      </c>
      <c r="E421" s="114">
        <f>SSS</f>
        <v>0.25</v>
      </c>
      <c r="F421" s="7">
        <f>E421</f>
        <v>0.25</v>
      </c>
      <c r="G421" s="85"/>
      <c r="H421" s="59">
        <f>SSS</f>
        <v>0.25</v>
      </c>
      <c r="I421" s="42">
        <f>H421</f>
        <v>0.25</v>
      </c>
      <c r="J421" s="114">
        <f>SSS</f>
        <v>0.25</v>
      </c>
      <c r="K421" s="7">
        <f>J421</f>
        <v>0.25</v>
      </c>
      <c r="L421" s="85"/>
      <c r="M421" s="59">
        <f>SSS</f>
        <v>0.25</v>
      </c>
      <c r="N421" s="42">
        <f>M421</f>
        <v>0.25</v>
      </c>
      <c r="O421" s="114">
        <f>SSS</f>
        <v>0.25</v>
      </c>
      <c r="P421" s="7">
        <f>O421</f>
        <v>0.25</v>
      </c>
      <c r="Q421" s="85"/>
      <c r="R421" s="59">
        <f>SSS</f>
        <v>0.25</v>
      </c>
      <c r="S421" s="42">
        <f>R421</f>
        <v>0.25</v>
      </c>
      <c r="T421" s="114">
        <f>SSS</f>
        <v>0.25</v>
      </c>
      <c r="U421" s="7">
        <f>T421</f>
        <v>0.25</v>
      </c>
      <c r="V421" s="85"/>
    </row>
    <row r="422" spans="1:22" x14ac:dyDescent="0.25">
      <c r="A422" s="139">
        <f t="shared" si="108"/>
        <v>38</v>
      </c>
      <c r="B422" s="85" t="s">
        <v>11</v>
      </c>
      <c r="C422" s="59">
        <v>7.0000000000000001E-3</v>
      </c>
      <c r="D422" s="42">
        <f>C422*D385</f>
        <v>14</v>
      </c>
      <c r="E422" s="114">
        <v>7.0000000000000001E-3</v>
      </c>
      <c r="F422" s="7">
        <f>E422*F385</f>
        <v>14</v>
      </c>
      <c r="G422" s="85"/>
      <c r="H422" s="59">
        <v>7.0000000000000001E-3</v>
      </c>
      <c r="I422" s="42">
        <f>H422*I385</f>
        <v>14</v>
      </c>
      <c r="J422" s="114">
        <v>7.0000000000000001E-3</v>
      </c>
      <c r="K422" s="7">
        <f>J422*K385</f>
        <v>14</v>
      </c>
      <c r="L422" s="85"/>
      <c r="M422" s="59">
        <v>7.0000000000000001E-3</v>
      </c>
      <c r="N422" s="42">
        <f>M422*N385</f>
        <v>14</v>
      </c>
      <c r="O422" s="114">
        <v>7.0000000000000001E-3</v>
      </c>
      <c r="P422" s="7">
        <f>O422*P385</f>
        <v>14</v>
      </c>
      <c r="Q422" s="85"/>
      <c r="R422" s="59">
        <v>7.0000000000000001E-3</v>
      </c>
      <c r="S422" s="42">
        <f>R422*S385</f>
        <v>14</v>
      </c>
      <c r="T422" s="114">
        <v>7.0000000000000001E-3</v>
      </c>
      <c r="U422" s="7">
        <f>T422*U385</f>
        <v>14</v>
      </c>
      <c r="V422" s="85"/>
    </row>
    <row r="423" spans="1:22" x14ac:dyDescent="0.25">
      <c r="A423" s="139">
        <f t="shared" si="108"/>
        <v>39</v>
      </c>
      <c r="B423" s="85" t="s">
        <v>31</v>
      </c>
      <c r="C423" s="86">
        <v>0</v>
      </c>
      <c r="D423" s="42"/>
      <c r="E423" s="106">
        <v>0</v>
      </c>
      <c r="F423" s="7"/>
      <c r="G423" s="85"/>
      <c r="H423" s="86">
        <v>0</v>
      </c>
      <c r="I423" s="42"/>
      <c r="J423" s="106">
        <v>0</v>
      </c>
      <c r="K423" s="7"/>
      <c r="L423" s="85"/>
      <c r="M423" s="86">
        <v>0</v>
      </c>
      <c r="N423" s="42"/>
      <c r="O423" s="106">
        <v>0</v>
      </c>
      <c r="P423" s="7"/>
      <c r="Q423" s="85"/>
      <c r="R423" s="86">
        <v>0</v>
      </c>
      <c r="S423" s="42"/>
      <c r="T423" s="106">
        <v>0</v>
      </c>
      <c r="U423" s="7"/>
      <c r="V423" s="85"/>
    </row>
    <row r="424" spans="1:22" x14ac:dyDescent="0.25">
      <c r="A424" s="142">
        <f t="shared" si="108"/>
        <v>40</v>
      </c>
      <c r="B424" s="143" t="s">
        <v>12</v>
      </c>
      <c r="C424" s="126"/>
      <c r="D424" s="96">
        <f>SUM(D420:D423)</f>
        <v>26.137920000000001</v>
      </c>
      <c r="E424" s="110"/>
      <c r="F424" s="95">
        <f>SUM(F420:F423)</f>
        <v>26.14134</v>
      </c>
      <c r="G424" s="127">
        <f>F424-D424</f>
        <v>3.4199999999984243E-3</v>
      </c>
      <c r="H424" s="126"/>
      <c r="I424" s="96">
        <f>SUM(I420:I423)</f>
        <v>26.343119999999999</v>
      </c>
      <c r="J424" s="110"/>
      <c r="K424" s="95">
        <f>SUM(K420:K423)</f>
        <v>26.14134</v>
      </c>
      <c r="L424" s="127">
        <f>K424-I424</f>
        <v>-0.2017799999999994</v>
      </c>
      <c r="M424" s="126"/>
      <c r="N424" s="96">
        <f>SUM(N420:N423)</f>
        <v>26.404679999999999</v>
      </c>
      <c r="O424" s="110"/>
      <c r="P424" s="95">
        <f>SUM(P420:P423)</f>
        <v>26.14134</v>
      </c>
      <c r="Q424" s="127">
        <f>P424-N424</f>
        <v>-0.26333999999999946</v>
      </c>
      <c r="R424" s="126"/>
      <c r="S424" s="96">
        <f>SUM(S420:S423)</f>
        <v>26.311199999999999</v>
      </c>
      <c r="T424" s="110"/>
      <c r="U424" s="95">
        <f>SUM(U420:U423)</f>
        <v>26.14134</v>
      </c>
      <c r="V424" s="127">
        <f>U424-S424</f>
        <v>-0.1698599999999999</v>
      </c>
    </row>
    <row r="425" spans="1:22" x14ac:dyDescent="0.25">
      <c r="A425" s="144">
        <f t="shared" si="108"/>
        <v>41</v>
      </c>
      <c r="B425" s="145" t="s">
        <v>118</v>
      </c>
      <c r="C425" s="128"/>
      <c r="D425" s="120"/>
      <c r="E425" s="111"/>
      <c r="F425" s="97"/>
      <c r="G425" s="129">
        <f>G424/D424</f>
        <v>1.3084438241445473E-4</v>
      </c>
      <c r="H425" s="128"/>
      <c r="I425" s="120"/>
      <c r="J425" s="111"/>
      <c r="K425" s="97"/>
      <c r="L425" s="129">
        <f>L424/I424</f>
        <v>-7.6596849575904227E-3</v>
      </c>
      <c r="M425" s="128"/>
      <c r="N425" s="120"/>
      <c r="O425" s="111"/>
      <c r="P425" s="97"/>
      <c r="Q425" s="129">
        <f>Q424/N424</f>
        <v>-9.973232017960432E-3</v>
      </c>
      <c r="R425" s="128"/>
      <c r="S425" s="120"/>
      <c r="T425" s="111"/>
      <c r="U425" s="97"/>
      <c r="V425" s="129">
        <f>V424/S424</f>
        <v>-6.4558058925476567E-3</v>
      </c>
    </row>
    <row r="426" spans="1:22" x14ac:dyDescent="0.25">
      <c r="A426" s="147">
        <f t="shared" si="108"/>
        <v>42</v>
      </c>
      <c r="B426" s="133" t="s">
        <v>129</v>
      </c>
      <c r="C426" s="132"/>
      <c r="D426" s="122">
        <f>D393+D412+D417+D424</f>
        <v>307.81822399999999</v>
      </c>
      <c r="E426" s="115"/>
      <c r="F426" s="102">
        <f>F393+F412+F417+F424</f>
        <v>308.76054799999997</v>
      </c>
      <c r="G426" s="133"/>
      <c r="H426" s="132"/>
      <c r="I426" s="122">
        <f>I393+I412+I417+I424</f>
        <v>319.35902399999998</v>
      </c>
      <c r="J426" s="115"/>
      <c r="K426" s="102">
        <f>K393+K412+K417+K424</f>
        <v>308.76054799999997</v>
      </c>
      <c r="L426" s="133"/>
      <c r="M426" s="132"/>
      <c r="N426" s="122">
        <f>N393+N412+N417+N424</f>
        <v>319.98569599999996</v>
      </c>
      <c r="O426" s="115"/>
      <c r="P426" s="102">
        <f>P393+P412+P417+P424</f>
        <v>309.56054799999998</v>
      </c>
      <c r="Q426" s="133"/>
      <c r="R426" s="132"/>
      <c r="S426" s="122">
        <f>S393+S412+S417+S424</f>
        <v>329.01907644746126</v>
      </c>
      <c r="T426" s="115"/>
      <c r="U426" s="102">
        <f>U393+U412+U417+U424</f>
        <v>313.36054799999999</v>
      </c>
      <c r="V426" s="133"/>
    </row>
    <row r="427" spans="1:22" x14ac:dyDescent="0.25">
      <c r="A427" s="148">
        <f t="shared" si="108"/>
        <v>43</v>
      </c>
      <c r="B427" s="134" t="s">
        <v>13</v>
      </c>
      <c r="C427" s="87"/>
      <c r="D427" s="43">
        <f>D426*0.13</f>
        <v>40.01636912</v>
      </c>
      <c r="E427" s="116"/>
      <c r="F427" s="99">
        <f>F426*0.13</f>
        <v>40.13887124</v>
      </c>
      <c r="G427" s="134"/>
      <c r="H427" s="87"/>
      <c r="I427" s="43">
        <f>I426*0.13</f>
        <v>41.51667312</v>
      </c>
      <c r="J427" s="116"/>
      <c r="K427" s="99">
        <f>K426*0.13</f>
        <v>40.13887124</v>
      </c>
      <c r="L427" s="134"/>
      <c r="M427" s="87"/>
      <c r="N427" s="43">
        <f>N426*0.13</f>
        <v>41.598140479999998</v>
      </c>
      <c r="O427" s="116"/>
      <c r="P427" s="99">
        <f>P426*0.13</f>
        <v>40.242871239999999</v>
      </c>
      <c r="Q427" s="134"/>
      <c r="R427" s="87"/>
      <c r="S427" s="43">
        <f>S426*0.13</f>
        <v>42.772479938169965</v>
      </c>
      <c r="T427" s="116"/>
      <c r="U427" s="99">
        <f>U426*0.13</f>
        <v>40.736871239999999</v>
      </c>
      <c r="V427" s="134"/>
    </row>
    <row r="428" spans="1:22" x14ac:dyDescent="0.25">
      <c r="A428" s="141">
        <f t="shared" si="108"/>
        <v>44</v>
      </c>
      <c r="B428" s="125" t="s">
        <v>14</v>
      </c>
      <c r="C428" s="88"/>
      <c r="D428" s="69">
        <f>SUM(D426:D427)*-0.1</f>
        <v>-34.783459311999998</v>
      </c>
      <c r="E428" s="117"/>
      <c r="F428" s="70">
        <f>SUM(F426:F427)*-0.1</f>
        <v>-34.889941923999999</v>
      </c>
      <c r="G428" s="125"/>
      <c r="H428" s="88"/>
      <c r="I428" s="69">
        <f>SUM(I426:I427)*-0.1</f>
        <v>-36.087569711999997</v>
      </c>
      <c r="J428" s="117"/>
      <c r="K428" s="70">
        <f>SUM(K426:K427)*-0.1</f>
        <v>-34.889941923999999</v>
      </c>
      <c r="L428" s="125"/>
      <c r="M428" s="88"/>
      <c r="N428" s="69">
        <f>SUM(N426:N427)*-0.1</f>
        <v>-36.158383647999997</v>
      </c>
      <c r="O428" s="117"/>
      <c r="P428" s="70">
        <f>SUM(P426:P427)*-0.1</f>
        <v>-34.980341924000001</v>
      </c>
      <c r="Q428" s="125"/>
      <c r="R428" s="88"/>
      <c r="S428" s="69">
        <f>SUM(S426:S427)*-0.1</f>
        <v>-37.179155638563124</v>
      </c>
      <c r="T428" s="117"/>
      <c r="U428" s="70">
        <f>SUM(U426:U427)*-0.1</f>
        <v>-35.409741924000002</v>
      </c>
      <c r="V428" s="125"/>
    </row>
    <row r="429" spans="1:22" x14ac:dyDescent="0.25">
      <c r="A429" s="149">
        <f t="shared" si="108"/>
        <v>45</v>
      </c>
      <c r="B429" s="150" t="s">
        <v>15</v>
      </c>
      <c r="C429" s="135"/>
      <c r="D429" s="104">
        <f>SUM(D426:D428)</f>
        <v>313.05113380799997</v>
      </c>
      <c r="E429" s="118"/>
      <c r="F429" s="103">
        <f>SUM(F426:F428)</f>
        <v>314.00947731600002</v>
      </c>
      <c r="G429" s="136">
        <f>F429-D429</f>
        <v>0.95834350800004131</v>
      </c>
      <c r="H429" s="135"/>
      <c r="I429" s="104">
        <f>SUM(I426:I428)</f>
        <v>324.78812740799998</v>
      </c>
      <c r="J429" s="118"/>
      <c r="K429" s="103">
        <f>SUM(K426:K428)</f>
        <v>314.00947731600002</v>
      </c>
      <c r="L429" s="136">
        <f>K429-I429</f>
        <v>-10.778650091999964</v>
      </c>
      <c r="M429" s="135"/>
      <c r="N429" s="104">
        <f>SUM(N426:N428)</f>
        <v>325.42545283199996</v>
      </c>
      <c r="O429" s="118"/>
      <c r="P429" s="103">
        <f>SUM(P426:P428)</f>
        <v>314.82307731599997</v>
      </c>
      <c r="Q429" s="136">
        <f>P429-N429</f>
        <v>-10.602375515999995</v>
      </c>
      <c r="R429" s="135"/>
      <c r="S429" s="104">
        <f>SUM(S426:S428)</f>
        <v>334.61240074706808</v>
      </c>
      <c r="T429" s="118"/>
      <c r="U429" s="103">
        <f>SUM(U426:U428)</f>
        <v>318.68767731600002</v>
      </c>
      <c r="V429" s="136">
        <f>U429-S429</f>
        <v>-15.92472343106806</v>
      </c>
    </row>
    <row r="430" spans="1:22" x14ac:dyDescent="0.25">
      <c r="A430" s="151">
        <f t="shared" si="108"/>
        <v>46</v>
      </c>
      <c r="B430" s="152" t="s">
        <v>118</v>
      </c>
      <c r="C430" s="137"/>
      <c r="D430" s="123"/>
      <c r="E430" s="119"/>
      <c r="F430" s="105"/>
      <c r="G430" s="138">
        <f>G429/D429</f>
        <v>3.0613002302295159E-3</v>
      </c>
      <c r="H430" s="137"/>
      <c r="I430" s="123"/>
      <c r="J430" s="119"/>
      <c r="K430" s="105"/>
      <c r="L430" s="138">
        <f>L429/I429</f>
        <v>-3.3186712143759449E-2</v>
      </c>
      <c r="M430" s="137"/>
      <c r="N430" s="123"/>
      <c r="O430" s="119"/>
      <c r="P430" s="105"/>
      <c r="Q430" s="138">
        <f>Q429/N429</f>
        <v>-3.25800438279591E-2</v>
      </c>
      <c r="R430" s="137"/>
      <c r="S430" s="123"/>
      <c r="T430" s="119"/>
      <c r="U430" s="105"/>
      <c r="V430" s="138">
        <f>V429/S429</f>
        <v>-4.7591551883653833E-2</v>
      </c>
    </row>
    <row r="431" spans="1:22" x14ac:dyDescent="0.25">
      <c r="A431" s="191">
        <f>A430+1</f>
        <v>47</v>
      </c>
      <c r="B431" s="192" t="s">
        <v>16</v>
      </c>
      <c r="C431" s="193"/>
      <c r="D431" s="194"/>
      <c r="E431" s="195"/>
      <c r="F431" s="196"/>
      <c r="G431" s="192"/>
      <c r="H431" s="193"/>
      <c r="I431" s="194"/>
      <c r="J431" s="195"/>
      <c r="K431" s="196"/>
      <c r="L431" s="192"/>
      <c r="M431" s="193"/>
      <c r="N431" s="194"/>
      <c r="O431" s="195"/>
      <c r="P431" s="196"/>
      <c r="Q431" s="192"/>
      <c r="R431" s="193"/>
      <c r="S431" s="194"/>
      <c r="T431" s="195"/>
      <c r="U431" s="196"/>
      <c r="V431" s="192"/>
    </row>
    <row r="432" spans="1:22" x14ac:dyDescent="0.25">
      <c r="A432" s="148">
        <f>A431+1</f>
        <v>48</v>
      </c>
      <c r="B432" s="134" t="s">
        <v>127</v>
      </c>
      <c r="C432" s="202">
        <f>'2015 Approved'!$B$23</f>
        <v>0</v>
      </c>
      <c r="D432" s="43">
        <f>C432*D385</f>
        <v>0</v>
      </c>
      <c r="E432" s="203">
        <f>C432</f>
        <v>0</v>
      </c>
      <c r="F432" s="99">
        <f>E432*F385</f>
        <v>0</v>
      </c>
      <c r="G432" s="134"/>
      <c r="H432" s="59">
        <f>'2015 Approved'!$M$23</f>
        <v>0</v>
      </c>
      <c r="I432" s="43">
        <f>H432*I385</f>
        <v>0</v>
      </c>
      <c r="J432" s="203">
        <f>H432</f>
        <v>0</v>
      </c>
      <c r="K432" s="7">
        <f>J432*K385</f>
        <v>0</v>
      </c>
      <c r="L432" s="134"/>
      <c r="M432" s="59">
        <f>'2015 Approved'!T401</f>
        <v>0</v>
      </c>
      <c r="N432" s="43">
        <f>M432*N385</f>
        <v>0</v>
      </c>
      <c r="O432" s="203">
        <f>M432</f>
        <v>0</v>
      </c>
      <c r="P432" s="7">
        <f>O432*P385</f>
        <v>0</v>
      </c>
      <c r="Q432" s="134"/>
      <c r="R432" s="59">
        <f>'2015 Approved'!$X$23</f>
        <v>3.0999999999999999E-3</v>
      </c>
      <c r="S432" s="43">
        <f>R432*S385</f>
        <v>6.2</v>
      </c>
      <c r="T432" s="203">
        <f>R432</f>
        <v>3.0999999999999999E-3</v>
      </c>
      <c r="U432" s="7">
        <f>T432*U385</f>
        <v>6.2</v>
      </c>
      <c r="V432" s="134"/>
    </row>
    <row r="433" spans="1:22" x14ac:dyDescent="0.25">
      <c r="A433" s="148">
        <f>A432+1</f>
        <v>49</v>
      </c>
      <c r="B433" s="85" t="s">
        <v>128</v>
      </c>
      <c r="C433" s="59">
        <f>'2015 Approved'!$B$24</f>
        <v>3.1999999999999997E-3</v>
      </c>
      <c r="D433" s="42">
        <f>C433*D385</f>
        <v>6.3999999999999995</v>
      </c>
      <c r="E433" s="203">
        <f>'2016 Proposed'!$B$26</f>
        <v>3.3999999999999998E-3</v>
      </c>
      <c r="F433" s="7">
        <f>E433*F385</f>
        <v>6.8</v>
      </c>
      <c r="G433" s="85"/>
      <c r="H433" s="59">
        <f>'2015 Approved'!$M$24</f>
        <v>-8.0000000000000004E-4</v>
      </c>
      <c r="I433" s="42">
        <f>H433*I385</f>
        <v>-1.6</v>
      </c>
      <c r="J433" s="114">
        <f>'2016 Proposed'!$B$26</f>
        <v>3.3999999999999998E-3</v>
      </c>
      <c r="K433" s="7">
        <f>J433*K385</f>
        <v>6.8</v>
      </c>
      <c r="L433" s="85"/>
      <c r="M433" s="59">
        <f>'2015 Approved'!$T$24</f>
        <v>-4.0000000000000002E-4</v>
      </c>
      <c r="N433" s="42">
        <f>M433*N385</f>
        <v>-0.8</v>
      </c>
      <c r="O433" s="114">
        <f>'2016 Proposed'!$B$26</f>
        <v>3.3999999999999998E-3</v>
      </c>
      <c r="P433" s="7">
        <f>O433*P385</f>
        <v>6.8</v>
      </c>
      <c r="Q433" s="85"/>
      <c r="R433" s="59">
        <f>'2015 Approved'!$X$24</f>
        <v>-2.9999999999999997E-4</v>
      </c>
      <c r="S433" s="42">
        <f>R433*S385</f>
        <v>-0.6</v>
      </c>
      <c r="T433" s="114">
        <f>'2016 Proposed'!$B$26</f>
        <v>3.3999999999999998E-3</v>
      </c>
      <c r="U433" s="7">
        <f>T433*U385</f>
        <v>6.8</v>
      </c>
      <c r="V433" s="85"/>
    </row>
    <row r="434" spans="1:22" x14ac:dyDescent="0.25">
      <c r="A434" s="139">
        <f t="shared" si="108"/>
        <v>50</v>
      </c>
      <c r="B434" s="85" t="s">
        <v>17</v>
      </c>
      <c r="C434" s="86"/>
      <c r="D434" s="42">
        <f>D426+SUM(D432:D433)</f>
        <v>314.21822399999996</v>
      </c>
      <c r="E434" s="106"/>
      <c r="F434" s="7">
        <f>F426+SUM(F432:F433)</f>
        <v>315.56054799999998</v>
      </c>
      <c r="G434" s="85"/>
      <c r="H434" s="86"/>
      <c r="I434" s="42">
        <f>I426+I433+I432</f>
        <v>317.75902399999995</v>
      </c>
      <c r="J434" s="106"/>
      <c r="K434" s="7">
        <f>K426+K433+K432</f>
        <v>315.56054799999998</v>
      </c>
      <c r="L434" s="85"/>
      <c r="M434" s="86"/>
      <c r="N434" s="42">
        <f>N426+N433+N432</f>
        <v>319.18569599999995</v>
      </c>
      <c r="O434" s="106"/>
      <c r="P434" s="7">
        <f>P426+P433+P432</f>
        <v>316.36054799999999</v>
      </c>
      <c r="Q434" s="85"/>
      <c r="R434" s="86"/>
      <c r="S434" s="42">
        <f>S426+S433+S432</f>
        <v>334.61907644746123</v>
      </c>
      <c r="T434" s="106"/>
      <c r="U434" s="7">
        <f>U426+U433+U432</f>
        <v>326.36054799999999</v>
      </c>
      <c r="V434" s="85"/>
    </row>
    <row r="435" spans="1:22" x14ac:dyDescent="0.25">
      <c r="A435" s="139">
        <f t="shared" si="108"/>
        <v>51</v>
      </c>
      <c r="B435" s="85" t="s">
        <v>13</v>
      </c>
      <c r="C435" s="86"/>
      <c r="D435" s="42">
        <f>D434*0.13</f>
        <v>40.848369119999994</v>
      </c>
      <c r="E435" s="106"/>
      <c r="F435" s="7">
        <f>F434*0.13</f>
        <v>41.022871240000001</v>
      </c>
      <c r="G435" s="85"/>
      <c r="H435" s="86"/>
      <c r="I435" s="42">
        <f>I434*0.13</f>
        <v>41.308673119999995</v>
      </c>
      <c r="J435" s="106"/>
      <c r="K435" s="7">
        <f>K434*0.13</f>
        <v>41.022871240000001</v>
      </c>
      <c r="L435" s="85"/>
      <c r="M435" s="86"/>
      <c r="N435" s="42">
        <f>N434*0.13</f>
        <v>41.494140479999992</v>
      </c>
      <c r="O435" s="106"/>
      <c r="P435" s="7">
        <f>P434*0.13</f>
        <v>41.12687124</v>
      </c>
      <c r="Q435" s="85"/>
      <c r="R435" s="86"/>
      <c r="S435" s="42">
        <f>S434*0.13</f>
        <v>43.50047993816996</v>
      </c>
      <c r="T435" s="106"/>
      <c r="U435" s="7">
        <f>U434*0.13</f>
        <v>42.426871240000004</v>
      </c>
      <c r="V435" s="85"/>
    </row>
    <row r="436" spans="1:22" x14ac:dyDescent="0.25">
      <c r="A436" s="139">
        <f t="shared" si="108"/>
        <v>52</v>
      </c>
      <c r="B436" s="85" t="s">
        <v>18</v>
      </c>
      <c r="C436" s="86"/>
      <c r="D436" s="42">
        <f>SUM(D434:D435)*-0.1</f>
        <v>-35.506659311999996</v>
      </c>
      <c r="E436" s="106"/>
      <c r="F436" s="7">
        <f>SUM(F434:F435)*-0.1</f>
        <v>-35.658341924000005</v>
      </c>
      <c r="G436" s="85"/>
      <c r="H436" s="86"/>
      <c r="I436" s="42">
        <f>SUM(I434:I435)*-0.1</f>
        <v>-35.906769711999992</v>
      </c>
      <c r="J436" s="106"/>
      <c r="K436" s="7">
        <f>SUM(K434:K435)*-0.1</f>
        <v>-35.658341924000005</v>
      </c>
      <c r="L436" s="85"/>
      <c r="M436" s="86"/>
      <c r="N436" s="42">
        <f>SUM(N434:N435)*-0.1</f>
        <v>-36.067983647999995</v>
      </c>
      <c r="O436" s="106"/>
      <c r="P436" s="7">
        <f>SUM(P434:P435)*-0.1</f>
        <v>-35.748741924000001</v>
      </c>
      <c r="Q436" s="85"/>
      <c r="R436" s="86"/>
      <c r="S436" s="42">
        <f>SUM(S434:S435)*-0.1</f>
        <v>-37.81195563856312</v>
      </c>
      <c r="T436" s="106"/>
      <c r="U436" s="7">
        <f>SUM(U434:U435)*-0.1</f>
        <v>-36.878741924000003</v>
      </c>
      <c r="V436" s="85"/>
    </row>
    <row r="437" spans="1:22" x14ac:dyDescent="0.25">
      <c r="A437" s="177">
        <f t="shared" si="108"/>
        <v>53</v>
      </c>
      <c r="B437" s="178" t="s">
        <v>15</v>
      </c>
      <c r="C437" s="179"/>
      <c r="D437" s="180">
        <f>SUM(D434:D436)</f>
        <v>319.55993380799993</v>
      </c>
      <c r="E437" s="181"/>
      <c r="F437" s="182">
        <f>SUM(F434:F436)</f>
        <v>320.925077316</v>
      </c>
      <c r="G437" s="183">
        <f>F437-D437</f>
        <v>1.3651435080000738</v>
      </c>
      <c r="H437" s="179"/>
      <c r="I437" s="180">
        <f>SUM(I434:I436)</f>
        <v>323.16092740799996</v>
      </c>
      <c r="J437" s="181"/>
      <c r="K437" s="182">
        <f>SUM(K434:K436)</f>
        <v>320.925077316</v>
      </c>
      <c r="L437" s="183">
        <f>K437-I437</f>
        <v>-2.2358500919999642</v>
      </c>
      <c r="M437" s="179"/>
      <c r="N437" s="180">
        <f>SUM(N434:N436)</f>
        <v>324.61185283199995</v>
      </c>
      <c r="O437" s="181"/>
      <c r="P437" s="182">
        <f>SUM(P434:P436)</f>
        <v>321.73867731600001</v>
      </c>
      <c r="Q437" s="183">
        <f>P437-N437</f>
        <v>-2.8731755159999466</v>
      </c>
      <c r="R437" s="179"/>
      <c r="S437" s="180">
        <f>SUM(S434:S436)</f>
        <v>340.30760074706808</v>
      </c>
      <c r="T437" s="181"/>
      <c r="U437" s="182">
        <f>SUM(U434:U436)</f>
        <v>331.90867731600002</v>
      </c>
      <c r="V437" s="183">
        <f>U437-S437</f>
        <v>-8.3989234310680558</v>
      </c>
    </row>
    <row r="438" spans="1:22" ht="15.75" thickBot="1" x14ac:dyDescent="0.3">
      <c r="A438" s="184">
        <f>A437+1</f>
        <v>54</v>
      </c>
      <c r="B438" s="185" t="s">
        <v>118</v>
      </c>
      <c r="C438" s="186"/>
      <c r="D438" s="187"/>
      <c r="E438" s="188"/>
      <c r="F438" s="189"/>
      <c r="G438" s="190">
        <f>G437/D437</f>
        <v>4.2719482750308993E-3</v>
      </c>
      <c r="H438" s="186"/>
      <c r="I438" s="187"/>
      <c r="J438" s="188"/>
      <c r="K438" s="189"/>
      <c r="L438" s="190">
        <f>L437/I437</f>
        <v>-6.918689427998637E-3</v>
      </c>
      <c r="M438" s="186"/>
      <c r="N438" s="187"/>
      <c r="O438" s="188"/>
      <c r="P438" s="189"/>
      <c r="Q438" s="190">
        <f>Q437/N437</f>
        <v>-8.8511109219629562E-3</v>
      </c>
      <c r="R438" s="186"/>
      <c r="S438" s="187"/>
      <c r="T438" s="188"/>
      <c r="U438" s="189"/>
      <c r="V438" s="190">
        <f>V437/S437</f>
        <v>-2.4680387427815677E-2</v>
      </c>
    </row>
    <row r="439" spans="1:22" ht="15.75" thickBot="1" x14ac:dyDescent="0.3"/>
    <row r="440" spans="1:22" x14ac:dyDescent="0.25">
      <c r="A440" s="153">
        <f>A438+1</f>
        <v>55</v>
      </c>
      <c r="B440" s="154" t="s">
        <v>120</v>
      </c>
      <c r="C440" s="153" t="s">
        <v>2</v>
      </c>
      <c r="D440" s="198" t="s">
        <v>3</v>
      </c>
      <c r="E440" s="199" t="s">
        <v>2</v>
      </c>
      <c r="F440" s="200" t="s">
        <v>3</v>
      </c>
      <c r="G440" s="201" t="s">
        <v>103</v>
      </c>
      <c r="H440" s="153" t="s">
        <v>2</v>
      </c>
      <c r="I440" s="198" t="s">
        <v>3</v>
      </c>
      <c r="J440" s="199" t="s">
        <v>2</v>
      </c>
      <c r="K440" s="200" t="s">
        <v>3</v>
      </c>
      <c r="L440" s="201" t="s">
        <v>103</v>
      </c>
      <c r="M440" s="153" t="s">
        <v>2</v>
      </c>
      <c r="N440" s="198" t="s">
        <v>3</v>
      </c>
      <c r="O440" s="199" t="s">
        <v>2</v>
      </c>
      <c r="P440" s="200" t="s">
        <v>3</v>
      </c>
      <c r="Q440" s="201" t="s">
        <v>103</v>
      </c>
      <c r="R440" s="153" t="s">
        <v>2</v>
      </c>
      <c r="S440" s="198" t="s">
        <v>3</v>
      </c>
      <c r="T440" s="199" t="s">
        <v>2</v>
      </c>
      <c r="U440" s="200" t="s">
        <v>3</v>
      </c>
      <c r="V440" s="201" t="s">
        <v>103</v>
      </c>
    </row>
    <row r="441" spans="1:22" x14ac:dyDescent="0.25">
      <c r="A441" s="139">
        <f>A440+1</f>
        <v>56</v>
      </c>
      <c r="B441" s="85" t="s">
        <v>119</v>
      </c>
      <c r="C441" s="86"/>
      <c r="D441" s="42">
        <f>SUM(D396:D399)+D402+D411</f>
        <v>36.58</v>
      </c>
      <c r="E441" s="106"/>
      <c r="F441" s="7">
        <f>SUM(F396:F399)+F402+F411</f>
        <v>34.78</v>
      </c>
      <c r="G441" s="56">
        <f>F441-D441</f>
        <v>-1.7999999999999972</v>
      </c>
      <c r="H441" s="86"/>
      <c r="I441" s="42">
        <f>SUM(I396:I399)+I402+I411</f>
        <v>45.629999999999995</v>
      </c>
      <c r="J441" s="106"/>
      <c r="K441" s="7">
        <f>SUM(K396:K399)+K402+K411</f>
        <v>34.78</v>
      </c>
      <c r="L441" s="56">
        <f>K441-I441</f>
        <v>-10.849999999999994</v>
      </c>
      <c r="M441" s="86"/>
      <c r="N441" s="42">
        <f>SUM(N396:N399)+N402+N411</f>
        <v>40.04</v>
      </c>
      <c r="O441" s="106"/>
      <c r="P441" s="7">
        <f>SUM(P396:P399)+P402+P411</f>
        <v>34.78</v>
      </c>
      <c r="Q441" s="56">
        <f>P441-N441</f>
        <v>-5.259999999999998</v>
      </c>
      <c r="R441" s="86"/>
      <c r="S441" s="42">
        <f>SUM(S396:S399)+S402+S411</f>
        <v>38.489999999999995</v>
      </c>
      <c r="T441" s="106"/>
      <c r="U441" s="7">
        <f>SUM(U396:U399)+U402+U411</f>
        <v>34.78</v>
      </c>
      <c r="V441" s="56">
        <f>U441-S441</f>
        <v>-3.7099999999999937</v>
      </c>
    </row>
    <row r="442" spans="1:22" x14ac:dyDescent="0.25">
      <c r="A442" s="164">
        <f t="shared" ref="A442:A444" si="125">A441+1</f>
        <v>57</v>
      </c>
      <c r="B442" s="165" t="s">
        <v>118</v>
      </c>
      <c r="C442" s="166"/>
      <c r="D442" s="167"/>
      <c r="E442" s="168"/>
      <c r="F442" s="93"/>
      <c r="G442" s="169">
        <f>G441/SUM(D441:D444)</f>
        <v>-3.5354300371392949E-2</v>
      </c>
      <c r="H442" s="166"/>
      <c r="I442" s="167"/>
      <c r="J442" s="168"/>
      <c r="K442" s="93"/>
      <c r="L442" s="169">
        <f>L441/SUM(I441:I444)</f>
        <v>-0.1732113857064112</v>
      </c>
      <c r="M442" s="166"/>
      <c r="N442" s="167"/>
      <c r="O442" s="168"/>
      <c r="P442" s="93"/>
      <c r="Q442" s="169">
        <f>Q441/SUM(N441:N444)</f>
        <v>-8.6013296151169857E-2</v>
      </c>
      <c r="R442" s="166"/>
      <c r="S442" s="167"/>
      <c r="T442" s="168"/>
      <c r="U442" s="93"/>
      <c r="V442" s="169">
        <f>V441/SUM(S441:S444)</f>
        <v>-4.964655931947539E-2</v>
      </c>
    </row>
    <row r="443" spans="1:22" x14ac:dyDescent="0.25">
      <c r="A443" s="139">
        <f t="shared" si="125"/>
        <v>58</v>
      </c>
      <c r="B443" s="85" t="s">
        <v>121</v>
      </c>
      <c r="C443" s="86"/>
      <c r="D443" s="42">
        <f>D400+SUM(D403:D410)+D401</f>
        <v>14.333183999999992</v>
      </c>
      <c r="E443" s="106"/>
      <c r="F443" s="7">
        <f>F400+SUM(F403:F410)+F401</f>
        <v>17.06446799999998</v>
      </c>
      <c r="G443" s="56">
        <f>F443-D443</f>
        <v>2.7312839999999881</v>
      </c>
      <c r="H443" s="86"/>
      <c r="I443" s="42">
        <f>I400+SUM(I403:I410)+I401</f>
        <v>17.01022399999999</v>
      </c>
      <c r="J443" s="106"/>
      <c r="K443" s="7">
        <f>K400+SUM(K403:K410)+K401</f>
        <v>17.06446799999998</v>
      </c>
      <c r="L443" s="56">
        <f>K443-I443</f>
        <v>5.4243999999989967E-2</v>
      </c>
      <c r="M443" s="86"/>
      <c r="N443" s="42">
        <f>N400+SUM(N403:N410)+N401</f>
        <v>21.113336000000011</v>
      </c>
      <c r="O443" s="106"/>
      <c r="P443" s="7">
        <f>P400+SUM(P403:P410)+P401</f>
        <v>17.864467999999981</v>
      </c>
      <c r="Q443" s="56">
        <f>P443-N443</f>
        <v>-3.2488680000000301</v>
      </c>
      <c r="R443" s="86"/>
      <c r="S443" s="42">
        <f>S400+SUM(S403:S410)+S401</f>
        <v>36.238239999999998</v>
      </c>
      <c r="T443" s="106"/>
      <c r="U443" s="7">
        <f>U400+SUM(U403:U410)+U401</f>
        <v>21.664467999999978</v>
      </c>
      <c r="V443" s="56">
        <f>U443-S443</f>
        <v>-14.573772000000019</v>
      </c>
    </row>
    <row r="444" spans="1:22" ht="15.75" thickBot="1" x14ac:dyDescent="0.3">
      <c r="A444" s="170">
        <f t="shared" si="125"/>
        <v>59</v>
      </c>
      <c r="B444" s="171" t="s">
        <v>118</v>
      </c>
      <c r="C444" s="172"/>
      <c r="D444" s="173"/>
      <c r="E444" s="174"/>
      <c r="F444" s="175"/>
      <c r="G444" s="176">
        <f>G443/SUM(D441:D444)</f>
        <v>5.3645908297544086E-2</v>
      </c>
      <c r="H444" s="172"/>
      <c r="I444" s="173"/>
      <c r="J444" s="174"/>
      <c r="K444" s="175"/>
      <c r="L444" s="176">
        <f>L443/SUM(I441:I444)</f>
        <v>8.659611434338098E-4</v>
      </c>
      <c r="M444" s="172"/>
      <c r="N444" s="173"/>
      <c r="O444" s="174"/>
      <c r="P444" s="175"/>
      <c r="Q444" s="176">
        <f>Q443/SUM(N441:N444)</f>
        <v>-5.3126586585563046E-2</v>
      </c>
      <c r="R444" s="172"/>
      <c r="S444" s="173"/>
      <c r="T444" s="174"/>
      <c r="U444" s="175"/>
      <c r="V444" s="176">
        <f>V443/SUM(S441:S444)</f>
        <v>-0.19502362159205167</v>
      </c>
    </row>
    <row r="445" spans="1:22" ht="15.75" thickBot="1" x14ac:dyDescent="0.3"/>
    <row r="446" spans="1:22" x14ac:dyDescent="0.25">
      <c r="A446" s="331" t="s">
        <v>111</v>
      </c>
      <c r="B446" s="333" t="s">
        <v>0</v>
      </c>
      <c r="C446" s="329" t="s">
        <v>115</v>
      </c>
      <c r="D446" s="330"/>
      <c r="E446" s="327" t="s">
        <v>116</v>
      </c>
      <c r="F446" s="327"/>
      <c r="G446" s="328"/>
      <c r="H446" s="329" t="s">
        <v>117</v>
      </c>
      <c r="I446" s="330"/>
      <c r="J446" s="327" t="s">
        <v>116</v>
      </c>
      <c r="K446" s="327"/>
      <c r="L446" s="328"/>
      <c r="M446" s="329" t="s">
        <v>124</v>
      </c>
      <c r="N446" s="330"/>
      <c r="O446" s="327" t="s">
        <v>116</v>
      </c>
      <c r="P446" s="327"/>
      <c r="Q446" s="328"/>
      <c r="R446" s="329" t="s">
        <v>123</v>
      </c>
      <c r="S446" s="330"/>
      <c r="T446" s="327" t="s">
        <v>116</v>
      </c>
      <c r="U446" s="327"/>
      <c r="V446" s="328"/>
    </row>
    <row r="447" spans="1:22" x14ac:dyDescent="0.25">
      <c r="A447" s="332"/>
      <c r="B447" s="334"/>
      <c r="C447" s="157" t="s">
        <v>2</v>
      </c>
      <c r="D447" s="158" t="s">
        <v>3</v>
      </c>
      <c r="E447" s="159" t="s">
        <v>2</v>
      </c>
      <c r="F447" s="160" t="s">
        <v>3</v>
      </c>
      <c r="G447" s="251" t="s">
        <v>103</v>
      </c>
      <c r="H447" s="157" t="s">
        <v>2</v>
      </c>
      <c r="I447" s="158" t="s">
        <v>3</v>
      </c>
      <c r="J447" s="159" t="s">
        <v>2</v>
      </c>
      <c r="K447" s="160" t="s">
        <v>3</v>
      </c>
      <c r="L447" s="251" t="s">
        <v>103</v>
      </c>
      <c r="M447" s="157" t="s">
        <v>2</v>
      </c>
      <c r="N447" s="158" t="s">
        <v>3</v>
      </c>
      <c r="O447" s="159" t="s">
        <v>2</v>
      </c>
      <c r="P447" s="160" t="s">
        <v>3</v>
      </c>
      <c r="Q447" s="251" t="s">
        <v>103</v>
      </c>
      <c r="R447" s="157" t="s">
        <v>2</v>
      </c>
      <c r="S447" s="158" t="s">
        <v>3</v>
      </c>
      <c r="T447" s="159" t="s">
        <v>2</v>
      </c>
      <c r="U447" s="160" t="s">
        <v>3</v>
      </c>
      <c r="V447" s="251" t="s">
        <v>103</v>
      </c>
    </row>
    <row r="448" spans="1:22" x14ac:dyDescent="0.25">
      <c r="A448" s="139">
        <v>1</v>
      </c>
      <c r="B448" s="85" t="s">
        <v>91</v>
      </c>
      <c r="C448" s="86"/>
      <c r="D448" s="252">
        <v>236</v>
      </c>
      <c r="E448" s="106"/>
      <c r="F448" s="1">
        <f>D448</f>
        <v>236</v>
      </c>
      <c r="G448" s="85"/>
      <c r="H448" s="86"/>
      <c r="I448" s="40">
        <f>D448</f>
        <v>236</v>
      </c>
      <c r="J448" s="106"/>
      <c r="K448" s="1">
        <f>I448</f>
        <v>236</v>
      </c>
      <c r="L448" s="85"/>
      <c r="M448" s="86"/>
      <c r="N448" s="40">
        <f>D448</f>
        <v>236</v>
      </c>
      <c r="O448" s="106"/>
      <c r="P448" s="1">
        <f>N448</f>
        <v>236</v>
      </c>
      <c r="Q448" s="85"/>
      <c r="R448" s="86"/>
      <c r="S448" s="40">
        <f>D448</f>
        <v>236</v>
      </c>
      <c r="T448" s="106"/>
      <c r="U448" s="1">
        <f>S448</f>
        <v>236</v>
      </c>
      <c r="V448" s="85"/>
    </row>
    <row r="449" spans="1:22" x14ac:dyDescent="0.25">
      <c r="A449" s="139">
        <f>A448+1</f>
        <v>2</v>
      </c>
      <c r="B449" s="85" t="s">
        <v>92</v>
      </c>
      <c r="C449" s="86"/>
      <c r="D449" s="40">
        <v>0</v>
      </c>
      <c r="E449" s="106"/>
      <c r="F449" s="1">
        <f>D449</f>
        <v>0</v>
      </c>
      <c r="G449" s="85"/>
      <c r="H449" s="86"/>
      <c r="I449" s="40">
        <v>0</v>
      </c>
      <c r="J449" s="106"/>
      <c r="K449" s="1">
        <f>I449</f>
        <v>0</v>
      </c>
      <c r="L449" s="85"/>
      <c r="M449" s="86"/>
      <c r="N449" s="40">
        <v>0</v>
      </c>
      <c r="O449" s="106"/>
      <c r="P449" s="1">
        <f>N449</f>
        <v>0</v>
      </c>
      <c r="Q449" s="85"/>
      <c r="R449" s="86"/>
      <c r="S449" s="40">
        <v>0</v>
      </c>
      <c r="T449" s="106"/>
      <c r="U449" s="1">
        <f>S449</f>
        <v>0</v>
      </c>
      <c r="V449" s="85"/>
    </row>
    <row r="450" spans="1:22" x14ac:dyDescent="0.25">
      <c r="A450" s="139">
        <f t="shared" ref="A450:A500" si="126">A449+1</f>
        <v>3</v>
      </c>
      <c r="B450" s="85" t="s">
        <v>22</v>
      </c>
      <c r="C450" s="86"/>
      <c r="D450" s="40">
        <f>CKH_LOSS</f>
        <v>1.0427999999999999</v>
      </c>
      <c r="E450" s="106"/>
      <c r="F450" s="1">
        <f>EPI_LOSS</f>
        <v>1.0430999999999999</v>
      </c>
      <c r="G450" s="85"/>
      <c r="H450" s="86"/>
      <c r="I450" s="40">
        <f>SMP_LOSS</f>
        <v>1.0608</v>
      </c>
      <c r="J450" s="106"/>
      <c r="K450" s="1">
        <f>EPI_LOSS</f>
        <v>1.0430999999999999</v>
      </c>
      <c r="L450" s="85"/>
      <c r="M450" s="86"/>
      <c r="N450" s="40">
        <f>DUT_LOSS</f>
        <v>1.0662</v>
      </c>
      <c r="O450" s="106"/>
      <c r="P450" s="1">
        <f>EPI_LOSS</f>
        <v>1.0430999999999999</v>
      </c>
      <c r="Q450" s="85"/>
      <c r="R450" s="86"/>
      <c r="S450" s="72">
        <f>NEW_LOSS</f>
        <v>1.0580000000000001</v>
      </c>
      <c r="T450" s="106"/>
      <c r="U450" s="1">
        <f>EPI_LOSS</f>
        <v>1.0430999999999999</v>
      </c>
      <c r="V450" s="85"/>
    </row>
    <row r="451" spans="1:22" x14ac:dyDescent="0.25">
      <c r="A451" s="139">
        <f t="shared" si="126"/>
        <v>4</v>
      </c>
      <c r="B451" s="85" t="s">
        <v>93</v>
      </c>
      <c r="C451" s="86"/>
      <c r="D451" s="40">
        <f>D448*D450</f>
        <v>246.10079999999999</v>
      </c>
      <c r="E451" s="106"/>
      <c r="F451" s="1">
        <f>F448*F450</f>
        <v>246.17159999999998</v>
      </c>
      <c r="G451" s="85"/>
      <c r="H451" s="86"/>
      <c r="I451" s="40">
        <f>I448*I450</f>
        <v>250.34879999999998</v>
      </c>
      <c r="J451" s="106"/>
      <c r="K451" s="1">
        <f>K448*K450</f>
        <v>246.17159999999998</v>
      </c>
      <c r="L451" s="85"/>
      <c r="M451" s="86"/>
      <c r="N451" s="40">
        <f>N448*N450</f>
        <v>251.6232</v>
      </c>
      <c r="O451" s="106"/>
      <c r="P451" s="1">
        <f>P448*P450</f>
        <v>246.17159999999998</v>
      </c>
      <c r="Q451" s="85"/>
      <c r="R451" s="86"/>
      <c r="S451" s="40">
        <f>S448*S450</f>
        <v>249.68800000000002</v>
      </c>
      <c r="T451" s="106"/>
      <c r="U451" s="1">
        <f>U448*U450</f>
        <v>246.17159999999998</v>
      </c>
      <c r="V451" s="85"/>
    </row>
    <row r="452" spans="1:22" x14ac:dyDescent="0.25">
      <c r="A452" s="140">
        <f t="shared" si="126"/>
        <v>5</v>
      </c>
      <c r="B452" s="83" t="s">
        <v>27</v>
      </c>
      <c r="C452" s="82"/>
      <c r="D452" s="41"/>
      <c r="E452" s="107"/>
      <c r="F452" s="39"/>
      <c r="G452" s="83"/>
      <c r="H452" s="82"/>
      <c r="I452" s="41"/>
      <c r="J452" s="107"/>
      <c r="K452" s="39"/>
      <c r="L452" s="83"/>
      <c r="M452" s="82"/>
      <c r="N452" s="41"/>
      <c r="O452" s="107"/>
      <c r="P452" s="39"/>
      <c r="Q452" s="83"/>
      <c r="R452" s="82"/>
      <c r="S452" s="41"/>
      <c r="T452" s="107"/>
      <c r="U452" s="39"/>
      <c r="V452" s="83"/>
    </row>
    <row r="453" spans="1:22" x14ac:dyDescent="0.25">
      <c r="A453" s="139">
        <f t="shared" si="126"/>
        <v>6</v>
      </c>
      <c r="B453" s="85" t="s">
        <v>23</v>
      </c>
      <c r="C453" s="84">
        <f>'General Input'!$B$11</f>
        <v>0.08</v>
      </c>
      <c r="D453" s="42">
        <f>D$448*C453*TOU_OFF</f>
        <v>12.0832</v>
      </c>
      <c r="E453" s="108">
        <f>'General Input'!$B$11</f>
        <v>0.08</v>
      </c>
      <c r="F453" s="7">
        <f>F$448*E453*TOU_OFF</f>
        <v>12.0832</v>
      </c>
      <c r="G453" s="85"/>
      <c r="H453" s="84">
        <f>'General Input'!$B$11</f>
        <v>0.08</v>
      </c>
      <c r="I453" s="42">
        <f>I$448*H453*TOU_OFF</f>
        <v>12.0832</v>
      </c>
      <c r="J453" s="108">
        <f>'General Input'!$B$11</f>
        <v>0.08</v>
      </c>
      <c r="K453" s="7">
        <f>K$448*J453*TOU_OFF</f>
        <v>12.0832</v>
      </c>
      <c r="L453" s="85"/>
      <c r="M453" s="84">
        <f>'General Input'!$B$11</f>
        <v>0.08</v>
      </c>
      <c r="N453" s="42">
        <f>N$448*M453*TOU_OFF</f>
        <v>12.0832</v>
      </c>
      <c r="O453" s="108">
        <f>'General Input'!$B$11</f>
        <v>0.08</v>
      </c>
      <c r="P453" s="7">
        <f>P$448*O453*TOU_OFF</f>
        <v>12.0832</v>
      </c>
      <c r="Q453" s="85"/>
      <c r="R453" s="84">
        <f>'General Input'!$B$11</f>
        <v>0.08</v>
      </c>
      <c r="S453" s="42">
        <f>S$448*R453*TOU_OFF</f>
        <v>12.0832</v>
      </c>
      <c r="T453" s="108">
        <f>'General Input'!$B$11</f>
        <v>0.08</v>
      </c>
      <c r="U453" s="7">
        <f>U$448*T453*TOU_OFF</f>
        <v>12.0832</v>
      </c>
      <c r="V453" s="85"/>
    </row>
    <row r="454" spans="1:22" x14ac:dyDescent="0.25">
      <c r="A454" s="139">
        <f t="shared" si="126"/>
        <v>7</v>
      </c>
      <c r="B454" s="85" t="s">
        <v>24</v>
      </c>
      <c r="C454" s="84">
        <f>'General Input'!$B$12</f>
        <v>0.122</v>
      </c>
      <c r="D454" s="42">
        <f>D$448*C454*TOU_MID</f>
        <v>5.1825599999999996</v>
      </c>
      <c r="E454" s="108">
        <f>'General Input'!$B$12</f>
        <v>0.122</v>
      </c>
      <c r="F454" s="7">
        <f>F$448*E454*TOU_MID</f>
        <v>5.1825599999999996</v>
      </c>
      <c r="G454" s="85"/>
      <c r="H454" s="84">
        <f>'General Input'!$B$12</f>
        <v>0.122</v>
      </c>
      <c r="I454" s="42">
        <f>I$448*H454*TOU_MID</f>
        <v>5.1825599999999996</v>
      </c>
      <c r="J454" s="108">
        <f>'General Input'!$B$12</f>
        <v>0.122</v>
      </c>
      <c r="K454" s="7">
        <f>K$448*J454*TOU_MID</f>
        <v>5.1825599999999996</v>
      </c>
      <c r="L454" s="85"/>
      <c r="M454" s="84">
        <f>'General Input'!$B$12</f>
        <v>0.122</v>
      </c>
      <c r="N454" s="42">
        <f>N$448*M454*TOU_MID</f>
        <v>5.1825599999999996</v>
      </c>
      <c r="O454" s="108">
        <f>'General Input'!$B$12</f>
        <v>0.122</v>
      </c>
      <c r="P454" s="7">
        <f>P$448*O454*TOU_MID</f>
        <v>5.1825599999999996</v>
      </c>
      <c r="Q454" s="85"/>
      <c r="R454" s="84">
        <f>'General Input'!$B$12</f>
        <v>0.122</v>
      </c>
      <c r="S454" s="42">
        <f>S$448*R454*TOU_MID</f>
        <v>5.1825599999999996</v>
      </c>
      <c r="T454" s="108">
        <f>'General Input'!$B$12</f>
        <v>0.122</v>
      </c>
      <c r="U454" s="7">
        <f>U$448*T454*TOU_MID</f>
        <v>5.1825599999999996</v>
      </c>
      <c r="V454" s="85"/>
    </row>
    <row r="455" spans="1:22" x14ac:dyDescent="0.25">
      <c r="A455" s="141">
        <f t="shared" si="126"/>
        <v>8</v>
      </c>
      <c r="B455" s="125" t="s">
        <v>25</v>
      </c>
      <c r="C455" s="124">
        <f>'General Input'!$B$13</f>
        <v>0.161</v>
      </c>
      <c r="D455" s="69">
        <f>D$448*C455*TOU_ON</f>
        <v>6.8392800000000005</v>
      </c>
      <c r="E455" s="109">
        <f>'General Input'!$B$13</f>
        <v>0.161</v>
      </c>
      <c r="F455" s="70">
        <f>F$448*E455*TOU_ON</f>
        <v>6.8392800000000005</v>
      </c>
      <c r="G455" s="125"/>
      <c r="H455" s="124">
        <f>'General Input'!$B$13</f>
        <v>0.161</v>
      </c>
      <c r="I455" s="69">
        <f>I$448*H455*TOU_ON</f>
        <v>6.8392800000000005</v>
      </c>
      <c r="J455" s="109">
        <f>'General Input'!$B$13</f>
        <v>0.161</v>
      </c>
      <c r="K455" s="70">
        <f>K$448*J455*TOU_ON</f>
        <v>6.8392800000000005</v>
      </c>
      <c r="L455" s="125"/>
      <c r="M455" s="124">
        <f>'General Input'!$B$13</f>
        <v>0.161</v>
      </c>
      <c r="N455" s="69">
        <f>N$448*M455*TOU_ON</f>
        <v>6.8392800000000005</v>
      </c>
      <c r="O455" s="109">
        <f>'General Input'!$B$13</f>
        <v>0.161</v>
      </c>
      <c r="P455" s="70">
        <f>P$448*O455*TOU_ON</f>
        <v>6.8392800000000005</v>
      </c>
      <c r="Q455" s="125"/>
      <c r="R455" s="124">
        <f>'General Input'!$B$13</f>
        <v>0.161</v>
      </c>
      <c r="S455" s="69">
        <f>S$448*R455*TOU_ON</f>
        <v>6.8392800000000005</v>
      </c>
      <c r="T455" s="109">
        <f>'General Input'!$B$13</f>
        <v>0.161</v>
      </c>
      <c r="U455" s="70">
        <f>U$448*T455*TOU_ON</f>
        <v>6.8392800000000005</v>
      </c>
      <c r="V455" s="125"/>
    </row>
    <row r="456" spans="1:22" x14ac:dyDescent="0.25">
      <c r="A456" s="142">
        <f t="shared" si="126"/>
        <v>9</v>
      </c>
      <c r="B456" s="143" t="s">
        <v>26</v>
      </c>
      <c r="C456" s="126"/>
      <c r="D456" s="96">
        <f>SUM(D453:D455)</f>
        <v>24.105040000000002</v>
      </c>
      <c r="E456" s="110"/>
      <c r="F456" s="95">
        <f>SUM(F453:F455)</f>
        <v>24.105040000000002</v>
      </c>
      <c r="G456" s="127">
        <f>D456-F456</f>
        <v>0</v>
      </c>
      <c r="H456" s="126"/>
      <c r="I456" s="96">
        <f>SUM(I453:I455)</f>
        <v>24.105040000000002</v>
      </c>
      <c r="J456" s="110"/>
      <c r="K456" s="95">
        <f>SUM(K453:K455)</f>
        <v>24.105040000000002</v>
      </c>
      <c r="L456" s="127">
        <f>I456-K456</f>
        <v>0</v>
      </c>
      <c r="M456" s="126"/>
      <c r="N456" s="96">
        <f>SUM(N453:N455)</f>
        <v>24.105040000000002</v>
      </c>
      <c r="O456" s="110"/>
      <c r="P456" s="95">
        <f>SUM(P453:P455)</f>
        <v>24.105040000000002</v>
      </c>
      <c r="Q456" s="127">
        <f>N456-P456</f>
        <v>0</v>
      </c>
      <c r="R456" s="126"/>
      <c r="S456" s="96">
        <f>SUM(S453:S455)</f>
        <v>24.105040000000002</v>
      </c>
      <c r="T456" s="110"/>
      <c r="U456" s="95">
        <f>SUM(U453:U455)</f>
        <v>24.105040000000002</v>
      </c>
      <c r="V456" s="127">
        <f>S456-U456</f>
        <v>0</v>
      </c>
    </row>
    <row r="457" spans="1:22" x14ac:dyDescent="0.25">
      <c r="A457" s="144">
        <f t="shared" si="126"/>
        <v>10</v>
      </c>
      <c r="B457" s="145" t="s">
        <v>118</v>
      </c>
      <c r="C457" s="128"/>
      <c r="D457" s="120"/>
      <c r="E457" s="111"/>
      <c r="F457" s="97"/>
      <c r="G457" s="129">
        <f>G456/D456</f>
        <v>0</v>
      </c>
      <c r="H457" s="128"/>
      <c r="I457" s="120"/>
      <c r="J457" s="111"/>
      <c r="K457" s="97"/>
      <c r="L457" s="129">
        <f>L456/I456</f>
        <v>0</v>
      </c>
      <c r="M457" s="128"/>
      <c r="N457" s="120"/>
      <c r="O457" s="111"/>
      <c r="P457" s="97"/>
      <c r="Q457" s="129">
        <f>Q456/N456</f>
        <v>0</v>
      </c>
      <c r="R457" s="128"/>
      <c r="S457" s="120"/>
      <c r="T457" s="111"/>
      <c r="U457" s="97"/>
      <c r="V457" s="129">
        <f>V456/S456</f>
        <v>0</v>
      </c>
    </row>
    <row r="458" spans="1:22" x14ac:dyDescent="0.25">
      <c r="A458" s="146">
        <f t="shared" si="126"/>
        <v>11</v>
      </c>
      <c r="B458" s="131" t="s">
        <v>28</v>
      </c>
      <c r="C458" s="130"/>
      <c r="D458" s="121"/>
      <c r="E458" s="112"/>
      <c r="F458" s="94"/>
      <c r="G458" s="131"/>
      <c r="H458" s="130"/>
      <c r="I458" s="121"/>
      <c r="J458" s="112"/>
      <c r="K458" s="94"/>
      <c r="L458" s="131"/>
      <c r="M458" s="130"/>
      <c r="N458" s="121"/>
      <c r="O458" s="112"/>
      <c r="P458" s="94"/>
      <c r="Q458" s="131"/>
      <c r="R458" s="130"/>
      <c r="S458" s="121"/>
      <c r="T458" s="112"/>
      <c r="U458" s="94"/>
      <c r="V458" s="131"/>
    </row>
    <row r="459" spans="1:22" x14ac:dyDescent="0.25">
      <c r="A459" s="139">
        <f t="shared" si="126"/>
        <v>12</v>
      </c>
      <c r="B459" s="85" t="s">
        <v>5</v>
      </c>
      <c r="C459" s="55">
        <f>'2015 Approved'!$B$4</f>
        <v>18.98</v>
      </c>
      <c r="D459" s="42">
        <f>C459</f>
        <v>18.98</v>
      </c>
      <c r="E459" s="113">
        <f>'2016 Proposed'!$B$3</f>
        <v>18.98</v>
      </c>
      <c r="F459" s="7">
        <f>E459</f>
        <v>18.98</v>
      </c>
      <c r="G459" s="85"/>
      <c r="H459" s="55">
        <f>'2015 Approved'!$M$4</f>
        <v>14.43</v>
      </c>
      <c r="I459" s="42">
        <f>H459</f>
        <v>14.43</v>
      </c>
      <c r="J459" s="113">
        <f>'2016 Proposed'!$B$3</f>
        <v>18.98</v>
      </c>
      <c r="K459" s="7">
        <f>J459</f>
        <v>18.98</v>
      </c>
      <c r="L459" s="85"/>
      <c r="M459" s="55">
        <f>'2015 Approved'!$T$4</f>
        <v>13.44</v>
      </c>
      <c r="N459" s="42">
        <f>M459</f>
        <v>13.44</v>
      </c>
      <c r="O459" s="113">
        <f>'2016 Proposed'!$B$3</f>
        <v>18.98</v>
      </c>
      <c r="P459" s="7">
        <f>O459</f>
        <v>18.98</v>
      </c>
      <c r="Q459" s="85"/>
      <c r="R459" s="55">
        <f>'2015 Approved'!$X$4</f>
        <v>12.52</v>
      </c>
      <c r="S459" s="42">
        <f>R459</f>
        <v>12.52</v>
      </c>
      <c r="T459" s="113">
        <f>'2016 Proposed'!$B$3</f>
        <v>18.98</v>
      </c>
      <c r="U459" s="7">
        <f>T459</f>
        <v>18.98</v>
      </c>
      <c r="V459" s="85"/>
    </row>
    <row r="460" spans="1:22" x14ac:dyDescent="0.25">
      <c r="A460" s="139">
        <f t="shared" si="126"/>
        <v>13</v>
      </c>
      <c r="B460" s="85" t="s">
        <v>86</v>
      </c>
      <c r="C460" s="55">
        <f>'2015 Approved'!$B$5</f>
        <v>0</v>
      </c>
      <c r="D460" s="42">
        <f t="shared" ref="D460:D463" si="127">C460</f>
        <v>0</v>
      </c>
      <c r="E460" s="113">
        <f>'2016 Proposed'!$B$5</f>
        <v>0</v>
      </c>
      <c r="F460" s="7">
        <f t="shared" ref="F460:F463" si="128">E460</f>
        <v>0</v>
      </c>
      <c r="G460" s="85"/>
      <c r="H460" s="55">
        <f>'2015 Approved'!$M$5</f>
        <v>1.23</v>
      </c>
      <c r="I460" s="42">
        <f t="shared" ref="I460:I463" si="129">H460</f>
        <v>1.23</v>
      </c>
      <c r="J460" s="113">
        <f>'2016 Proposed'!$B$5</f>
        <v>0</v>
      </c>
      <c r="K460" s="7">
        <f t="shared" ref="K460:K463" si="130">J460</f>
        <v>0</v>
      </c>
      <c r="L460" s="85"/>
      <c r="M460" s="55">
        <f>'2015 Approved'!$T$5</f>
        <v>1.2</v>
      </c>
      <c r="N460" s="42">
        <f t="shared" ref="N460:N463" si="131">M460</f>
        <v>1.2</v>
      </c>
      <c r="O460" s="113">
        <f>'2016 Proposed'!$B$5</f>
        <v>0</v>
      </c>
      <c r="P460" s="7">
        <f t="shared" ref="P460:P463" si="132">O460</f>
        <v>0</v>
      </c>
      <c r="Q460" s="85"/>
      <c r="R460" s="55">
        <f>'2015 Approved'!$X$5</f>
        <v>0.77</v>
      </c>
      <c r="S460" s="42">
        <f t="shared" ref="S460:S463" si="133">R460</f>
        <v>0.77</v>
      </c>
      <c r="T460" s="113">
        <f>'2016 Proposed'!$B$5</f>
        <v>0</v>
      </c>
      <c r="U460" s="7">
        <f t="shared" ref="U460:U463" si="134">T460</f>
        <v>0</v>
      </c>
      <c r="V460" s="85"/>
    </row>
    <row r="461" spans="1:22" x14ac:dyDescent="0.25">
      <c r="A461" s="139">
        <f t="shared" si="126"/>
        <v>14</v>
      </c>
      <c r="B461" s="85" t="s">
        <v>86</v>
      </c>
      <c r="C461" s="55">
        <f>'2015 Approved'!$B$6</f>
        <v>0</v>
      </c>
      <c r="D461" s="42">
        <f t="shared" si="127"/>
        <v>0</v>
      </c>
      <c r="E461" s="113">
        <f>'2016 Proposed'!$B$6</f>
        <v>0</v>
      </c>
      <c r="F461" s="7">
        <f t="shared" si="128"/>
        <v>0</v>
      </c>
      <c r="G461" s="85"/>
      <c r="H461" s="55">
        <f>'2015 Approved'!$M$6</f>
        <v>0.77</v>
      </c>
      <c r="I461" s="42">
        <f t="shared" si="129"/>
        <v>0.77</v>
      </c>
      <c r="J461" s="113">
        <f>'2016 Proposed'!$B$6</f>
        <v>0</v>
      </c>
      <c r="K461" s="7">
        <f t="shared" si="130"/>
        <v>0</v>
      </c>
      <c r="L461" s="85"/>
      <c r="M461" s="55">
        <f>'2015 Approved'!$T$6</f>
        <v>0</v>
      </c>
      <c r="N461" s="42">
        <f t="shared" si="131"/>
        <v>0</v>
      </c>
      <c r="O461" s="113">
        <f>'2016 Proposed'!$B$6</f>
        <v>0</v>
      </c>
      <c r="P461" s="7">
        <f t="shared" si="132"/>
        <v>0</v>
      </c>
      <c r="Q461" s="85"/>
      <c r="R461" s="55">
        <f>'2015 Approved'!$X$6</f>
        <v>0</v>
      </c>
      <c r="S461" s="42">
        <f t="shared" si="133"/>
        <v>0</v>
      </c>
      <c r="T461" s="113">
        <f>'2016 Proposed'!$B$6</f>
        <v>0</v>
      </c>
      <c r="U461" s="7">
        <f t="shared" si="134"/>
        <v>0</v>
      </c>
      <c r="V461" s="85"/>
    </row>
    <row r="462" spans="1:22" x14ac:dyDescent="0.25">
      <c r="A462" s="139">
        <f t="shared" si="126"/>
        <v>15</v>
      </c>
      <c r="B462" s="85" t="s">
        <v>6</v>
      </c>
      <c r="C462" s="55">
        <f>'2015 Approved'!$B$448</f>
        <v>0</v>
      </c>
      <c r="D462" s="42">
        <f t="shared" si="127"/>
        <v>0</v>
      </c>
      <c r="E462" s="113">
        <f>'2016 Proposed'!$B$448</f>
        <v>0</v>
      </c>
      <c r="F462" s="7">
        <f t="shared" si="128"/>
        <v>0</v>
      </c>
      <c r="G462" s="85"/>
      <c r="H462" s="55">
        <f>'2015 Approved'!$M$448</f>
        <v>0</v>
      </c>
      <c r="I462" s="42">
        <f t="shared" si="129"/>
        <v>0</v>
      </c>
      <c r="J462" s="113">
        <f>'2016 Proposed'!$B$448</f>
        <v>0</v>
      </c>
      <c r="K462" s="7">
        <f t="shared" si="130"/>
        <v>0</v>
      </c>
      <c r="L462" s="85"/>
      <c r="M462" s="55">
        <f>'2015 Approved'!$T$448</f>
        <v>0</v>
      </c>
      <c r="N462" s="42">
        <f t="shared" si="131"/>
        <v>0</v>
      </c>
      <c r="O462" s="113">
        <f>'2016 Proposed'!$B$448</f>
        <v>0</v>
      </c>
      <c r="P462" s="7">
        <f t="shared" si="132"/>
        <v>0</v>
      </c>
      <c r="Q462" s="85"/>
      <c r="R462" s="55">
        <f>'2015 Approved'!$X$448</f>
        <v>0</v>
      </c>
      <c r="S462" s="42">
        <f t="shared" si="133"/>
        <v>0</v>
      </c>
      <c r="T462" s="113">
        <f>'2016 Proposed'!$B$448</f>
        <v>0</v>
      </c>
      <c r="U462" s="7">
        <f t="shared" si="134"/>
        <v>0</v>
      </c>
      <c r="V462" s="85"/>
    </row>
    <row r="463" spans="1:22" x14ac:dyDescent="0.25">
      <c r="A463" s="139">
        <f t="shared" si="126"/>
        <v>16</v>
      </c>
      <c r="B463" s="85" t="s">
        <v>95</v>
      </c>
      <c r="C463" s="55">
        <f>'2015 Approved'!$B$8</f>
        <v>0.79</v>
      </c>
      <c r="D463" s="42">
        <f t="shared" si="127"/>
        <v>0.79</v>
      </c>
      <c r="E463" s="113">
        <f>'2016 Proposed'!$B$8</f>
        <v>0.79</v>
      </c>
      <c r="F463" s="7">
        <f t="shared" si="128"/>
        <v>0.79</v>
      </c>
      <c r="G463" s="85"/>
      <c r="H463" s="55">
        <f>'2015 Approved'!$M$8</f>
        <v>0.79</v>
      </c>
      <c r="I463" s="42">
        <f t="shared" si="129"/>
        <v>0.79</v>
      </c>
      <c r="J463" s="113">
        <f>'2016 Proposed'!$B$8</f>
        <v>0.79</v>
      </c>
      <c r="K463" s="7">
        <f t="shared" si="130"/>
        <v>0.79</v>
      </c>
      <c r="L463" s="85"/>
      <c r="M463" s="55">
        <f>'2015 Approved'!$T$8</f>
        <v>0.79</v>
      </c>
      <c r="N463" s="42">
        <f t="shared" si="131"/>
        <v>0.79</v>
      </c>
      <c r="O463" s="113">
        <f>'2016 Proposed'!$B$8</f>
        <v>0.79</v>
      </c>
      <c r="P463" s="7">
        <f t="shared" si="132"/>
        <v>0.79</v>
      </c>
      <c r="Q463" s="85"/>
      <c r="R463" s="55">
        <f>'2015 Approved'!$X$8</f>
        <v>0.79</v>
      </c>
      <c r="S463" s="42">
        <f t="shared" si="133"/>
        <v>0.79</v>
      </c>
      <c r="T463" s="113">
        <f>'2016 Proposed'!$B$8</f>
        <v>0.79</v>
      </c>
      <c r="U463" s="7">
        <f t="shared" si="134"/>
        <v>0.79</v>
      </c>
      <c r="V463" s="85"/>
    </row>
    <row r="464" spans="1:22" x14ac:dyDescent="0.25">
      <c r="A464" s="139">
        <f t="shared" si="126"/>
        <v>17</v>
      </c>
      <c r="B464" s="85" t="s">
        <v>4</v>
      </c>
      <c r="C464" s="59">
        <f>D456/D448</f>
        <v>0.10214000000000001</v>
      </c>
      <c r="D464" s="42">
        <f>(D451-D448)*C464</f>
        <v>1.0316957119999992</v>
      </c>
      <c r="E464" s="114">
        <f>F456/$F$448</f>
        <v>0.10214000000000001</v>
      </c>
      <c r="F464" s="7">
        <f>(F451-F448)*E464</f>
        <v>1.0389272239999985</v>
      </c>
      <c r="G464" s="85"/>
      <c r="H464" s="59">
        <f>I456/I448</f>
        <v>0.10214000000000001</v>
      </c>
      <c r="I464" s="42">
        <f>(I451-I448)*H464</f>
        <v>1.4655864319999983</v>
      </c>
      <c r="J464" s="114">
        <f>K456/$F$448</f>
        <v>0.10214000000000001</v>
      </c>
      <c r="K464" s="7">
        <f>(K451-K448)*J464</f>
        <v>1.0389272239999985</v>
      </c>
      <c r="L464" s="85"/>
      <c r="M464" s="59">
        <f>N456/N448</f>
        <v>0.10214000000000001</v>
      </c>
      <c r="N464" s="42">
        <f>(N451-N448)*M464</f>
        <v>1.5957536479999999</v>
      </c>
      <c r="O464" s="114">
        <f>P456/$F$448</f>
        <v>0.10214000000000001</v>
      </c>
      <c r="P464" s="7">
        <f>(P451-P448)*O464</f>
        <v>1.0389272239999985</v>
      </c>
      <c r="Q464" s="85"/>
      <c r="R464" s="59">
        <f>S456/S448</f>
        <v>0.10214000000000001</v>
      </c>
      <c r="S464" s="42">
        <f>(S451-S448)*R464</f>
        <v>1.3980923200000017</v>
      </c>
      <c r="T464" s="114">
        <f>U456/$F$448</f>
        <v>0.10214000000000001</v>
      </c>
      <c r="U464" s="7">
        <f>(U451-U448)*T464</f>
        <v>1.0389272239999985</v>
      </c>
      <c r="V464" s="85"/>
    </row>
    <row r="465" spans="1:22" x14ac:dyDescent="0.25">
      <c r="A465" s="139">
        <f t="shared" si="126"/>
        <v>18</v>
      </c>
      <c r="B465" s="85" t="s">
        <v>90</v>
      </c>
      <c r="C465" s="59">
        <f>'2015 Approved'!$B$11</f>
        <v>8.8000000000000005E-3</v>
      </c>
      <c r="D465" s="42">
        <f t="shared" ref="D465:D474" si="135">C465*D$448</f>
        <v>2.0768</v>
      </c>
      <c r="E465" s="114">
        <f>'2016 Proposed'!$B$11</f>
        <v>8.6E-3</v>
      </c>
      <c r="F465" s="7">
        <f t="shared" ref="F465:F472" si="136">E465*F$448</f>
        <v>2.0295999999999998</v>
      </c>
      <c r="G465" s="85"/>
      <c r="H465" s="59">
        <f>'2015 Approved'!$M$11</f>
        <v>1.46E-2</v>
      </c>
      <c r="I465" s="42">
        <f t="shared" ref="I465:I474" si="137">H465*I$448</f>
        <v>3.4456000000000002</v>
      </c>
      <c r="J465" s="114">
        <f>'2016 Proposed'!$B$11</f>
        <v>8.6E-3</v>
      </c>
      <c r="K465" s="7">
        <f t="shared" ref="K465:K472" si="138">J465*K$448</f>
        <v>2.0295999999999998</v>
      </c>
      <c r="L465" s="85"/>
      <c r="M465" s="59">
        <f>'2015 Approved'!$T$11</f>
        <v>1.2699999999999999E-2</v>
      </c>
      <c r="N465" s="42">
        <f t="shared" ref="N465:N474" si="139">M465*N$448</f>
        <v>2.9971999999999999</v>
      </c>
      <c r="O465" s="114">
        <f>'2016 Proposed'!$B$11</f>
        <v>8.6E-3</v>
      </c>
      <c r="P465" s="7">
        <f t="shared" ref="P465:P472" si="140">O465*P$448</f>
        <v>2.0295999999999998</v>
      </c>
      <c r="Q465" s="85"/>
      <c r="R465" s="59">
        <f>'2015 Approved'!$X$11</f>
        <v>1.26E-2</v>
      </c>
      <c r="S465" s="42">
        <f t="shared" ref="S465:S474" si="141">R465*S$448</f>
        <v>2.9736000000000002</v>
      </c>
      <c r="T465" s="114">
        <f>'2016 Proposed'!$B$11</f>
        <v>8.6E-3</v>
      </c>
      <c r="U465" s="7">
        <f t="shared" ref="U465:U472" si="142">T465*U$448</f>
        <v>2.0295999999999998</v>
      </c>
      <c r="V465" s="85"/>
    </row>
    <row r="466" spans="1:22" x14ac:dyDescent="0.25">
      <c r="A466" s="139">
        <f t="shared" si="126"/>
        <v>19</v>
      </c>
      <c r="B466" s="85" t="s">
        <v>8</v>
      </c>
      <c r="C466" s="59">
        <f>'2015 Approved'!$B$12</f>
        <v>2.9999999999999997E-4</v>
      </c>
      <c r="D466" s="42">
        <f t="shared" si="135"/>
        <v>7.0799999999999988E-2</v>
      </c>
      <c r="E466" s="114">
        <f>'2016 Proposed'!$B$13</f>
        <v>1.8E-3</v>
      </c>
      <c r="F466" s="7">
        <f t="shared" si="136"/>
        <v>0.42480000000000001</v>
      </c>
      <c r="G466" s="85"/>
      <c r="H466" s="59">
        <f>'2015 Approved'!$M$12</f>
        <v>2.9999999999999997E-4</v>
      </c>
      <c r="I466" s="42">
        <f t="shared" si="137"/>
        <v>7.0799999999999988E-2</v>
      </c>
      <c r="J466" s="114">
        <f>'2016 Proposed'!$B$13</f>
        <v>1.8E-3</v>
      </c>
      <c r="K466" s="7">
        <f t="shared" si="138"/>
        <v>0.42480000000000001</v>
      </c>
      <c r="L466" s="85"/>
      <c r="M466" s="59">
        <f>'2015 Approved'!$T$12</f>
        <v>1.4E-3</v>
      </c>
      <c r="N466" s="42">
        <f t="shared" si="139"/>
        <v>0.33039999999999997</v>
      </c>
      <c r="O466" s="114">
        <f>'2016 Proposed'!$B$13</f>
        <v>1.8E-3</v>
      </c>
      <c r="P466" s="7">
        <f t="shared" si="140"/>
        <v>0.42480000000000001</v>
      </c>
      <c r="Q466" s="85"/>
      <c r="R466" s="59">
        <f>'2015 Approved'!$X$12</f>
        <v>4.3E-3</v>
      </c>
      <c r="S466" s="42">
        <f t="shared" si="141"/>
        <v>1.0147999999999999</v>
      </c>
      <c r="T466" s="114">
        <f>'2016 Proposed'!$B$13</f>
        <v>1.8E-3</v>
      </c>
      <c r="U466" s="7">
        <f t="shared" si="142"/>
        <v>0.42480000000000001</v>
      </c>
      <c r="V466" s="85"/>
    </row>
    <row r="467" spans="1:22" x14ac:dyDescent="0.25">
      <c r="A467" s="139">
        <f t="shared" si="126"/>
        <v>20</v>
      </c>
      <c r="B467" s="85" t="s">
        <v>87</v>
      </c>
      <c r="C467" s="59">
        <f>'2015 Approved'!$B$13</f>
        <v>0</v>
      </c>
      <c r="D467" s="42">
        <f t="shared" si="135"/>
        <v>0</v>
      </c>
      <c r="E467" s="114">
        <f>'2016 Proposed'!$B$14</f>
        <v>0</v>
      </c>
      <c r="F467" s="7">
        <f t="shared" si="136"/>
        <v>0</v>
      </c>
      <c r="G467" s="85"/>
      <c r="H467" s="59">
        <f>'2015 Approved'!$M$13</f>
        <v>2.0000000000000001E-4</v>
      </c>
      <c r="I467" s="42">
        <f t="shared" si="137"/>
        <v>4.7199999999999999E-2</v>
      </c>
      <c r="J467" s="114">
        <f>'2016 Proposed'!$B$14</f>
        <v>0</v>
      </c>
      <c r="K467" s="7">
        <f t="shared" si="138"/>
        <v>0</v>
      </c>
      <c r="L467" s="85"/>
      <c r="M467" s="59">
        <f>'2015 Approved'!$T$13</f>
        <v>0</v>
      </c>
      <c r="N467" s="42">
        <f t="shared" si="139"/>
        <v>0</v>
      </c>
      <c r="O467" s="114">
        <f>'2016 Proposed'!$B$14</f>
        <v>0</v>
      </c>
      <c r="P467" s="7">
        <f t="shared" si="140"/>
        <v>0</v>
      </c>
      <c r="Q467" s="85"/>
      <c r="R467" s="59">
        <f>'2015 Approved'!$X$13</f>
        <v>0</v>
      </c>
      <c r="S467" s="42">
        <f t="shared" si="141"/>
        <v>0</v>
      </c>
      <c r="T467" s="114">
        <f>'2016 Proposed'!$B$14</f>
        <v>0</v>
      </c>
      <c r="U467" s="7">
        <f t="shared" si="142"/>
        <v>0</v>
      </c>
      <c r="V467" s="85"/>
    </row>
    <row r="468" spans="1:22" x14ac:dyDescent="0.25">
      <c r="A468" s="139">
        <f t="shared" si="126"/>
        <v>21</v>
      </c>
      <c r="B468" s="85" t="s">
        <v>9</v>
      </c>
      <c r="C468" s="59">
        <f>'2015 Approved'!$B$14</f>
        <v>1E-4</v>
      </c>
      <c r="D468" s="42">
        <f t="shared" si="135"/>
        <v>2.3599999999999999E-2</v>
      </c>
      <c r="E468" s="114">
        <f>'2016 Proposed'!$B$15</f>
        <v>2.0000000000000001E-4</v>
      </c>
      <c r="F468" s="7">
        <f t="shared" si="136"/>
        <v>4.7199999999999999E-2</v>
      </c>
      <c r="G468" s="85"/>
      <c r="H468" s="59">
        <f>'2015 Approved'!$M$14</f>
        <v>2.0000000000000001E-4</v>
      </c>
      <c r="I468" s="42">
        <f t="shared" si="137"/>
        <v>4.7199999999999999E-2</v>
      </c>
      <c r="J468" s="114">
        <f>'2016 Proposed'!$B$15</f>
        <v>2.0000000000000001E-4</v>
      </c>
      <c r="K468" s="7">
        <f t="shared" si="138"/>
        <v>4.7199999999999999E-2</v>
      </c>
      <c r="L468" s="85"/>
      <c r="M468" s="59">
        <f>'2015 Approved'!$T$14</f>
        <v>0</v>
      </c>
      <c r="N468" s="42">
        <f t="shared" si="139"/>
        <v>0</v>
      </c>
      <c r="O468" s="114">
        <f>'2016 Proposed'!$B$15</f>
        <v>2.0000000000000001E-4</v>
      </c>
      <c r="P468" s="7">
        <f t="shared" si="140"/>
        <v>4.7199999999999999E-2</v>
      </c>
      <c r="Q468" s="85"/>
      <c r="R468" s="59">
        <f>'2015 Approved'!$X$14</f>
        <v>0</v>
      </c>
      <c r="S468" s="42">
        <f t="shared" si="141"/>
        <v>0</v>
      </c>
      <c r="T468" s="114">
        <f>'2016 Proposed'!$B$15</f>
        <v>2.0000000000000001E-4</v>
      </c>
      <c r="U468" s="7">
        <f t="shared" si="142"/>
        <v>4.7199999999999999E-2</v>
      </c>
      <c r="V468" s="85"/>
    </row>
    <row r="469" spans="1:22" x14ac:dyDescent="0.25">
      <c r="A469" s="139">
        <f t="shared" si="126"/>
        <v>22</v>
      </c>
      <c r="B469" s="85" t="s">
        <v>10</v>
      </c>
      <c r="C469" s="59">
        <f>'2015 Approved'!$B$15</f>
        <v>-2.0000000000000001E-4</v>
      </c>
      <c r="D469" s="42">
        <f t="shared" si="135"/>
        <v>-4.7199999999999999E-2</v>
      </c>
      <c r="E469" s="114">
        <f>'2016 Proposed'!$B$16</f>
        <v>0</v>
      </c>
      <c r="F469" s="7">
        <f t="shared" si="136"/>
        <v>0</v>
      </c>
      <c r="G469" s="85"/>
      <c r="H469" s="59">
        <f>'2015 Approved'!$M$15</f>
        <v>-2.0000000000000001E-4</v>
      </c>
      <c r="I469" s="42">
        <f t="shared" si="137"/>
        <v>-4.7199999999999999E-2</v>
      </c>
      <c r="J469" s="114">
        <f>'2016 Proposed'!$B$16</f>
        <v>0</v>
      </c>
      <c r="K469" s="7">
        <f t="shared" si="138"/>
        <v>0</v>
      </c>
      <c r="L469" s="85"/>
      <c r="M469" s="59">
        <f>'2015 Approved'!$T$15</f>
        <v>0</v>
      </c>
      <c r="N469" s="42">
        <f t="shared" si="139"/>
        <v>0</v>
      </c>
      <c r="O469" s="114">
        <f>'2016 Proposed'!$B$16</f>
        <v>0</v>
      </c>
      <c r="P469" s="7">
        <f t="shared" si="140"/>
        <v>0</v>
      </c>
      <c r="Q469" s="85"/>
      <c r="R469" s="59">
        <f>'2015 Approved'!$X$15</f>
        <v>0</v>
      </c>
      <c r="S469" s="42">
        <f t="shared" si="141"/>
        <v>0</v>
      </c>
      <c r="T469" s="114">
        <f>'2016 Proposed'!$B$16</f>
        <v>0</v>
      </c>
      <c r="U469" s="7">
        <f t="shared" si="142"/>
        <v>0</v>
      </c>
      <c r="V469" s="85"/>
    </row>
    <row r="470" spans="1:22" x14ac:dyDescent="0.25">
      <c r="A470" s="139">
        <f t="shared" si="126"/>
        <v>23</v>
      </c>
      <c r="B470" s="85" t="s">
        <v>101</v>
      </c>
      <c r="C470" s="59">
        <f>'2015 Approved'!$B$16</f>
        <v>0</v>
      </c>
      <c r="D470" s="42">
        <f t="shared" si="135"/>
        <v>0</v>
      </c>
      <c r="E470" s="114">
        <f>'2016 Proposed'!$B$17</f>
        <v>0</v>
      </c>
      <c r="F470" s="7">
        <f t="shared" si="136"/>
        <v>0</v>
      </c>
      <c r="G470" s="85"/>
      <c r="H470" s="59">
        <f>'2015 Approved'!$M$16</f>
        <v>0</v>
      </c>
      <c r="I470" s="42">
        <f t="shared" si="137"/>
        <v>0</v>
      </c>
      <c r="J470" s="114">
        <f>'2016 Proposed'!$B$17</f>
        <v>0</v>
      </c>
      <c r="K470" s="7">
        <f t="shared" si="138"/>
        <v>0</v>
      </c>
      <c r="L470" s="85"/>
      <c r="M470" s="59">
        <f>'2015 Approved'!$T$16</f>
        <v>4.0000000000000002E-4</v>
      </c>
      <c r="N470" s="42">
        <f t="shared" si="139"/>
        <v>9.4399999999999998E-2</v>
      </c>
      <c r="O470" s="114">
        <f>M470</f>
        <v>4.0000000000000002E-4</v>
      </c>
      <c r="P470" s="7">
        <f t="shared" si="140"/>
        <v>9.4399999999999998E-2</v>
      </c>
      <c r="Q470" s="85"/>
      <c r="R470" s="59">
        <f>'2015 Approved'!$X$16</f>
        <v>2.3E-3</v>
      </c>
      <c r="S470" s="42">
        <f t="shared" si="141"/>
        <v>0.54279999999999995</v>
      </c>
      <c r="T470" s="114">
        <f>R470</f>
        <v>2.3E-3</v>
      </c>
      <c r="U470" s="7">
        <f t="shared" si="142"/>
        <v>0.54279999999999995</v>
      </c>
      <c r="V470" s="85"/>
    </row>
    <row r="471" spans="1:22" x14ac:dyDescent="0.25">
      <c r="A471" s="139">
        <f t="shared" si="126"/>
        <v>24</v>
      </c>
      <c r="B471" s="85" t="s">
        <v>112</v>
      </c>
      <c r="C471" s="59">
        <f>'2015 Approved'!$B$17</f>
        <v>2.2000000000000001E-3</v>
      </c>
      <c r="D471" s="42">
        <f t="shared" si="135"/>
        <v>0.51919999999999999</v>
      </c>
      <c r="E471" s="114">
        <f>'2016 Proposed'!$B$18</f>
        <v>0</v>
      </c>
      <c r="F471" s="7">
        <f t="shared" si="136"/>
        <v>0</v>
      </c>
      <c r="G471" s="85"/>
      <c r="H471" s="59">
        <f>'2015 Approved'!$M$17</f>
        <v>1.4E-3</v>
      </c>
      <c r="I471" s="42">
        <f t="shared" si="137"/>
        <v>0.33039999999999997</v>
      </c>
      <c r="J471" s="114">
        <f>'2016 Proposed'!$B$18</f>
        <v>0</v>
      </c>
      <c r="K471" s="7">
        <f t="shared" si="138"/>
        <v>0</v>
      </c>
      <c r="L471" s="85"/>
      <c r="M471" s="59">
        <f>'2015 Approved'!$T$17</f>
        <v>1.6000000000000001E-3</v>
      </c>
      <c r="N471" s="42">
        <f t="shared" si="139"/>
        <v>0.37759999999999999</v>
      </c>
      <c r="O471" s="114">
        <f>'2016 Proposed'!$B$18</f>
        <v>0</v>
      </c>
      <c r="P471" s="7">
        <f t="shared" si="140"/>
        <v>0</v>
      </c>
      <c r="Q471" s="85"/>
      <c r="R471" s="59">
        <f>'2015 Approved'!$X$17</f>
        <v>5.1999999999999998E-3</v>
      </c>
      <c r="S471" s="42">
        <f t="shared" si="141"/>
        <v>1.2271999999999998</v>
      </c>
      <c r="T471" s="114">
        <f>'2016 Proposed'!$B$18</f>
        <v>0</v>
      </c>
      <c r="U471" s="7">
        <f t="shared" si="142"/>
        <v>0</v>
      </c>
      <c r="V471" s="85"/>
    </row>
    <row r="472" spans="1:22" x14ac:dyDescent="0.25">
      <c r="A472" s="139">
        <f t="shared" si="126"/>
        <v>25</v>
      </c>
      <c r="B472" s="85" t="s">
        <v>102</v>
      </c>
      <c r="C472" s="59">
        <f>'2015 Approved'!$B$18</f>
        <v>0</v>
      </c>
      <c r="D472" s="42">
        <f t="shared" si="135"/>
        <v>0</v>
      </c>
      <c r="E472" s="114">
        <f>'2016 Proposed'!$B$19</f>
        <v>1.5E-3</v>
      </c>
      <c r="F472" s="7">
        <f t="shared" si="136"/>
        <v>0.35399999999999998</v>
      </c>
      <c r="G472" s="85"/>
      <c r="H472" s="59">
        <f>'2015 Approved'!$M$18</f>
        <v>0</v>
      </c>
      <c r="I472" s="42">
        <f t="shared" si="137"/>
        <v>0</v>
      </c>
      <c r="J472" s="114">
        <f>'2016 Proposed'!$B$19</f>
        <v>1.5E-3</v>
      </c>
      <c r="K472" s="7">
        <f t="shared" si="138"/>
        <v>0.35399999999999998</v>
      </c>
      <c r="L472" s="85"/>
      <c r="M472" s="59">
        <f>'2015 Approved'!$T$18</f>
        <v>0</v>
      </c>
      <c r="N472" s="42">
        <f t="shared" si="139"/>
        <v>0</v>
      </c>
      <c r="O472" s="114">
        <f>'2016 Proposed'!$B$19</f>
        <v>1.5E-3</v>
      </c>
      <c r="P472" s="7">
        <f t="shared" si="140"/>
        <v>0.35399999999999998</v>
      </c>
      <c r="Q472" s="85"/>
      <c r="R472" s="59">
        <f>'2015 Approved'!$X$18</f>
        <v>0</v>
      </c>
      <c r="S472" s="42">
        <f t="shared" si="141"/>
        <v>0</v>
      </c>
      <c r="T472" s="114">
        <f>'2016 Proposed'!$B$19</f>
        <v>1.5E-3</v>
      </c>
      <c r="U472" s="7">
        <f t="shared" si="142"/>
        <v>0.35399999999999998</v>
      </c>
      <c r="V472" s="85"/>
    </row>
    <row r="473" spans="1:22" x14ac:dyDescent="0.25">
      <c r="A473" s="139">
        <f t="shared" si="126"/>
        <v>26</v>
      </c>
      <c r="B473" s="85" t="s">
        <v>94</v>
      </c>
      <c r="C473" s="59">
        <f>'2015 Approved'!$B$19</f>
        <v>0</v>
      </c>
      <c r="D473" s="42">
        <f t="shared" si="135"/>
        <v>0</v>
      </c>
      <c r="E473" s="114">
        <f>'2016 Proposed'!$B$20</f>
        <v>0.47</v>
      </c>
      <c r="F473" s="7">
        <f>E473</f>
        <v>0.47</v>
      </c>
      <c r="G473" s="85"/>
      <c r="H473" s="59">
        <f>'2015 Approved'!$M$19</f>
        <v>0</v>
      </c>
      <c r="I473" s="42">
        <f t="shared" si="137"/>
        <v>0</v>
      </c>
      <c r="J473" s="114">
        <f>'2016 Proposed'!$B$20</f>
        <v>0.47</v>
      </c>
      <c r="K473" s="7">
        <f>J473</f>
        <v>0.47</v>
      </c>
      <c r="L473" s="85"/>
      <c r="M473" s="59">
        <f>'2015 Approved'!$T$19</f>
        <v>0</v>
      </c>
      <c r="N473" s="42">
        <f t="shared" si="139"/>
        <v>0</v>
      </c>
      <c r="O473" s="114">
        <f>'2016 Proposed'!$B$20</f>
        <v>0.47</v>
      </c>
      <c r="P473" s="7">
        <f>O473</f>
        <v>0.47</v>
      </c>
      <c r="Q473" s="85"/>
      <c r="R473" s="59">
        <f>'2015 Approved'!$X$19</f>
        <v>0</v>
      </c>
      <c r="S473" s="42">
        <f t="shared" si="141"/>
        <v>0</v>
      </c>
      <c r="T473" s="114">
        <f>'2016 Proposed'!$B$20</f>
        <v>0.47</v>
      </c>
      <c r="U473" s="7">
        <f>T473</f>
        <v>0.47</v>
      </c>
      <c r="V473" s="85"/>
    </row>
    <row r="474" spans="1:22" x14ac:dyDescent="0.25">
      <c r="A474" s="139">
        <f t="shared" si="126"/>
        <v>27</v>
      </c>
      <c r="B474" s="85" t="s">
        <v>104</v>
      </c>
      <c r="C474" s="59">
        <f>'2015 Approved'!$B$20</f>
        <v>0</v>
      </c>
      <c r="D474" s="42">
        <f t="shared" si="135"/>
        <v>0</v>
      </c>
      <c r="E474" s="114">
        <f>'2016 Proposed'!$B$21</f>
        <v>-1.4</v>
      </c>
      <c r="F474" s="7">
        <f>E474</f>
        <v>-1.4</v>
      </c>
      <c r="G474" s="85"/>
      <c r="H474" s="59">
        <f>'2015 Approved'!$M$20</f>
        <v>0</v>
      </c>
      <c r="I474" s="42">
        <f t="shared" si="137"/>
        <v>0</v>
      </c>
      <c r="J474" s="114">
        <f>'2016 Proposed'!$B$21</f>
        <v>-1.4</v>
      </c>
      <c r="K474" s="7">
        <f>J474</f>
        <v>-1.4</v>
      </c>
      <c r="L474" s="85"/>
      <c r="M474" s="59">
        <f>'2015 Approved'!$T$20</f>
        <v>0</v>
      </c>
      <c r="N474" s="42">
        <f t="shared" si="139"/>
        <v>0</v>
      </c>
      <c r="O474" s="114">
        <f>'2016 Proposed'!$B$21</f>
        <v>-1.4</v>
      </c>
      <c r="P474" s="7">
        <f>O474</f>
        <v>-1.4</v>
      </c>
      <c r="Q474" s="85"/>
      <c r="R474" s="59">
        <f>'2015 Approved'!$X$20</f>
        <v>0</v>
      </c>
      <c r="S474" s="42">
        <f t="shared" si="141"/>
        <v>0</v>
      </c>
      <c r="T474" s="114">
        <f>'2016 Proposed'!$B$21</f>
        <v>-1.4</v>
      </c>
      <c r="U474" s="7">
        <f>T474</f>
        <v>-1.4</v>
      </c>
      <c r="V474" s="85"/>
    </row>
    <row r="475" spans="1:22" x14ac:dyDescent="0.25">
      <c r="A475" s="142">
        <f t="shared" si="126"/>
        <v>28</v>
      </c>
      <c r="B475" s="143" t="s">
        <v>26</v>
      </c>
      <c r="C475" s="126"/>
      <c r="D475" s="96">
        <f>SUM(D459:D474)</f>
        <v>23.444895711999994</v>
      </c>
      <c r="E475" s="110"/>
      <c r="F475" s="95">
        <f>SUM(F459:F474)</f>
        <v>22.734527223999997</v>
      </c>
      <c r="G475" s="127">
        <f>F475-D475</f>
        <v>-0.71036848799999674</v>
      </c>
      <c r="H475" s="126"/>
      <c r="I475" s="96">
        <f>SUM(I459:I474)</f>
        <v>22.579586431999996</v>
      </c>
      <c r="J475" s="110"/>
      <c r="K475" s="95">
        <f>SUM(K459:K474)</f>
        <v>22.734527223999997</v>
      </c>
      <c r="L475" s="127">
        <f>K475-I475</f>
        <v>0.15494079200000144</v>
      </c>
      <c r="M475" s="126"/>
      <c r="N475" s="96">
        <f>SUM(N459:N474)</f>
        <v>20.825353648</v>
      </c>
      <c r="O475" s="110"/>
      <c r="P475" s="95">
        <f>SUM(P459:P474)</f>
        <v>22.828927223999997</v>
      </c>
      <c r="Q475" s="127">
        <f>P475-N475</f>
        <v>2.0035735759999973</v>
      </c>
      <c r="R475" s="126"/>
      <c r="S475" s="96">
        <f>SUM(S459:S474)</f>
        <v>21.23649232</v>
      </c>
      <c r="T475" s="110"/>
      <c r="U475" s="95">
        <f>SUM(U459:U474)</f>
        <v>23.277327223999997</v>
      </c>
      <c r="V475" s="127">
        <f>U475-S475</f>
        <v>2.0408349039999969</v>
      </c>
    </row>
    <row r="476" spans="1:22" x14ac:dyDescent="0.25">
      <c r="A476" s="144">
        <f t="shared" si="126"/>
        <v>29</v>
      </c>
      <c r="B476" s="145" t="s">
        <v>118</v>
      </c>
      <c r="C476" s="128"/>
      <c r="D476" s="120"/>
      <c r="E476" s="111"/>
      <c r="F476" s="97"/>
      <c r="G476" s="129">
        <f>G475/D475</f>
        <v>-3.0299494471046122E-2</v>
      </c>
      <c r="H476" s="128"/>
      <c r="I476" s="120"/>
      <c r="J476" s="111"/>
      <c r="K476" s="97"/>
      <c r="L476" s="129">
        <f>L475/I475</f>
        <v>6.8619853807604702E-3</v>
      </c>
      <c r="M476" s="128"/>
      <c r="N476" s="120"/>
      <c r="O476" s="111"/>
      <c r="P476" s="97"/>
      <c r="Q476" s="129">
        <f>Q475/N475</f>
        <v>9.6208381853453623E-2</v>
      </c>
      <c r="R476" s="128"/>
      <c r="S476" s="120"/>
      <c r="T476" s="111"/>
      <c r="U476" s="97"/>
      <c r="V476" s="129">
        <f>V475/S475</f>
        <v>9.6100376335596122E-2</v>
      </c>
    </row>
    <row r="477" spans="1:22" x14ac:dyDescent="0.25">
      <c r="A477" s="146">
        <f t="shared" si="126"/>
        <v>30</v>
      </c>
      <c r="B477" s="131" t="s">
        <v>29</v>
      </c>
      <c r="C477" s="130"/>
      <c r="D477" s="121"/>
      <c r="E477" s="112"/>
      <c r="F477" s="94"/>
      <c r="G477" s="131"/>
      <c r="H477" s="130"/>
      <c r="I477" s="121"/>
      <c r="J477" s="112"/>
      <c r="K477" s="94"/>
      <c r="L477" s="131"/>
      <c r="M477" s="130"/>
      <c r="N477" s="121"/>
      <c r="O477" s="112"/>
      <c r="P477" s="94"/>
      <c r="Q477" s="131"/>
      <c r="R477" s="130"/>
      <c r="S477" s="121"/>
      <c r="T477" s="112"/>
      <c r="U477" s="94"/>
      <c r="V477" s="131"/>
    </row>
    <row r="478" spans="1:22" x14ac:dyDescent="0.25">
      <c r="A478" s="139">
        <f t="shared" si="126"/>
        <v>31</v>
      </c>
      <c r="B478" s="85" t="s">
        <v>68</v>
      </c>
      <c r="C478" s="59">
        <f>'2015 Approved'!$B$26</f>
        <v>7.4000000000000003E-3</v>
      </c>
      <c r="D478" s="42">
        <f>C478*D$451</f>
        <v>1.82114592</v>
      </c>
      <c r="E478" s="114">
        <f>'2016 Proposed'!$B$28</f>
        <v>7.3000000000000001E-3</v>
      </c>
      <c r="F478" s="7">
        <f>E478*F$451</f>
        <v>1.79705268</v>
      </c>
      <c r="G478" s="85"/>
      <c r="H478" s="59">
        <f>'2015 Approved'!$M$26</f>
        <v>7.1999999999999998E-3</v>
      </c>
      <c r="I478" s="42">
        <f>H478*I$451</f>
        <v>1.8025113599999998</v>
      </c>
      <c r="J478" s="114">
        <f>'2016 Proposed'!$B$28</f>
        <v>7.3000000000000001E-3</v>
      </c>
      <c r="K478" s="7">
        <f>J478*K$451</f>
        <v>1.79705268</v>
      </c>
      <c r="L478" s="85"/>
      <c r="M478" s="59">
        <f>'2015 Approved'!$T$26</f>
        <v>7.6E-3</v>
      </c>
      <c r="N478" s="42">
        <f>M478*N$451</f>
        <v>1.9123363199999999</v>
      </c>
      <c r="O478" s="114">
        <f>'2016 Proposed'!$B$28</f>
        <v>7.3000000000000001E-3</v>
      </c>
      <c r="P478" s="7">
        <f>O478*P$451</f>
        <v>1.79705268</v>
      </c>
      <c r="Q478" s="85"/>
      <c r="R478" s="59">
        <f>'2015 Approved'!$X$26</f>
        <v>7.4450068112693092E-3</v>
      </c>
      <c r="S478" s="42">
        <f>R478*S$451</f>
        <v>1.8589288606922114</v>
      </c>
      <c r="T478" s="114">
        <f>'2016 Proposed'!$B$28</f>
        <v>7.3000000000000001E-3</v>
      </c>
      <c r="U478" s="7">
        <f>T478*U$451</f>
        <v>1.79705268</v>
      </c>
      <c r="V478" s="85"/>
    </row>
    <row r="479" spans="1:22" x14ac:dyDescent="0.25">
      <c r="A479" s="139">
        <f t="shared" si="126"/>
        <v>32</v>
      </c>
      <c r="B479" s="85" t="s">
        <v>69</v>
      </c>
      <c r="C479" s="59">
        <f>'2015 Approved'!$B$27</f>
        <v>5.3E-3</v>
      </c>
      <c r="D479" s="42">
        <f>C479*D$451</f>
        <v>1.30433424</v>
      </c>
      <c r="E479" s="114">
        <f>'2016 Proposed'!$B$29</f>
        <v>5.4000000000000003E-3</v>
      </c>
      <c r="F479" s="7">
        <f>E479*F$451</f>
        <v>1.3293266399999999</v>
      </c>
      <c r="G479" s="85"/>
      <c r="H479" s="59">
        <f>'2015 Approved'!$M$27</f>
        <v>5.1000000000000004E-3</v>
      </c>
      <c r="I479" s="42">
        <f>H479*I$451</f>
        <v>1.2767788799999999</v>
      </c>
      <c r="J479" s="114">
        <f>'2016 Proposed'!$B$29</f>
        <v>5.4000000000000003E-3</v>
      </c>
      <c r="K479" s="7">
        <f>J479*K$451</f>
        <v>1.3293266399999999</v>
      </c>
      <c r="L479" s="85"/>
      <c r="M479" s="59">
        <f>'2015 Approved'!$T$27</f>
        <v>5.5999999999999999E-3</v>
      </c>
      <c r="N479" s="42">
        <f>M479*N$451</f>
        <v>1.40908992</v>
      </c>
      <c r="O479" s="114">
        <f>'2016 Proposed'!$B$29</f>
        <v>5.4000000000000003E-3</v>
      </c>
      <c r="P479" s="7">
        <f>O479*P$451</f>
        <v>1.3293266399999999</v>
      </c>
      <c r="Q479" s="85"/>
      <c r="R479" s="59">
        <f>'2015 Approved'!$X$27</f>
        <v>3.7551994493456586E-3</v>
      </c>
      <c r="S479" s="42">
        <f>R479*S$451</f>
        <v>0.93762824010821888</v>
      </c>
      <c r="T479" s="114">
        <f>'2016 Proposed'!$B$29</f>
        <v>5.4000000000000003E-3</v>
      </c>
      <c r="U479" s="7">
        <f>T479*U$451</f>
        <v>1.3293266399999999</v>
      </c>
      <c r="V479" s="85"/>
    </row>
    <row r="480" spans="1:22" x14ac:dyDescent="0.25">
      <c r="A480" s="142">
        <f t="shared" si="126"/>
        <v>33</v>
      </c>
      <c r="B480" s="143" t="s">
        <v>26</v>
      </c>
      <c r="C480" s="126"/>
      <c r="D480" s="96">
        <f>SUM(D478:D479)</f>
        <v>3.12548016</v>
      </c>
      <c r="E480" s="110"/>
      <c r="F480" s="95">
        <f>SUM(F478:F479)</f>
        <v>3.1263793199999999</v>
      </c>
      <c r="G480" s="127">
        <f>F480-D480</f>
        <v>8.9915999999989893E-4</v>
      </c>
      <c r="H480" s="126"/>
      <c r="I480" s="96">
        <f>SUM(I478:I479)</f>
        <v>3.0792902399999997</v>
      </c>
      <c r="J480" s="110"/>
      <c r="K480" s="95">
        <f>SUM(K478:K479)</f>
        <v>3.1263793199999999</v>
      </c>
      <c r="L480" s="127">
        <f>K480-I480</f>
        <v>4.7089080000000116E-2</v>
      </c>
      <c r="M480" s="126"/>
      <c r="N480" s="96">
        <f>SUM(N478:N479)</f>
        <v>3.3214262400000001</v>
      </c>
      <c r="O480" s="110"/>
      <c r="P480" s="95">
        <f>SUM(P478:P479)</f>
        <v>3.1263793199999999</v>
      </c>
      <c r="Q480" s="127">
        <f>P480-N480</f>
        <v>-0.19504692000000023</v>
      </c>
      <c r="R480" s="126"/>
      <c r="S480" s="96">
        <f>SUM(S478:S479)</f>
        <v>2.7965571008004302</v>
      </c>
      <c r="T480" s="110"/>
      <c r="U480" s="95">
        <f>SUM(U478:U479)</f>
        <v>3.1263793199999999</v>
      </c>
      <c r="V480" s="127">
        <f>U480-S480</f>
        <v>0.32982221919956967</v>
      </c>
    </row>
    <row r="481" spans="1:22" x14ac:dyDescent="0.25">
      <c r="A481" s="144">
        <f t="shared" si="126"/>
        <v>34</v>
      </c>
      <c r="B481" s="145" t="s">
        <v>118</v>
      </c>
      <c r="C481" s="128"/>
      <c r="D481" s="120"/>
      <c r="E481" s="111"/>
      <c r="F481" s="97"/>
      <c r="G481" s="129">
        <f>G480/D480</f>
        <v>2.8768699654772373E-4</v>
      </c>
      <c r="H481" s="128"/>
      <c r="I481" s="120"/>
      <c r="J481" s="111"/>
      <c r="K481" s="97"/>
      <c r="L481" s="129">
        <f>L480/I480</f>
        <v>1.5292186292903692E-2</v>
      </c>
      <c r="M481" s="128"/>
      <c r="N481" s="120"/>
      <c r="O481" s="111"/>
      <c r="P481" s="97"/>
      <c r="Q481" s="129">
        <f>Q480/N480</f>
        <v>-5.8723845091318429E-2</v>
      </c>
      <c r="R481" s="128"/>
      <c r="S481" s="120"/>
      <c r="T481" s="111"/>
      <c r="U481" s="97"/>
      <c r="V481" s="129">
        <f>V480/S480</f>
        <v>0.11793866790889698</v>
      </c>
    </row>
    <row r="482" spans="1:22" x14ac:dyDescent="0.25">
      <c r="A482" s="146">
        <f t="shared" si="126"/>
        <v>35</v>
      </c>
      <c r="B482" s="131" t="s">
        <v>30</v>
      </c>
      <c r="C482" s="130"/>
      <c r="D482" s="121"/>
      <c r="E482" s="112"/>
      <c r="F482" s="94"/>
      <c r="G482" s="131"/>
      <c r="H482" s="130"/>
      <c r="I482" s="121"/>
      <c r="J482" s="112"/>
      <c r="K482" s="94"/>
      <c r="L482" s="131"/>
      <c r="M482" s="130"/>
      <c r="N482" s="121"/>
      <c r="O482" s="112"/>
      <c r="P482" s="94"/>
      <c r="Q482" s="131"/>
      <c r="R482" s="130"/>
      <c r="S482" s="121"/>
      <c r="T482" s="112"/>
      <c r="U482" s="94"/>
      <c r="V482" s="131"/>
    </row>
    <row r="483" spans="1:22" x14ac:dyDescent="0.25">
      <c r="A483" s="139">
        <f t="shared" si="126"/>
        <v>36</v>
      </c>
      <c r="B483" s="85" t="s">
        <v>66</v>
      </c>
      <c r="C483" s="59">
        <f>WMSR+RRRP</f>
        <v>5.7000000000000002E-3</v>
      </c>
      <c r="D483" s="42">
        <f>C483*D451</f>
        <v>1.4027745600000001</v>
      </c>
      <c r="E483" s="114">
        <f>WMSR+RRRP</f>
        <v>5.7000000000000002E-3</v>
      </c>
      <c r="F483" s="7">
        <f>E483*F451</f>
        <v>1.40317812</v>
      </c>
      <c r="G483" s="85"/>
      <c r="H483" s="59">
        <f>WMSR+RRRP</f>
        <v>5.7000000000000002E-3</v>
      </c>
      <c r="I483" s="42">
        <f>H483*I451</f>
        <v>1.4269881600000001</v>
      </c>
      <c r="J483" s="114">
        <f>WMSR+RRRP</f>
        <v>5.7000000000000002E-3</v>
      </c>
      <c r="K483" s="7">
        <f>J483*K451</f>
        <v>1.40317812</v>
      </c>
      <c r="L483" s="85"/>
      <c r="M483" s="59">
        <f>WMSR+RRRP</f>
        <v>5.7000000000000002E-3</v>
      </c>
      <c r="N483" s="42">
        <f>M483*N451</f>
        <v>1.43425224</v>
      </c>
      <c r="O483" s="114">
        <f>WMSR+RRRP</f>
        <v>5.7000000000000002E-3</v>
      </c>
      <c r="P483" s="7">
        <f>O483*P451</f>
        <v>1.40317812</v>
      </c>
      <c r="Q483" s="85"/>
      <c r="R483" s="59">
        <f>WMSR+RRRP</f>
        <v>5.7000000000000002E-3</v>
      </c>
      <c r="S483" s="42">
        <f>R483*S451</f>
        <v>1.4232216000000002</v>
      </c>
      <c r="T483" s="114">
        <f>WMSR+RRRP</f>
        <v>5.7000000000000002E-3</v>
      </c>
      <c r="U483" s="7">
        <f>T483*U451</f>
        <v>1.40317812</v>
      </c>
      <c r="V483" s="85"/>
    </row>
    <row r="484" spans="1:22" x14ac:dyDescent="0.25">
      <c r="A484" s="139">
        <f t="shared" si="126"/>
        <v>37</v>
      </c>
      <c r="B484" s="85" t="s">
        <v>67</v>
      </c>
      <c r="C484" s="59">
        <f>SSS</f>
        <v>0.25</v>
      </c>
      <c r="D484" s="42">
        <f>C484</f>
        <v>0.25</v>
      </c>
      <c r="E484" s="114">
        <f>SSS</f>
        <v>0.25</v>
      </c>
      <c r="F484" s="7">
        <f>E484</f>
        <v>0.25</v>
      </c>
      <c r="G484" s="85"/>
      <c r="H484" s="59">
        <f>SSS</f>
        <v>0.25</v>
      </c>
      <c r="I484" s="42">
        <f>H484</f>
        <v>0.25</v>
      </c>
      <c r="J484" s="114">
        <f>SSS</f>
        <v>0.25</v>
      </c>
      <c r="K484" s="7">
        <f>J484</f>
        <v>0.25</v>
      </c>
      <c r="L484" s="85"/>
      <c r="M484" s="59">
        <f>SSS</f>
        <v>0.25</v>
      </c>
      <c r="N484" s="42">
        <f>M484</f>
        <v>0.25</v>
      </c>
      <c r="O484" s="114">
        <f>SSS</f>
        <v>0.25</v>
      </c>
      <c r="P484" s="7">
        <f>O484</f>
        <v>0.25</v>
      </c>
      <c r="Q484" s="85"/>
      <c r="R484" s="59">
        <f>SSS</f>
        <v>0.25</v>
      </c>
      <c r="S484" s="42">
        <f>R484</f>
        <v>0.25</v>
      </c>
      <c r="T484" s="114">
        <f>SSS</f>
        <v>0.25</v>
      </c>
      <c r="U484" s="7">
        <f>T484</f>
        <v>0.25</v>
      </c>
      <c r="V484" s="85"/>
    </row>
    <row r="485" spans="1:22" x14ac:dyDescent="0.25">
      <c r="A485" s="139">
        <f t="shared" si="126"/>
        <v>38</v>
      </c>
      <c r="B485" s="85" t="s">
        <v>11</v>
      </c>
      <c r="C485" s="59">
        <v>7.0000000000000001E-3</v>
      </c>
      <c r="D485" s="42">
        <f>C485*D448</f>
        <v>1.6520000000000001</v>
      </c>
      <c r="E485" s="114">
        <v>7.0000000000000001E-3</v>
      </c>
      <c r="F485" s="7">
        <f>E485*F448</f>
        <v>1.6520000000000001</v>
      </c>
      <c r="G485" s="85"/>
      <c r="H485" s="59">
        <v>7.0000000000000001E-3</v>
      </c>
      <c r="I485" s="42">
        <f>H485*I448</f>
        <v>1.6520000000000001</v>
      </c>
      <c r="J485" s="114">
        <v>7.0000000000000001E-3</v>
      </c>
      <c r="K485" s="7">
        <f>J485*K448</f>
        <v>1.6520000000000001</v>
      </c>
      <c r="L485" s="85"/>
      <c r="M485" s="59">
        <v>7.0000000000000001E-3</v>
      </c>
      <c r="N485" s="42">
        <f>M485*N448</f>
        <v>1.6520000000000001</v>
      </c>
      <c r="O485" s="114">
        <v>7.0000000000000001E-3</v>
      </c>
      <c r="P485" s="7">
        <f>O485*P448</f>
        <v>1.6520000000000001</v>
      </c>
      <c r="Q485" s="85"/>
      <c r="R485" s="59">
        <v>7.0000000000000001E-3</v>
      </c>
      <c r="S485" s="42">
        <f>R485*S448</f>
        <v>1.6520000000000001</v>
      </c>
      <c r="T485" s="114">
        <v>7.0000000000000001E-3</v>
      </c>
      <c r="U485" s="7">
        <f>T485*U448</f>
        <v>1.6520000000000001</v>
      </c>
      <c r="V485" s="85"/>
    </row>
    <row r="486" spans="1:22" x14ac:dyDescent="0.25">
      <c r="A486" s="139">
        <f t="shared" si="126"/>
        <v>39</v>
      </c>
      <c r="B486" s="85" t="s">
        <v>31</v>
      </c>
      <c r="C486" s="86">
        <v>0</v>
      </c>
      <c r="D486" s="42"/>
      <c r="E486" s="106">
        <v>0</v>
      </c>
      <c r="F486" s="7"/>
      <c r="G486" s="85"/>
      <c r="H486" s="86">
        <v>0</v>
      </c>
      <c r="I486" s="42"/>
      <c r="J486" s="106">
        <v>0</v>
      </c>
      <c r="K486" s="7"/>
      <c r="L486" s="85"/>
      <c r="M486" s="86">
        <v>0</v>
      </c>
      <c r="N486" s="42"/>
      <c r="O486" s="106">
        <v>0</v>
      </c>
      <c r="P486" s="7"/>
      <c r="Q486" s="85"/>
      <c r="R486" s="86">
        <v>0</v>
      </c>
      <c r="S486" s="42"/>
      <c r="T486" s="106">
        <v>0</v>
      </c>
      <c r="U486" s="7"/>
      <c r="V486" s="85"/>
    </row>
    <row r="487" spans="1:22" x14ac:dyDescent="0.25">
      <c r="A487" s="142">
        <f t="shared" si="126"/>
        <v>40</v>
      </c>
      <c r="B487" s="143" t="s">
        <v>12</v>
      </c>
      <c r="C487" s="126"/>
      <c r="D487" s="96">
        <f>SUM(D483:D486)</f>
        <v>3.3047745600000002</v>
      </c>
      <c r="E487" s="110"/>
      <c r="F487" s="95">
        <f>SUM(F483:F486)</f>
        <v>3.3051781199999999</v>
      </c>
      <c r="G487" s="127">
        <f>F487-D487</f>
        <v>4.0355999999963643E-4</v>
      </c>
      <c r="H487" s="126"/>
      <c r="I487" s="96">
        <f>SUM(I483:I486)</f>
        <v>3.3289881600000002</v>
      </c>
      <c r="J487" s="110"/>
      <c r="K487" s="95">
        <f>SUM(K483:K486)</f>
        <v>3.3051781199999999</v>
      </c>
      <c r="L487" s="127">
        <f>K487-I487</f>
        <v>-2.381004000000031E-2</v>
      </c>
      <c r="M487" s="126"/>
      <c r="N487" s="96">
        <f>SUM(N483:N486)</f>
        <v>3.3362522400000003</v>
      </c>
      <c r="O487" s="110"/>
      <c r="P487" s="95">
        <f>SUM(P483:P486)</f>
        <v>3.3051781199999999</v>
      </c>
      <c r="Q487" s="127">
        <f>P487-N487</f>
        <v>-3.1074120000000427E-2</v>
      </c>
      <c r="R487" s="126"/>
      <c r="S487" s="96">
        <f>SUM(S483:S486)</f>
        <v>3.3252216000000003</v>
      </c>
      <c r="T487" s="110"/>
      <c r="U487" s="95">
        <f>SUM(U483:U486)</f>
        <v>3.3051781199999999</v>
      </c>
      <c r="V487" s="127">
        <f>U487-S487</f>
        <v>-2.0043480000000446E-2</v>
      </c>
    </row>
    <row r="488" spans="1:22" x14ac:dyDescent="0.25">
      <c r="A488" s="144">
        <f t="shared" si="126"/>
        <v>41</v>
      </c>
      <c r="B488" s="145" t="s">
        <v>118</v>
      </c>
      <c r="C488" s="128"/>
      <c r="D488" s="120"/>
      <c r="E488" s="111"/>
      <c r="F488" s="97"/>
      <c r="G488" s="129">
        <f>G487/D487</f>
        <v>1.2211422978263196E-4</v>
      </c>
      <c r="H488" s="128"/>
      <c r="I488" s="120"/>
      <c r="J488" s="111"/>
      <c r="K488" s="97"/>
      <c r="L488" s="129">
        <f>L487/I487</f>
        <v>-7.1523354411690996E-3</v>
      </c>
      <c r="M488" s="128"/>
      <c r="N488" s="120"/>
      <c r="O488" s="111"/>
      <c r="P488" s="97"/>
      <c r="Q488" s="129">
        <f>Q487/N487</f>
        <v>-9.3140799210075387E-3</v>
      </c>
      <c r="R488" s="128"/>
      <c r="S488" s="120"/>
      <c r="T488" s="111"/>
      <c r="U488" s="97"/>
      <c r="V488" s="129">
        <f>V487/S487</f>
        <v>-6.0277125590668737E-3</v>
      </c>
    </row>
    <row r="489" spans="1:22" x14ac:dyDescent="0.25">
      <c r="A489" s="147">
        <f t="shared" si="126"/>
        <v>42</v>
      </c>
      <c r="B489" s="133" t="s">
        <v>129</v>
      </c>
      <c r="C489" s="132"/>
      <c r="D489" s="122">
        <f>D456+D475+D480+D487</f>
        <v>53.980190431999993</v>
      </c>
      <c r="E489" s="115"/>
      <c r="F489" s="102">
        <f>F456+F475+F480+F487</f>
        <v>53.271124663999998</v>
      </c>
      <c r="G489" s="133"/>
      <c r="H489" s="132"/>
      <c r="I489" s="122">
        <f>I456+I475+I480+I487</f>
        <v>53.092904832000002</v>
      </c>
      <c r="J489" s="115"/>
      <c r="K489" s="102">
        <f>K456+K475+K480+K487</f>
        <v>53.271124663999998</v>
      </c>
      <c r="L489" s="133"/>
      <c r="M489" s="132"/>
      <c r="N489" s="122">
        <f>N456+N475+N480+N487</f>
        <v>51.588072128000007</v>
      </c>
      <c r="O489" s="115"/>
      <c r="P489" s="102">
        <f>P456+P475+P480+P487</f>
        <v>53.365524663999999</v>
      </c>
      <c r="Q489" s="133"/>
      <c r="R489" s="132"/>
      <c r="S489" s="122">
        <f>S456+S475+S480+S487</f>
        <v>51.463311020800425</v>
      </c>
      <c r="T489" s="115"/>
      <c r="U489" s="102">
        <f>U456+U475+U480+U487</f>
        <v>53.813924663999998</v>
      </c>
      <c r="V489" s="133"/>
    </row>
    <row r="490" spans="1:22" x14ac:dyDescent="0.25">
      <c r="A490" s="148">
        <f t="shared" si="126"/>
        <v>43</v>
      </c>
      <c r="B490" s="134" t="s">
        <v>13</v>
      </c>
      <c r="C490" s="87"/>
      <c r="D490" s="43">
        <f>D489*0.13</f>
        <v>7.0174247561599996</v>
      </c>
      <c r="E490" s="116"/>
      <c r="F490" s="99">
        <f>F489*0.13</f>
        <v>6.9252462063199998</v>
      </c>
      <c r="G490" s="134"/>
      <c r="H490" s="87"/>
      <c r="I490" s="43">
        <f>I489*0.13</f>
        <v>6.9020776281600007</v>
      </c>
      <c r="J490" s="116"/>
      <c r="K490" s="99">
        <f>K489*0.13</f>
        <v>6.9252462063199998</v>
      </c>
      <c r="L490" s="134"/>
      <c r="M490" s="87"/>
      <c r="N490" s="43">
        <f>N489*0.13</f>
        <v>6.7064493766400011</v>
      </c>
      <c r="O490" s="116"/>
      <c r="P490" s="99">
        <f>P489*0.13</f>
        <v>6.93751820632</v>
      </c>
      <c r="Q490" s="134"/>
      <c r="R490" s="87"/>
      <c r="S490" s="43">
        <f>S489*0.13</f>
        <v>6.6902304327040554</v>
      </c>
      <c r="T490" s="116"/>
      <c r="U490" s="99">
        <f>U489*0.13</f>
        <v>6.9958102063199998</v>
      </c>
      <c r="V490" s="134"/>
    </row>
    <row r="491" spans="1:22" x14ac:dyDescent="0.25">
      <c r="A491" s="141">
        <f t="shared" si="126"/>
        <v>44</v>
      </c>
      <c r="B491" s="125" t="s">
        <v>14</v>
      </c>
      <c r="C491" s="88"/>
      <c r="D491" s="69">
        <f>SUM(D489:D490)*-0.1</f>
        <v>-6.099761518815999</v>
      </c>
      <c r="E491" s="117"/>
      <c r="F491" s="70">
        <f>SUM(F489:F490)*-0.1</f>
        <v>-6.0196370870319997</v>
      </c>
      <c r="G491" s="125"/>
      <c r="H491" s="88"/>
      <c r="I491" s="69">
        <f>SUM(I489:I490)*-0.1</f>
        <v>-5.9994982460160005</v>
      </c>
      <c r="J491" s="117"/>
      <c r="K491" s="70">
        <f>SUM(K489:K490)*-0.1</f>
        <v>-6.0196370870319997</v>
      </c>
      <c r="L491" s="125"/>
      <c r="M491" s="88"/>
      <c r="N491" s="69">
        <f>SUM(N489:N490)*-0.1</f>
        <v>-5.8294521504640011</v>
      </c>
      <c r="O491" s="117"/>
      <c r="P491" s="70">
        <f>SUM(P489:P490)*-0.1</f>
        <v>-6.0303042870320001</v>
      </c>
      <c r="Q491" s="125"/>
      <c r="R491" s="88"/>
      <c r="S491" s="69">
        <f>SUM(S489:S490)*-0.1</f>
        <v>-5.8153541453504483</v>
      </c>
      <c r="T491" s="117"/>
      <c r="U491" s="70">
        <f>SUM(U489:U490)*-0.1</f>
        <v>-6.0809734870320007</v>
      </c>
      <c r="V491" s="125"/>
    </row>
    <row r="492" spans="1:22" x14ac:dyDescent="0.25">
      <c r="A492" s="149">
        <f t="shared" si="126"/>
        <v>45</v>
      </c>
      <c r="B492" s="150" t="s">
        <v>15</v>
      </c>
      <c r="C492" s="135"/>
      <c r="D492" s="104">
        <f>SUM(D489:D491)</f>
        <v>54.897853669343988</v>
      </c>
      <c r="E492" s="118"/>
      <c r="F492" s="103">
        <f>SUM(F489:F491)</f>
        <v>54.176733783287993</v>
      </c>
      <c r="G492" s="136">
        <f>F492-D492</f>
        <v>-0.72111988605599464</v>
      </c>
      <c r="H492" s="135"/>
      <c r="I492" s="104">
        <f>SUM(I489:I491)</f>
        <v>53.995484214144</v>
      </c>
      <c r="J492" s="118"/>
      <c r="K492" s="103">
        <f>SUM(K489:K491)</f>
        <v>54.176733783287993</v>
      </c>
      <c r="L492" s="136">
        <f>K492-I492</f>
        <v>0.18124956914399348</v>
      </c>
      <c r="M492" s="135"/>
      <c r="N492" s="104">
        <f>SUM(N489:N491)</f>
        <v>52.465069354176009</v>
      </c>
      <c r="O492" s="118"/>
      <c r="P492" s="103">
        <f>SUM(P489:P491)</f>
        <v>54.272738583287996</v>
      </c>
      <c r="Q492" s="136">
        <f>P492-N492</f>
        <v>1.8076692291119869</v>
      </c>
      <c r="R492" s="135"/>
      <c r="S492" s="104">
        <f>SUM(S489:S491)</f>
        <v>52.338187308154033</v>
      </c>
      <c r="T492" s="118"/>
      <c r="U492" s="103">
        <f>SUM(U489:U491)</f>
        <v>54.728761383288003</v>
      </c>
      <c r="V492" s="136">
        <f>U492-S492</f>
        <v>2.3905740751339692</v>
      </c>
    </row>
    <row r="493" spans="1:22" x14ac:dyDescent="0.25">
      <c r="A493" s="151">
        <f t="shared" si="126"/>
        <v>46</v>
      </c>
      <c r="B493" s="152" t="s">
        <v>118</v>
      </c>
      <c r="C493" s="137"/>
      <c r="D493" s="123"/>
      <c r="E493" s="119"/>
      <c r="F493" s="105"/>
      <c r="G493" s="138">
        <f>G492/D492</f>
        <v>-1.3135666293975383E-2</v>
      </c>
      <c r="H493" s="137"/>
      <c r="I493" s="123"/>
      <c r="J493" s="119"/>
      <c r="K493" s="105"/>
      <c r="L493" s="138">
        <f>L492/I492</f>
        <v>3.3567542134665318E-3</v>
      </c>
      <c r="M493" s="137"/>
      <c r="N493" s="123"/>
      <c r="O493" s="119"/>
      <c r="P493" s="105"/>
      <c r="Q493" s="138">
        <f>Q492/N492</f>
        <v>3.4454719137202543E-2</v>
      </c>
      <c r="R493" s="137"/>
      <c r="S493" s="123"/>
      <c r="T493" s="119"/>
      <c r="U493" s="105"/>
      <c r="V493" s="138">
        <f>V492/S492</f>
        <v>4.5675522941955794E-2</v>
      </c>
    </row>
    <row r="494" spans="1:22" x14ac:dyDescent="0.25">
      <c r="A494" s="191">
        <f>A493+1</f>
        <v>47</v>
      </c>
      <c r="B494" s="192" t="s">
        <v>16</v>
      </c>
      <c r="C494" s="193"/>
      <c r="D494" s="194"/>
      <c r="E494" s="195"/>
      <c r="F494" s="196"/>
      <c r="G494" s="192"/>
      <c r="H494" s="193"/>
      <c r="I494" s="194"/>
      <c r="J494" s="195"/>
      <c r="K494" s="196"/>
      <c r="L494" s="192"/>
      <c r="M494" s="193"/>
      <c r="N494" s="194"/>
      <c r="O494" s="195"/>
      <c r="P494" s="196"/>
      <c r="Q494" s="192"/>
      <c r="R494" s="193"/>
      <c r="S494" s="194"/>
      <c r="T494" s="195"/>
      <c r="U494" s="196"/>
      <c r="V494" s="192"/>
    </row>
    <row r="495" spans="1:22" x14ac:dyDescent="0.25">
      <c r="A495" s="148">
        <f>A494+1</f>
        <v>48</v>
      </c>
      <c r="B495" s="134" t="s">
        <v>127</v>
      </c>
      <c r="C495" s="202">
        <f>'2015 Approved'!$B$23</f>
        <v>0</v>
      </c>
      <c r="D495" s="43">
        <f>C495*D448</f>
        <v>0</v>
      </c>
      <c r="E495" s="203">
        <f>C495</f>
        <v>0</v>
      </c>
      <c r="F495" s="99">
        <f>E495*F448</f>
        <v>0</v>
      </c>
      <c r="G495" s="134"/>
      <c r="H495" s="59">
        <f>'2015 Approved'!$M$23</f>
        <v>0</v>
      </c>
      <c r="I495" s="43">
        <f>H495*I448</f>
        <v>0</v>
      </c>
      <c r="J495" s="203">
        <f>H495</f>
        <v>0</v>
      </c>
      <c r="K495" s="7">
        <f>J495*K448</f>
        <v>0</v>
      </c>
      <c r="L495" s="134"/>
      <c r="M495" s="59">
        <f>'2015 Approved'!T464</f>
        <v>0</v>
      </c>
      <c r="N495" s="43">
        <f>M495*N448</f>
        <v>0</v>
      </c>
      <c r="O495" s="203">
        <f>M495</f>
        <v>0</v>
      </c>
      <c r="P495" s="7">
        <f>O495*P448</f>
        <v>0</v>
      </c>
      <c r="Q495" s="134"/>
      <c r="R495" s="59">
        <f>'2015 Approved'!$X$23</f>
        <v>3.0999999999999999E-3</v>
      </c>
      <c r="S495" s="43">
        <f>R495*S448</f>
        <v>0.73160000000000003</v>
      </c>
      <c r="T495" s="203">
        <f>R495</f>
        <v>3.0999999999999999E-3</v>
      </c>
      <c r="U495" s="7">
        <f>T495*U448</f>
        <v>0.73160000000000003</v>
      </c>
      <c r="V495" s="134"/>
    </row>
    <row r="496" spans="1:22" x14ac:dyDescent="0.25">
      <c r="A496" s="148">
        <f>A495+1</f>
        <v>49</v>
      </c>
      <c r="B496" s="85" t="s">
        <v>128</v>
      </c>
      <c r="C496" s="59">
        <f>'2015 Approved'!$B$24</f>
        <v>3.1999999999999997E-3</v>
      </c>
      <c r="D496" s="42">
        <f>C496*D448</f>
        <v>0.75519999999999998</v>
      </c>
      <c r="E496" s="203">
        <f>'2016 Proposed'!$B$26</f>
        <v>3.3999999999999998E-3</v>
      </c>
      <c r="F496" s="7">
        <f>E496*F448</f>
        <v>0.8024</v>
      </c>
      <c r="G496" s="85"/>
      <c r="H496" s="59">
        <f>'2015 Approved'!$M$24</f>
        <v>-8.0000000000000004E-4</v>
      </c>
      <c r="I496" s="42">
        <f>H496*I448</f>
        <v>-0.1888</v>
      </c>
      <c r="J496" s="114">
        <f>'2016 Proposed'!$B$26</f>
        <v>3.3999999999999998E-3</v>
      </c>
      <c r="K496" s="7">
        <f>J496*K448</f>
        <v>0.8024</v>
      </c>
      <c r="L496" s="85"/>
      <c r="M496" s="59">
        <f>'2015 Approved'!$T$24</f>
        <v>-4.0000000000000002E-4</v>
      </c>
      <c r="N496" s="42">
        <f>M496*N448</f>
        <v>-9.4399999999999998E-2</v>
      </c>
      <c r="O496" s="114">
        <f>'2016 Proposed'!$B$26</f>
        <v>3.3999999999999998E-3</v>
      </c>
      <c r="P496" s="7">
        <f>O496*P448</f>
        <v>0.8024</v>
      </c>
      <c r="Q496" s="85"/>
      <c r="R496" s="59">
        <f>'2015 Approved'!$X$24</f>
        <v>-2.9999999999999997E-4</v>
      </c>
      <c r="S496" s="42">
        <f>R496*S448</f>
        <v>-7.0799999999999988E-2</v>
      </c>
      <c r="T496" s="114">
        <f>'2016 Proposed'!$B$26</f>
        <v>3.3999999999999998E-3</v>
      </c>
      <c r="U496" s="7">
        <f>T496*U448</f>
        <v>0.8024</v>
      </c>
      <c r="V496" s="85"/>
    </row>
    <row r="497" spans="1:22" x14ac:dyDescent="0.25">
      <c r="A497" s="139">
        <f t="shared" si="126"/>
        <v>50</v>
      </c>
      <c r="B497" s="85" t="s">
        <v>17</v>
      </c>
      <c r="C497" s="86"/>
      <c r="D497" s="42">
        <f>D489+SUM(D495:D496)</f>
        <v>54.735390431999996</v>
      </c>
      <c r="E497" s="106"/>
      <c r="F497" s="7">
        <f>F489+SUM(F495:F496)</f>
        <v>54.073524663999997</v>
      </c>
      <c r="G497" s="85"/>
      <c r="H497" s="86"/>
      <c r="I497" s="42">
        <f>I489+I496+I495</f>
        <v>52.904104832000002</v>
      </c>
      <c r="J497" s="106"/>
      <c r="K497" s="7">
        <f>K489+K496+K495</f>
        <v>54.073524663999997</v>
      </c>
      <c r="L497" s="85"/>
      <c r="M497" s="86"/>
      <c r="N497" s="42">
        <f>N489+N496+N495</f>
        <v>51.493672128000007</v>
      </c>
      <c r="O497" s="106"/>
      <c r="P497" s="7">
        <f>P489+P496+P495</f>
        <v>54.167924663999997</v>
      </c>
      <c r="Q497" s="85"/>
      <c r="R497" s="86"/>
      <c r="S497" s="42">
        <f>S489+S496+S495</f>
        <v>52.124111020800427</v>
      </c>
      <c r="T497" s="106"/>
      <c r="U497" s="7">
        <f>U489+U496+U495</f>
        <v>55.347924663999997</v>
      </c>
      <c r="V497" s="85"/>
    </row>
    <row r="498" spans="1:22" x14ac:dyDescent="0.25">
      <c r="A498" s="139">
        <f t="shared" si="126"/>
        <v>51</v>
      </c>
      <c r="B498" s="85" t="s">
        <v>13</v>
      </c>
      <c r="C498" s="86"/>
      <c r="D498" s="42">
        <f>D497*0.13</f>
        <v>7.1156007561600001</v>
      </c>
      <c r="E498" s="106"/>
      <c r="F498" s="7">
        <f>F497*0.13</f>
        <v>7.0295582063199999</v>
      </c>
      <c r="G498" s="85"/>
      <c r="H498" s="86"/>
      <c r="I498" s="42">
        <f>I497*0.13</f>
        <v>6.8775336281600001</v>
      </c>
      <c r="J498" s="106"/>
      <c r="K498" s="7">
        <f>K497*0.13</f>
        <v>7.0295582063199999</v>
      </c>
      <c r="L498" s="85"/>
      <c r="M498" s="86"/>
      <c r="N498" s="42">
        <f>N497*0.13</f>
        <v>6.6941773766400008</v>
      </c>
      <c r="O498" s="106"/>
      <c r="P498" s="7">
        <f>P497*0.13</f>
        <v>7.0418302063200002</v>
      </c>
      <c r="Q498" s="85"/>
      <c r="R498" s="86"/>
      <c r="S498" s="42">
        <f>S497*0.13</f>
        <v>6.7761344327040556</v>
      </c>
      <c r="T498" s="106"/>
      <c r="U498" s="7">
        <f>U497*0.13</f>
        <v>7.1952302063199998</v>
      </c>
      <c r="V498" s="85"/>
    </row>
    <row r="499" spans="1:22" x14ac:dyDescent="0.25">
      <c r="A499" s="139">
        <f t="shared" si="126"/>
        <v>52</v>
      </c>
      <c r="B499" s="85" t="s">
        <v>18</v>
      </c>
      <c r="C499" s="86"/>
      <c r="D499" s="42">
        <f>SUM(D497:D498)*-0.1</f>
        <v>-6.1850991188159998</v>
      </c>
      <c r="E499" s="106"/>
      <c r="F499" s="7">
        <f>SUM(F497:F498)*-0.1</f>
        <v>-6.1103082870319998</v>
      </c>
      <c r="G499" s="85"/>
      <c r="H499" s="86"/>
      <c r="I499" s="42">
        <f>SUM(I497:I498)*-0.1</f>
        <v>-5.9781638460160007</v>
      </c>
      <c r="J499" s="106"/>
      <c r="K499" s="7">
        <f>SUM(K497:K498)*-0.1</f>
        <v>-6.1103082870319998</v>
      </c>
      <c r="L499" s="85"/>
      <c r="M499" s="86"/>
      <c r="N499" s="42">
        <f>SUM(N497:N498)*-0.1</f>
        <v>-5.8187849504640008</v>
      </c>
      <c r="O499" s="106"/>
      <c r="P499" s="7">
        <f>SUM(P497:P498)*-0.1</f>
        <v>-6.1209754870320001</v>
      </c>
      <c r="Q499" s="85"/>
      <c r="R499" s="86"/>
      <c r="S499" s="42">
        <f>SUM(S497:S498)*-0.1</f>
        <v>-5.8900245453504487</v>
      </c>
      <c r="T499" s="106"/>
      <c r="U499" s="7">
        <f>SUM(U497:U498)*-0.1</f>
        <v>-6.2543154870319997</v>
      </c>
      <c r="V499" s="85"/>
    </row>
    <row r="500" spans="1:22" x14ac:dyDescent="0.25">
      <c r="A500" s="177">
        <f t="shared" si="126"/>
        <v>53</v>
      </c>
      <c r="B500" s="178" t="s">
        <v>15</v>
      </c>
      <c r="C500" s="179"/>
      <c r="D500" s="180">
        <f>SUM(D497:D499)</f>
        <v>55.665892069343997</v>
      </c>
      <c r="E500" s="181"/>
      <c r="F500" s="182">
        <f>SUM(F497:F499)</f>
        <v>54.992774583287996</v>
      </c>
      <c r="G500" s="183">
        <f>F500-D500</f>
        <v>-0.6731174860560003</v>
      </c>
      <c r="H500" s="179"/>
      <c r="I500" s="180">
        <f>SUM(I497:I499)</f>
        <v>53.803474614144001</v>
      </c>
      <c r="J500" s="181"/>
      <c r="K500" s="182">
        <f>SUM(K497:K499)</f>
        <v>54.992774583287996</v>
      </c>
      <c r="L500" s="183">
        <f>K500-I500</f>
        <v>1.1892999691439954</v>
      </c>
      <c r="M500" s="179"/>
      <c r="N500" s="180">
        <f>SUM(N497:N499)</f>
        <v>52.369064554176006</v>
      </c>
      <c r="O500" s="181"/>
      <c r="P500" s="182">
        <f>SUM(P497:P499)</f>
        <v>55.088779383287999</v>
      </c>
      <c r="Q500" s="183">
        <f>P500-N500</f>
        <v>2.719714829111993</v>
      </c>
      <c r="R500" s="179"/>
      <c r="S500" s="180">
        <f>SUM(S497:S499)</f>
        <v>53.010220908154032</v>
      </c>
      <c r="T500" s="181"/>
      <c r="U500" s="182">
        <f>SUM(U497:U499)</f>
        <v>56.288839383287993</v>
      </c>
      <c r="V500" s="183">
        <f>U500-S500</f>
        <v>3.2786184751339604</v>
      </c>
    </row>
    <row r="501" spans="1:22" ht="15.75" thickBot="1" x14ac:dyDescent="0.3">
      <c r="A501" s="184">
        <f>A500+1</f>
        <v>54</v>
      </c>
      <c r="B501" s="185" t="s">
        <v>118</v>
      </c>
      <c r="C501" s="186"/>
      <c r="D501" s="187"/>
      <c r="E501" s="188"/>
      <c r="F501" s="189"/>
      <c r="G501" s="190">
        <f>G500/D500</f>
        <v>-1.2092099147849563E-2</v>
      </c>
      <c r="H501" s="186"/>
      <c r="I501" s="187"/>
      <c r="J501" s="188"/>
      <c r="K501" s="189"/>
      <c r="L501" s="190">
        <f>L500/I500</f>
        <v>2.2104519785630147E-2</v>
      </c>
      <c r="M501" s="186"/>
      <c r="N501" s="187"/>
      <c r="O501" s="188"/>
      <c r="P501" s="189"/>
      <c r="Q501" s="190">
        <f>Q500/N500</f>
        <v>5.1933614859559642E-2</v>
      </c>
      <c r="R501" s="186"/>
      <c r="S501" s="187"/>
      <c r="T501" s="188"/>
      <c r="U501" s="189"/>
      <c r="V501" s="190">
        <f>V500/S500</f>
        <v>6.1848798570647782E-2</v>
      </c>
    </row>
    <row r="502" spans="1:22" ht="15.75" thickBot="1" x14ac:dyDescent="0.3"/>
    <row r="503" spans="1:22" x14ac:dyDescent="0.25">
      <c r="A503" s="153">
        <f>A501+1</f>
        <v>55</v>
      </c>
      <c r="B503" s="154" t="s">
        <v>120</v>
      </c>
      <c r="C503" s="153" t="s">
        <v>2</v>
      </c>
      <c r="D503" s="198" t="s">
        <v>3</v>
      </c>
      <c r="E503" s="199" t="s">
        <v>2</v>
      </c>
      <c r="F503" s="200" t="s">
        <v>3</v>
      </c>
      <c r="G503" s="201" t="s">
        <v>103</v>
      </c>
      <c r="H503" s="153" t="s">
        <v>2</v>
      </c>
      <c r="I503" s="198" t="s">
        <v>3</v>
      </c>
      <c r="J503" s="199" t="s">
        <v>2</v>
      </c>
      <c r="K503" s="200" t="s">
        <v>3</v>
      </c>
      <c r="L503" s="201" t="s">
        <v>103</v>
      </c>
      <c r="M503" s="153" t="s">
        <v>2</v>
      </c>
      <c r="N503" s="198" t="s">
        <v>3</v>
      </c>
      <c r="O503" s="199" t="s">
        <v>2</v>
      </c>
      <c r="P503" s="200" t="s">
        <v>3</v>
      </c>
      <c r="Q503" s="201" t="s">
        <v>103</v>
      </c>
      <c r="R503" s="153" t="s">
        <v>2</v>
      </c>
      <c r="S503" s="198" t="s">
        <v>3</v>
      </c>
      <c r="T503" s="199" t="s">
        <v>2</v>
      </c>
      <c r="U503" s="200" t="s">
        <v>3</v>
      </c>
      <c r="V503" s="201" t="s">
        <v>103</v>
      </c>
    </row>
    <row r="504" spans="1:22" x14ac:dyDescent="0.25">
      <c r="A504" s="139">
        <f>A503+1</f>
        <v>56</v>
      </c>
      <c r="B504" s="85" t="s">
        <v>119</v>
      </c>
      <c r="C504" s="86"/>
      <c r="D504" s="42">
        <f>SUM(D459:D462)+D465+D474</f>
        <v>21.056799999999999</v>
      </c>
      <c r="E504" s="106"/>
      <c r="F504" s="7">
        <f>SUM(F459:F462)+F465+F474</f>
        <v>19.6096</v>
      </c>
      <c r="G504" s="56">
        <f>F504-D504</f>
        <v>-1.4471999999999987</v>
      </c>
      <c r="H504" s="86"/>
      <c r="I504" s="42">
        <f>SUM(I459:I462)+I465+I474</f>
        <v>19.875599999999999</v>
      </c>
      <c r="J504" s="106"/>
      <c r="K504" s="7">
        <f>SUM(K459:K462)+K465+K474</f>
        <v>19.6096</v>
      </c>
      <c r="L504" s="56">
        <f>K504-I504</f>
        <v>-0.26599999999999824</v>
      </c>
      <c r="M504" s="86"/>
      <c r="N504" s="42">
        <f>SUM(N459:N462)+N465+N474</f>
        <v>17.6372</v>
      </c>
      <c r="O504" s="106"/>
      <c r="P504" s="7">
        <f>SUM(P459:P462)+P465+P474</f>
        <v>19.6096</v>
      </c>
      <c r="Q504" s="56">
        <f>P504-N504</f>
        <v>1.9724000000000004</v>
      </c>
      <c r="R504" s="86"/>
      <c r="S504" s="42">
        <f>SUM(S459:S462)+S465+S474</f>
        <v>16.2636</v>
      </c>
      <c r="T504" s="106"/>
      <c r="U504" s="7">
        <f>SUM(U459:U462)+U465+U474</f>
        <v>19.6096</v>
      </c>
      <c r="V504" s="56">
        <f>U504-S504</f>
        <v>3.3460000000000001</v>
      </c>
    </row>
    <row r="505" spans="1:22" x14ac:dyDescent="0.25">
      <c r="A505" s="164">
        <f t="shared" ref="A505:A507" si="143">A504+1</f>
        <v>57</v>
      </c>
      <c r="B505" s="165" t="s">
        <v>118</v>
      </c>
      <c r="C505" s="166"/>
      <c r="D505" s="167"/>
      <c r="E505" s="168"/>
      <c r="F505" s="93"/>
      <c r="G505" s="169">
        <f>G504/SUM(D504:D507)</f>
        <v>-6.1727721794013618E-2</v>
      </c>
      <c r="H505" s="166"/>
      <c r="I505" s="167"/>
      <c r="J505" s="168"/>
      <c r="K505" s="93"/>
      <c r="L505" s="169">
        <f>L504/SUM(I504:I507)</f>
        <v>-1.1780552349843779E-2</v>
      </c>
      <c r="M505" s="166"/>
      <c r="N505" s="167"/>
      <c r="O505" s="168"/>
      <c r="P505" s="93"/>
      <c r="Q505" s="169">
        <f>Q504/SUM(N504:N507)</f>
        <v>9.4711476853571869E-2</v>
      </c>
      <c r="R505" s="166"/>
      <c r="S505" s="167"/>
      <c r="T505" s="168"/>
      <c r="U505" s="93"/>
      <c r="V505" s="169">
        <f>V504/SUM(S504:S507)</f>
        <v>0.15755897676420036</v>
      </c>
    </row>
    <row r="506" spans="1:22" x14ac:dyDescent="0.25">
      <c r="A506" s="139">
        <f t="shared" si="143"/>
        <v>58</v>
      </c>
      <c r="B506" s="85" t="s">
        <v>121</v>
      </c>
      <c r="C506" s="86"/>
      <c r="D506" s="42">
        <f>D463+SUM(D466:D473)+D464</f>
        <v>2.3880957119999993</v>
      </c>
      <c r="E506" s="106"/>
      <c r="F506" s="7">
        <f>F463+SUM(F466:F473)+F464</f>
        <v>3.1249272239999986</v>
      </c>
      <c r="G506" s="56">
        <f>F506-D506</f>
        <v>0.7368315119999993</v>
      </c>
      <c r="H506" s="86"/>
      <c r="I506" s="42">
        <f>I463+SUM(I466:I473)+I464</f>
        <v>2.703986431999998</v>
      </c>
      <c r="J506" s="106"/>
      <c r="K506" s="7">
        <f>K463+SUM(K466:K473)+K464</f>
        <v>3.1249272239999986</v>
      </c>
      <c r="L506" s="56">
        <f>K506-I506</f>
        <v>0.42094079200000056</v>
      </c>
      <c r="M506" s="86"/>
      <c r="N506" s="42">
        <f>N463+SUM(N466:N473)+N464</f>
        <v>3.1881536480000001</v>
      </c>
      <c r="O506" s="106"/>
      <c r="P506" s="7">
        <f>P463+SUM(P466:P473)+P464</f>
        <v>3.2193272239999988</v>
      </c>
      <c r="Q506" s="56">
        <f>P506-N506</f>
        <v>3.1173575999998704E-2</v>
      </c>
      <c r="R506" s="86"/>
      <c r="S506" s="42">
        <f>S463+SUM(S466:S473)+S464</f>
        <v>4.9728923200000015</v>
      </c>
      <c r="T506" s="106"/>
      <c r="U506" s="7">
        <f>U463+SUM(U466:U473)+U464</f>
        <v>3.6677272239999983</v>
      </c>
      <c r="V506" s="56">
        <f>U506-S506</f>
        <v>-1.3051650960000032</v>
      </c>
    </row>
    <row r="507" spans="1:22" ht="15.75" thickBot="1" x14ac:dyDescent="0.3">
      <c r="A507" s="170">
        <f t="shared" si="143"/>
        <v>59</v>
      </c>
      <c r="B507" s="171" t="s">
        <v>118</v>
      </c>
      <c r="C507" s="172"/>
      <c r="D507" s="173"/>
      <c r="E507" s="174"/>
      <c r="F507" s="175"/>
      <c r="G507" s="176">
        <f>G506/SUM(D504:D507)</f>
        <v>3.1428227322967392E-2</v>
      </c>
      <c r="H507" s="172"/>
      <c r="I507" s="173"/>
      <c r="J507" s="174"/>
      <c r="K507" s="175"/>
      <c r="L507" s="176">
        <f>L506/SUM(I504:I507)</f>
        <v>1.8642537730604286E-2</v>
      </c>
      <c r="M507" s="172"/>
      <c r="N507" s="173"/>
      <c r="O507" s="174"/>
      <c r="P507" s="175"/>
      <c r="Q507" s="176">
        <f>Q506/SUM(N504:N507)</f>
        <v>1.4969049998818395E-3</v>
      </c>
      <c r="R507" s="172"/>
      <c r="S507" s="173"/>
      <c r="T507" s="174"/>
      <c r="U507" s="175"/>
      <c r="V507" s="176">
        <f>V506/SUM(S504:S507)</f>
        <v>-6.1458600428604258E-2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  <mergeCell ref="A320:A321"/>
    <mergeCell ref="B320:B321"/>
    <mergeCell ref="C320:D320"/>
    <mergeCell ref="E320:G320"/>
    <mergeCell ref="H320:I320"/>
    <mergeCell ref="J320:L320"/>
    <mergeCell ref="M320:N320"/>
    <mergeCell ref="O320:Q320"/>
    <mergeCell ref="R320:S320"/>
    <mergeCell ref="T320:V320"/>
    <mergeCell ref="A383:A384"/>
    <mergeCell ref="B383:B384"/>
    <mergeCell ref="C383:D383"/>
    <mergeCell ref="E383:G383"/>
    <mergeCell ref="H383:I383"/>
    <mergeCell ref="J383:L383"/>
    <mergeCell ref="M383:N383"/>
    <mergeCell ref="O383:Q383"/>
    <mergeCell ref="R383:S383"/>
    <mergeCell ref="T383:V383"/>
    <mergeCell ref="A446:A447"/>
    <mergeCell ref="B446:B447"/>
    <mergeCell ref="C446:D446"/>
    <mergeCell ref="E446:G446"/>
    <mergeCell ref="H446:I446"/>
    <mergeCell ref="J446:L446"/>
    <mergeCell ref="M446:N446"/>
    <mergeCell ref="O446:Q446"/>
    <mergeCell ref="R446:S446"/>
    <mergeCell ref="T446:V446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10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146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164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60" x14ac:dyDescent="0.25">
      <c r="A5" s="210" t="s">
        <v>145</v>
      </c>
      <c r="B5" s="211" t="s">
        <v>166</v>
      </c>
      <c r="C5" s="254" t="s">
        <v>131</v>
      </c>
      <c r="D5" s="259" t="s">
        <v>135</v>
      </c>
      <c r="E5" s="212" t="s">
        <v>136</v>
      </c>
      <c r="F5" s="212" t="s">
        <v>137</v>
      </c>
      <c r="G5" s="213" t="s">
        <v>153</v>
      </c>
      <c r="H5" s="259" t="s">
        <v>135</v>
      </c>
      <c r="I5" s="212" t="s">
        <v>136</v>
      </c>
      <c r="J5" s="212" t="s">
        <v>137</v>
      </c>
      <c r="K5" s="213" t="s">
        <v>153</v>
      </c>
      <c r="L5" s="259" t="s">
        <v>135</v>
      </c>
      <c r="M5" s="212" t="s">
        <v>136</v>
      </c>
      <c r="N5" s="212" t="s">
        <v>137</v>
      </c>
      <c r="O5" s="213" t="s">
        <v>153</v>
      </c>
      <c r="P5" s="257" t="s">
        <v>135</v>
      </c>
      <c r="Q5" s="212" t="s">
        <v>136</v>
      </c>
      <c r="R5" s="212" t="s">
        <v>137</v>
      </c>
      <c r="S5" s="213" t="s">
        <v>153</v>
      </c>
    </row>
    <row r="6" spans="1:19" x14ac:dyDescent="0.25">
      <c r="A6" s="269">
        <v>1</v>
      </c>
      <c r="B6" s="270" t="s">
        <v>163</v>
      </c>
      <c r="C6" s="271"/>
      <c r="D6" s="323" t="s">
        <v>1</v>
      </c>
      <c r="E6" s="324"/>
      <c r="F6" s="324"/>
      <c r="G6" s="325"/>
      <c r="H6" s="323" t="s">
        <v>19</v>
      </c>
      <c r="I6" s="324"/>
      <c r="J6" s="324"/>
      <c r="K6" s="325"/>
      <c r="L6" s="323" t="s">
        <v>20</v>
      </c>
      <c r="M6" s="324"/>
      <c r="N6" s="324"/>
      <c r="O6" s="325"/>
      <c r="P6" s="326" t="s">
        <v>21</v>
      </c>
      <c r="Q6" s="324"/>
      <c r="R6" s="324"/>
      <c r="S6" s="325"/>
    </row>
    <row r="7" spans="1:19" x14ac:dyDescent="0.25">
      <c r="A7" s="262">
        <f>A6+1</f>
        <v>2</v>
      </c>
      <c r="B7" s="263" t="s">
        <v>170</v>
      </c>
      <c r="C7" s="264" t="s">
        <v>138</v>
      </c>
      <c r="D7" s="265">
        <f>'GS&lt;50 Detail'!$D$51</f>
        <v>342.07794100800004</v>
      </c>
      <c r="E7" s="266">
        <f>'GS&lt;50 Detail'!$F$51</f>
        <v>323.46828921600002</v>
      </c>
      <c r="F7" s="266">
        <f>E7-D7</f>
        <v>-18.609651792000022</v>
      </c>
      <c r="G7" s="267">
        <f>F7/D7</f>
        <v>-5.4401788484703277E-2</v>
      </c>
      <c r="H7" s="265">
        <f>'GS&lt;50 Detail'!$I$51</f>
        <v>316.43253676799998</v>
      </c>
      <c r="I7" s="266">
        <f>'GS&lt;50 Detail'!$K$51</f>
        <v>323.46828921600002</v>
      </c>
      <c r="J7" s="266">
        <f>I7-H7</f>
        <v>7.0357524480000393</v>
      </c>
      <c r="K7" s="267">
        <f>J7/H7</f>
        <v>2.2234604948853501E-2</v>
      </c>
      <c r="L7" s="265">
        <f>'GS&lt;50 Detail'!$N$51</f>
        <v>328.59275695199989</v>
      </c>
      <c r="M7" s="266">
        <f>'GS&lt;50 Detail'!$P$51</f>
        <v>324.28188921599997</v>
      </c>
      <c r="N7" s="266">
        <f>M7-L7</f>
        <v>-4.3108677359999206</v>
      </c>
      <c r="O7" s="267">
        <f>N7/L7</f>
        <v>-1.3119180641676904E-2</v>
      </c>
      <c r="P7" s="268">
        <f>'GS&lt;50 Detail'!$S$51</f>
        <v>347.89059385989736</v>
      </c>
      <c r="Q7" s="266">
        <f>'GS&lt;50 Detail'!$U$51</f>
        <v>328.14648921599991</v>
      </c>
      <c r="R7" s="266">
        <f>Q7-P7</f>
        <v>-19.744104643897458</v>
      </c>
      <c r="S7" s="267">
        <f>R7/P7</f>
        <v>-5.6753775446567005E-2</v>
      </c>
    </row>
    <row r="8" spans="1:19" x14ac:dyDescent="0.25">
      <c r="A8" s="234">
        <f>A7+1</f>
        <v>3</v>
      </c>
      <c r="B8" s="1" t="s">
        <v>160</v>
      </c>
      <c r="C8" s="255" t="s">
        <v>138</v>
      </c>
      <c r="D8" s="260">
        <f>'GS&lt;50 Detail'!$D$114</f>
        <v>187.96693550400002</v>
      </c>
      <c r="E8" s="7">
        <f>'GS&lt;50 Detail'!$F$114</f>
        <v>177.55866460799999</v>
      </c>
      <c r="F8" s="7">
        <f t="shared" ref="F8:F16" si="0">E8-D8</f>
        <v>-10.408270896000033</v>
      </c>
      <c r="G8" s="253">
        <f t="shared" ref="G8:G16" si="1">F8/D8</f>
        <v>-5.5372881768232803E-2</v>
      </c>
      <c r="H8" s="260">
        <f>'GS&lt;50 Detail'!$I$114</f>
        <v>168.437118384</v>
      </c>
      <c r="I8" s="7">
        <f>'GS&lt;50 Detail'!$K$114</f>
        <v>177.55866460799999</v>
      </c>
      <c r="J8" s="7">
        <f t="shared" ref="J8:J16" si="2">I8-H8</f>
        <v>9.1215462239999852</v>
      </c>
      <c r="K8" s="253">
        <f t="shared" ref="K8:K16" si="3">J8/H8</f>
        <v>5.4154014931583214E-2</v>
      </c>
      <c r="L8" s="260">
        <f>'GS&lt;50 Detail'!$N$114</f>
        <v>177.95468847599997</v>
      </c>
      <c r="M8" s="7">
        <f>'GS&lt;50 Detail'!$P$114</f>
        <v>177.96546460799999</v>
      </c>
      <c r="N8" s="7">
        <f t="shared" ref="N8:N16" si="4">M8-L8</f>
        <v>1.0776132000017924E-2</v>
      </c>
      <c r="O8" s="253">
        <f t="shared" ref="O8:O16" si="5">N8/L8</f>
        <v>6.0555482366351125E-5</v>
      </c>
      <c r="P8" s="113">
        <f>'GS&lt;50 Detail'!$S$114</f>
        <v>185.1882319299487</v>
      </c>
      <c r="Q8" s="7">
        <f>'GS&lt;50 Detail'!$U$114</f>
        <v>179.89776460799999</v>
      </c>
      <c r="R8" s="7">
        <f t="shared" ref="R8:R16" si="6">Q8-P8</f>
        <v>-5.2904673219487108</v>
      </c>
      <c r="S8" s="253">
        <f t="shared" ref="S8:S16" si="7">R8/P8</f>
        <v>-2.8568053524858642E-2</v>
      </c>
    </row>
    <row r="9" spans="1:19" x14ac:dyDescent="0.25">
      <c r="A9" s="234">
        <f t="shared" ref="A9:A11" si="8">A8+1</f>
        <v>4</v>
      </c>
      <c r="B9" s="1" t="s">
        <v>167</v>
      </c>
      <c r="C9" s="255" t="s">
        <v>138</v>
      </c>
      <c r="D9" s="260">
        <f>'GS&lt;50 Detail'!$D$177</f>
        <v>781.63015752000001</v>
      </c>
      <c r="E9" s="7">
        <f>'GS&lt;50 Detail'!$F$177</f>
        <v>761.19716304000008</v>
      </c>
      <c r="F9" s="7">
        <f t="shared" si="0"/>
        <v>-20.432994479999934</v>
      </c>
      <c r="G9" s="253">
        <f t="shared" si="1"/>
        <v>-2.6141512431954884E-2</v>
      </c>
      <c r="H9" s="260">
        <f>'GS&lt;50 Detail'!$I$177</f>
        <v>738.65499192000004</v>
      </c>
      <c r="I9" s="7">
        <f>'GS&lt;50 Detail'!$K$177</f>
        <v>761.19716304000008</v>
      </c>
      <c r="J9" s="7">
        <f t="shared" si="2"/>
        <v>22.542171120000035</v>
      </c>
      <c r="K9" s="253">
        <f t="shared" si="3"/>
        <v>3.0517862014857219E-2</v>
      </c>
      <c r="L9" s="260">
        <f>'GS&lt;50 Detail'!$N$177</f>
        <v>764.88584237999999</v>
      </c>
      <c r="M9" s="7">
        <f>'GS&lt;50 Detail'!$P$177</f>
        <v>763.23116303999996</v>
      </c>
      <c r="N9" s="7">
        <f t="shared" si="4"/>
        <v>-1.6546793400000297</v>
      </c>
      <c r="O9" s="253">
        <f t="shared" si="5"/>
        <v>-2.1633023496047074E-3</v>
      </c>
      <c r="P9" s="113">
        <f>'GS&lt;50 Detail'!$S$177</f>
        <v>823.50891964974358</v>
      </c>
      <c r="Q9" s="7">
        <f>'GS&lt;50 Detail'!$U$177</f>
        <v>772.89266304</v>
      </c>
      <c r="R9" s="7">
        <f t="shared" si="6"/>
        <v>-50.616256609743573</v>
      </c>
      <c r="S9" s="253">
        <f t="shared" si="7"/>
        <v>-6.146412674105798E-2</v>
      </c>
    </row>
    <row r="10" spans="1:19" s="197" customFormat="1" x14ac:dyDescent="0.25">
      <c r="A10" s="234">
        <f t="shared" si="8"/>
        <v>5</v>
      </c>
      <c r="B10" s="1" t="s">
        <v>168</v>
      </c>
      <c r="C10" s="255" t="s">
        <v>138</v>
      </c>
      <c r="D10" s="260">
        <f>'GS&lt;50 Detail'!$D$240</f>
        <v>1523.70918504</v>
      </c>
      <c r="E10" s="7">
        <f>'GS&lt;50 Detail'!$F$240</f>
        <v>1490.7452860799999</v>
      </c>
      <c r="F10" s="7">
        <f t="shared" si="0"/>
        <v>-32.963898960000051</v>
      </c>
      <c r="G10" s="253">
        <f t="shared" si="1"/>
        <v>-2.1633983232262718E-2</v>
      </c>
      <c r="H10" s="260">
        <f>'GS&lt;50 Detail'!$I$240</f>
        <v>1451.4273338400003</v>
      </c>
      <c r="I10" s="7">
        <f>'GS&lt;50 Detail'!$K$240</f>
        <v>1490.7452860799999</v>
      </c>
      <c r="J10" s="7">
        <f t="shared" si="2"/>
        <v>39.317952239999613</v>
      </c>
      <c r="K10" s="253">
        <f t="shared" si="3"/>
        <v>2.708916342093215E-2</v>
      </c>
      <c r="L10" s="260">
        <f>'GS&lt;50 Detail'!$N$240</f>
        <v>1498.54978476</v>
      </c>
      <c r="M10" s="7">
        <f>'GS&lt;50 Detail'!$P$240</f>
        <v>1494.8132860799997</v>
      </c>
      <c r="N10" s="7">
        <f t="shared" si="4"/>
        <v>-3.7364986800002953</v>
      </c>
      <c r="O10" s="253">
        <f t="shared" si="5"/>
        <v>-2.4934097739026492E-3</v>
      </c>
      <c r="P10" s="113">
        <f>'GS&lt;50 Detail'!$S$240</f>
        <v>1621.4097792994874</v>
      </c>
      <c r="Q10" s="7">
        <f>'GS&lt;50 Detail'!$U$240</f>
        <v>1514.1362860799998</v>
      </c>
      <c r="R10" s="7">
        <f t="shared" si="6"/>
        <v>-107.27349321948759</v>
      </c>
      <c r="S10" s="253">
        <f t="shared" si="7"/>
        <v>-6.6160630451997118E-2</v>
      </c>
    </row>
    <row r="11" spans="1:19" s="197" customFormat="1" x14ac:dyDescent="0.25">
      <c r="A11" s="234">
        <f t="shared" si="8"/>
        <v>6</v>
      </c>
      <c r="B11" s="1" t="s">
        <v>169</v>
      </c>
      <c r="C11" s="255" t="s">
        <v>138</v>
      </c>
      <c r="D11" s="260">
        <f>'GS&lt;50 Detail'!$D$303</f>
        <v>2265.7882125600004</v>
      </c>
      <c r="E11" s="7">
        <f>'GS&lt;50 Detail'!$F$303</f>
        <v>2220.29340912</v>
      </c>
      <c r="F11" s="7">
        <f t="shared" si="0"/>
        <v>-45.494803440000396</v>
      </c>
      <c r="G11" s="253">
        <f t="shared" si="1"/>
        <v>-2.0079018501291478E-2</v>
      </c>
      <c r="H11" s="260">
        <f>'GS&lt;50 Detail'!$I$303</f>
        <v>2164.1996757600004</v>
      </c>
      <c r="I11" s="7">
        <f>'GS&lt;50 Detail'!$K$303</f>
        <v>2220.29340912</v>
      </c>
      <c r="J11" s="7">
        <f t="shared" si="2"/>
        <v>56.093733359999533</v>
      </c>
      <c r="K11" s="253">
        <f t="shared" si="3"/>
        <v>2.5918926977152021E-2</v>
      </c>
      <c r="L11" s="260">
        <f>'GS&lt;50 Detail'!$N$303</f>
        <v>2232.2137271400002</v>
      </c>
      <c r="M11" s="7">
        <f>'GS&lt;50 Detail'!$P$303</f>
        <v>2226.3954091200003</v>
      </c>
      <c r="N11" s="7">
        <f t="shared" si="4"/>
        <v>-5.8183180199998787</v>
      </c>
      <c r="O11" s="253">
        <f t="shared" si="5"/>
        <v>-2.6065237164608498E-3</v>
      </c>
      <c r="P11" s="113">
        <f>'GS&lt;50 Detail'!$S$303</f>
        <v>2419.3106389492305</v>
      </c>
      <c r="Q11" s="7">
        <f>'GS&lt;50 Detail'!$U$303</f>
        <v>2255.3799091200003</v>
      </c>
      <c r="R11" s="7">
        <f t="shared" si="6"/>
        <v>-163.93072982923013</v>
      </c>
      <c r="S11" s="253">
        <f t="shared" si="7"/>
        <v>-6.7759272906115733E-2</v>
      </c>
    </row>
    <row r="12" spans="1:19" x14ac:dyDescent="0.25">
      <c r="A12" s="262">
        <f>A11+1</f>
        <v>7</v>
      </c>
      <c r="B12" s="263" t="s">
        <v>170</v>
      </c>
      <c r="C12" s="264" t="s">
        <v>139</v>
      </c>
      <c r="D12" s="265">
        <f>'GS&lt;50 Detail'!$D$59</f>
        <v>351.63774100799998</v>
      </c>
      <c r="E12" s="266">
        <f>'GS&lt;50 Detail'!$F$59</f>
        <v>330.79068921599998</v>
      </c>
      <c r="F12" s="266">
        <f t="shared" si="0"/>
        <v>-20.847051792000002</v>
      </c>
      <c r="G12" s="267">
        <f t="shared" si="1"/>
        <v>-5.9285592417469543E-2</v>
      </c>
      <c r="H12" s="265">
        <f>'GS&lt;50 Detail'!$I$59</f>
        <v>314.80533676799996</v>
      </c>
      <c r="I12" s="266">
        <f>'GS&lt;50 Detail'!$K$59</f>
        <v>330.79068921599998</v>
      </c>
      <c r="J12" s="266">
        <f t="shared" si="2"/>
        <v>15.985352448000015</v>
      </c>
      <c r="K12" s="267">
        <f t="shared" si="3"/>
        <v>5.077853066951224E-2</v>
      </c>
      <c r="L12" s="265">
        <f>'GS&lt;50 Detail'!$N$59</f>
        <v>344.66135695199995</v>
      </c>
      <c r="M12" s="266">
        <f>'GS&lt;50 Detail'!$P$59</f>
        <v>348.486489216</v>
      </c>
      <c r="N12" s="266">
        <f t="shared" si="4"/>
        <v>3.8251322640000467</v>
      </c>
      <c r="O12" s="267">
        <f t="shared" si="5"/>
        <v>1.1098233633812224E-2</v>
      </c>
      <c r="P12" s="268">
        <f>'GS&lt;50 Detail'!$S$59</f>
        <v>353.58579385989731</v>
      </c>
      <c r="Q12" s="266">
        <f>'GS&lt;50 Detail'!$U$59</f>
        <v>341.77428921599994</v>
      </c>
      <c r="R12" s="266">
        <f t="shared" si="6"/>
        <v>-11.811504643897365</v>
      </c>
      <c r="S12" s="267">
        <f t="shared" si="7"/>
        <v>-3.3404918548785037E-2</v>
      </c>
    </row>
    <row r="13" spans="1:19" x14ac:dyDescent="0.25">
      <c r="A13" s="234">
        <f>A12+1</f>
        <v>8</v>
      </c>
      <c r="B13" s="1" t="s">
        <v>160</v>
      </c>
      <c r="C13" s="255" t="s">
        <v>139</v>
      </c>
      <c r="D13" s="260">
        <f>'GS&lt;50 Detail'!$D$122</f>
        <v>192.74683550399999</v>
      </c>
      <c r="E13" s="7">
        <f>'GS&lt;50 Detail'!$F$122</f>
        <v>181.21986460799999</v>
      </c>
      <c r="F13" s="7">
        <f t="shared" si="0"/>
        <v>-11.526970895999995</v>
      </c>
      <c r="G13" s="253">
        <f t="shared" si="1"/>
        <v>-5.9803684277663693E-2</v>
      </c>
      <c r="H13" s="260">
        <f>'GS&lt;50 Detail'!$I$122</f>
        <v>167.62351838399999</v>
      </c>
      <c r="I13" s="7">
        <f>'GS&lt;50 Detail'!$K$122</f>
        <v>181.21986460799999</v>
      </c>
      <c r="J13" s="7">
        <f t="shared" si="2"/>
        <v>13.596346224000001</v>
      </c>
      <c r="K13" s="253">
        <f t="shared" si="3"/>
        <v>8.1112402096541372E-2</v>
      </c>
      <c r="L13" s="260">
        <f>'GS&lt;50 Detail'!$N$122</f>
        <v>177.54788847599997</v>
      </c>
      <c r="M13" s="7">
        <f>'GS&lt;50 Detail'!$P$122</f>
        <v>181.626664608</v>
      </c>
      <c r="N13" s="7">
        <f t="shared" si="4"/>
        <v>4.07877613200003</v>
      </c>
      <c r="O13" s="253">
        <f t="shared" si="5"/>
        <v>2.2972822526984762E-2</v>
      </c>
      <c r="P13" s="113">
        <f>'GS&lt;50 Detail'!$S$122</f>
        <v>188.03583192994867</v>
      </c>
      <c r="Q13" s="7">
        <f>'GS&lt;50 Detail'!$U$122</f>
        <v>186.71166460799995</v>
      </c>
      <c r="R13" s="7">
        <f t="shared" si="6"/>
        <v>-1.3241673219487211</v>
      </c>
      <c r="S13" s="253">
        <f t="shared" si="7"/>
        <v>-7.0421010099927638E-3</v>
      </c>
    </row>
    <row r="14" spans="1:19" x14ac:dyDescent="0.25">
      <c r="A14" s="234">
        <f t="shared" ref="A14:A16" si="9">A13+1</f>
        <v>9</v>
      </c>
      <c r="B14" s="1" t="s">
        <v>167</v>
      </c>
      <c r="C14" s="255" t="s">
        <v>139</v>
      </c>
      <c r="D14" s="260">
        <f>'GS&lt;50 Detail'!$D$185</f>
        <v>805.52965752</v>
      </c>
      <c r="E14" s="7">
        <f>'GS&lt;50 Detail'!$F$185</f>
        <v>779.50316303999989</v>
      </c>
      <c r="F14" s="7">
        <f t="shared" si="0"/>
        <v>-26.02649448000011</v>
      </c>
      <c r="G14" s="253">
        <f t="shared" si="1"/>
        <v>-3.2309790504955943E-2</v>
      </c>
      <c r="H14" s="260">
        <f>'GS&lt;50 Detail'!$I$185</f>
        <v>734.58699192000006</v>
      </c>
      <c r="I14" s="7">
        <f>'GS&lt;50 Detail'!$K$185</f>
        <v>779.50316303999989</v>
      </c>
      <c r="J14" s="7">
        <f t="shared" si="2"/>
        <v>44.916171119999831</v>
      </c>
      <c r="K14" s="253">
        <f t="shared" si="3"/>
        <v>6.1144795121680307E-2</v>
      </c>
      <c r="L14" s="260">
        <f>'GS&lt;50 Detail'!$N$185</f>
        <v>762.85184237999999</v>
      </c>
      <c r="M14" s="7">
        <f>'GS&lt;50 Detail'!$P$185</f>
        <v>781.53716304</v>
      </c>
      <c r="N14" s="7">
        <f t="shared" si="4"/>
        <v>18.685320660000002</v>
      </c>
      <c r="O14" s="253">
        <f t="shared" si="5"/>
        <v>2.4494036222950183E-2</v>
      </c>
      <c r="P14" s="113">
        <f>'GS&lt;50 Detail'!$S$185</f>
        <v>837.74691964974363</v>
      </c>
      <c r="Q14" s="7">
        <f>'GS&lt;50 Detail'!$U$185</f>
        <v>806.96216303999995</v>
      </c>
      <c r="R14" s="7">
        <f t="shared" si="6"/>
        <v>-30.784756609743681</v>
      </c>
      <c r="S14" s="253">
        <f t="shared" si="7"/>
        <v>-3.6747084218005342E-2</v>
      </c>
    </row>
    <row r="15" spans="1:19" x14ac:dyDescent="0.25">
      <c r="A15" s="234">
        <f t="shared" si="9"/>
        <v>10</v>
      </c>
      <c r="B15" s="1" t="s">
        <v>168</v>
      </c>
      <c r="C15" s="255" t="s">
        <v>139</v>
      </c>
      <c r="D15" s="260">
        <f>'GS&lt;50 Detail'!$D$248</f>
        <v>1571.5081850399999</v>
      </c>
      <c r="E15" s="7">
        <f>'GS&lt;50 Detail'!$F$248</f>
        <v>1527.35728608</v>
      </c>
      <c r="F15" s="7">
        <f t="shared" si="0"/>
        <v>-44.15089895999995</v>
      </c>
      <c r="G15" s="253">
        <f t="shared" si="1"/>
        <v>-2.8094603248201452E-2</v>
      </c>
      <c r="H15" s="260">
        <f>'GS&lt;50 Detail'!$I$248</f>
        <v>1443.2913338400001</v>
      </c>
      <c r="I15" s="7">
        <f>'GS&lt;50 Detail'!$K$248</f>
        <v>1527.35728608</v>
      </c>
      <c r="J15" s="7">
        <f t="shared" si="2"/>
        <v>84.065952239999888</v>
      </c>
      <c r="K15" s="253">
        <f t="shared" si="3"/>
        <v>5.8246003609219513E-2</v>
      </c>
      <c r="L15" s="260">
        <f>'GS&lt;50 Detail'!$N$248</f>
        <v>1494.48178476</v>
      </c>
      <c r="M15" s="7">
        <f>'GS&lt;50 Detail'!$P$248</f>
        <v>1531.4252860799998</v>
      </c>
      <c r="N15" s="7">
        <f t="shared" si="4"/>
        <v>36.943501319999768</v>
      </c>
      <c r="O15" s="253">
        <f t="shared" si="5"/>
        <v>2.4719940849551775E-2</v>
      </c>
      <c r="P15" s="113">
        <f>'GS&lt;50 Detail'!$S$248</f>
        <v>1649.8857792994872</v>
      </c>
      <c r="Q15" s="7">
        <f>'GS&lt;50 Detail'!$U$248</f>
        <v>1582.2752860799999</v>
      </c>
      <c r="R15" s="7">
        <f t="shared" si="6"/>
        <v>-67.610493219487353</v>
      </c>
      <c r="S15" s="253">
        <f t="shared" si="7"/>
        <v>-4.0978893246897123E-2</v>
      </c>
    </row>
    <row r="16" spans="1:19" x14ac:dyDescent="0.25">
      <c r="A16" s="236">
        <f t="shared" si="9"/>
        <v>11</v>
      </c>
      <c r="B16" s="217" t="s">
        <v>169</v>
      </c>
      <c r="C16" s="256" t="s">
        <v>139</v>
      </c>
      <c r="D16" s="261">
        <f>'GS&lt;50 Detail'!$D$311</f>
        <v>2337.4867125600003</v>
      </c>
      <c r="E16" s="219">
        <f>'GS&lt;50 Detail'!$F$311</f>
        <v>2275.2114091200001</v>
      </c>
      <c r="F16" s="219">
        <f t="shared" si="0"/>
        <v>-62.275303440000243</v>
      </c>
      <c r="G16" s="231">
        <f t="shared" si="1"/>
        <v>-2.6641992489359109E-2</v>
      </c>
      <c r="H16" s="261">
        <f>'GS&lt;50 Detail'!$I$311</f>
        <v>2151.9956757600003</v>
      </c>
      <c r="I16" s="219">
        <f>'GS&lt;50 Detail'!$K$311</f>
        <v>2275.2114091200001</v>
      </c>
      <c r="J16" s="219">
        <f t="shared" si="2"/>
        <v>123.21573335999983</v>
      </c>
      <c r="K16" s="231">
        <f t="shared" si="3"/>
        <v>5.7256496724364878E-2</v>
      </c>
      <c r="L16" s="261">
        <f>'GS&lt;50 Detail'!$N$311</f>
        <v>2226.1117271399999</v>
      </c>
      <c r="M16" s="219">
        <f>'GS&lt;50 Detail'!$P$311</f>
        <v>2281.31340912</v>
      </c>
      <c r="N16" s="219">
        <f t="shared" si="4"/>
        <v>55.201681980000103</v>
      </c>
      <c r="O16" s="231">
        <f t="shared" si="5"/>
        <v>2.4797354646220088E-2</v>
      </c>
      <c r="P16" s="258">
        <f>'GS&lt;50 Detail'!$S$311</f>
        <v>2462.0246389492304</v>
      </c>
      <c r="Q16" s="219">
        <f>'GS&lt;50 Detail'!$U$311</f>
        <v>2357.5884091200001</v>
      </c>
      <c r="R16" s="219">
        <f t="shared" si="6"/>
        <v>-104.43622982923034</v>
      </c>
      <c r="S16" s="231">
        <f t="shared" si="7"/>
        <v>-4.2418840241096357E-2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8"/>
  <sheetViews>
    <sheetView zoomScale="110" zoomScaleNormal="110" workbookViewId="0">
      <pane xSplit="2" ySplit="6" topLeftCell="C10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165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1" t="s">
        <v>111</v>
      </c>
      <c r="B5" s="333" t="s">
        <v>0</v>
      </c>
      <c r="C5" s="329" t="s">
        <v>115</v>
      </c>
      <c r="D5" s="330"/>
      <c r="E5" s="327" t="s">
        <v>116</v>
      </c>
      <c r="F5" s="327"/>
      <c r="G5" s="328"/>
      <c r="H5" s="329" t="s">
        <v>117</v>
      </c>
      <c r="I5" s="330"/>
      <c r="J5" s="327" t="s">
        <v>116</v>
      </c>
      <c r="K5" s="327"/>
      <c r="L5" s="328"/>
      <c r="M5" s="329" t="s">
        <v>124</v>
      </c>
      <c r="N5" s="330"/>
      <c r="O5" s="327" t="s">
        <v>116</v>
      </c>
      <c r="P5" s="327"/>
      <c r="Q5" s="328"/>
      <c r="R5" s="329" t="s">
        <v>123</v>
      </c>
      <c r="S5" s="330"/>
      <c r="T5" s="327" t="s">
        <v>116</v>
      </c>
      <c r="U5" s="327"/>
      <c r="V5" s="328"/>
    </row>
    <row r="6" spans="1:22" x14ac:dyDescent="0.25">
      <c r="A6" s="332"/>
      <c r="B6" s="334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103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103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103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103</v>
      </c>
    </row>
    <row r="7" spans="1:22" x14ac:dyDescent="0.25">
      <c r="A7" s="139">
        <v>1</v>
      </c>
      <c r="B7" s="85" t="s">
        <v>91</v>
      </c>
      <c r="C7" s="86"/>
      <c r="D7" s="252">
        <v>2000</v>
      </c>
      <c r="E7" s="106"/>
      <c r="F7" s="1">
        <f>D7</f>
        <v>2000</v>
      </c>
      <c r="G7" s="85"/>
      <c r="H7" s="86"/>
      <c r="I7" s="40">
        <f>D7</f>
        <v>2000</v>
      </c>
      <c r="J7" s="106"/>
      <c r="K7" s="1">
        <f>I7</f>
        <v>2000</v>
      </c>
      <c r="L7" s="85"/>
      <c r="M7" s="86"/>
      <c r="N7" s="40">
        <f>D7</f>
        <v>2000</v>
      </c>
      <c r="O7" s="106"/>
      <c r="P7" s="1">
        <f>N7</f>
        <v>2000</v>
      </c>
      <c r="Q7" s="85"/>
      <c r="R7" s="86"/>
      <c r="S7" s="40">
        <f>D7</f>
        <v>2000</v>
      </c>
      <c r="T7" s="106"/>
      <c r="U7" s="1">
        <f>S7</f>
        <v>2000</v>
      </c>
      <c r="V7" s="85"/>
    </row>
    <row r="8" spans="1:22" x14ac:dyDescent="0.25">
      <c r="A8" s="139">
        <f>A7+1</f>
        <v>2</v>
      </c>
      <c r="B8" s="85" t="s">
        <v>92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93</v>
      </c>
      <c r="C10" s="86"/>
      <c r="D10" s="40">
        <f>D7*D9</f>
        <v>2085.6</v>
      </c>
      <c r="E10" s="106"/>
      <c r="F10" s="1">
        <f>F7*F9</f>
        <v>2086.1999999999998</v>
      </c>
      <c r="G10" s="85"/>
      <c r="H10" s="86"/>
      <c r="I10" s="40">
        <f>I7*I9</f>
        <v>2121.6</v>
      </c>
      <c r="J10" s="106"/>
      <c r="K10" s="1">
        <f>K7*K9</f>
        <v>2086.1999999999998</v>
      </c>
      <c r="L10" s="85"/>
      <c r="M10" s="86"/>
      <c r="N10" s="40">
        <f>N7*N9</f>
        <v>2132.4</v>
      </c>
      <c r="O10" s="106"/>
      <c r="P10" s="1">
        <f>P7*P9</f>
        <v>2086.1999999999998</v>
      </c>
      <c r="Q10" s="85"/>
      <c r="R10" s="86"/>
      <c r="S10" s="40">
        <f>S7*S9</f>
        <v>2116</v>
      </c>
      <c r="T10" s="106"/>
      <c r="U10" s="1">
        <f>U7*U9</f>
        <v>2086.1999999999998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102.4</v>
      </c>
      <c r="E12" s="108">
        <f>'General Input'!$B$11</f>
        <v>0.08</v>
      </c>
      <c r="F12" s="7">
        <f>F$7*E12*TOU_OFF</f>
        <v>102.4</v>
      </c>
      <c r="G12" s="85"/>
      <c r="H12" s="84">
        <f>'General Input'!$B$11</f>
        <v>0.08</v>
      </c>
      <c r="I12" s="42">
        <f>I$7*H12*TOU_OFF</f>
        <v>102.4</v>
      </c>
      <c r="J12" s="108">
        <f>'General Input'!$B$11</f>
        <v>0.08</v>
      </c>
      <c r="K12" s="7">
        <f>K$7*J12*TOU_OFF</f>
        <v>102.4</v>
      </c>
      <c r="L12" s="85"/>
      <c r="M12" s="84">
        <f>'General Input'!$B$11</f>
        <v>0.08</v>
      </c>
      <c r="N12" s="42">
        <f>N$7*M12*TOU_OFF</f>
        <v>102.4</v>
      </c>
      <c r="O12" s="108">
        <f>'General Input'!$B$11</f>
        <v>0.08</v>
      </c>
      <c r="P12" s="7">
        <f>P$7*O12*TOU_OFF</f>
        <v>102.4</v>
      </c>
      <c r="Q12" s="85"/>
      <c r="R12" s="84">
        <f>'General Input'!$B$11</f>
        <v>0.08</v>
      </c>
      <c r="S12" s="42">
        <f>S$7*R12*TOU_OFF</f>
        <v>102.4</v>
      </c>
      <c r="T12" s="108">
        <f>'General Input'!$B$11</f>
        <v>0.08</v>
      </c>
      <c r="U12" s="7">
        <f>U$7*T12*TOU_OFF</f>
        <v>102.4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43.92</v>
      </c>
      <c r="E13" s="108">
        <f>'General Input'!$B$12</f>
        <v>0.122</v>
      </c>
      <c r="F13" s="7">
        <f>F$7*E13*TOU_MID</f>
        <v>43.92</v>
      </c>
      <c r="G13" s="85"/>
      <c r="H13" s="84">
        <f>'General Input'!$B$12</f>
        <v>0.122</v>
      </c>
      <c r="I13" s="42">
        <f>I$7*H13*TOU_MID</f>
        <v>43.92</v>
      </c>
      <c r="J13" s="108">
        <f>'General Input'!$B$12</f>
        <v>0.122</v>
      </c>
      <c r="K13" s="7">
        <f>K$7*J13*TOU_MID</f>
        <v>43.92</v>
      </c>
      <c r="L13" s="85"/>
      <c r="M13" s="84">
        <f>'General Input'!$B$12</f>
        <v>0.122</v>
      </c>
      <c r="N13" s="42">
        <f>N$7*M13*TOU_MID</f>
        <v>43.92</v>
      </c>
      <c r="O13" s="108">
        <f>'General Input'!$B$12</f>
        <v>0.122</v>
      </c>
      <c r="P13" s="7">
        <f>P$7*O13*TOU_MID</f>
        <v>43.92</v>
      </c>
      <c r="Q13" s="85"/>
      <c r="R13" s="84">
        <f>'General Input'!$B$12</f>
        <v>0.122</v>
      </c>
      <c r="S13" s="42">
        <f>S$7*R13*TOU_MID</f>
        <v>43.92</v>
      </c>
      <c r="T13" s="108">
        <f>'General Input'!$B$12</f>
        <v>0.122</v>
      </c>
      <c r="U13" s="7">
        <f>U$7*T13*TOU_MID</f>
        <v>43.92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57.96</v>
      </c>
      <c r="E14" s="109">
        <f>'General Input'!$B$13</f>
        <v>0.161</v>
      </c>
      <c r="F14" s="70">
        <f>F$7*E14*TOU_ON</f>
        <v>57.96</v>
      </c>
      <c r="G14" s="125"/>
      <c r="H14" s="124">
        <f>'General Input'!$B$13</f>
        <v>0.161</v>
      </c>
      <c r="I14" s="69">
        <f>I$7*H14*TOU_ON</f>
        <v>57.96</v>
      </c>
      <c r="J14" s="109">
        <f>'General Input'!$B$13</f>
        <v>0.161</v>
      </c>
      <c r="K14" s="70">
        <f>K$7*J14*TOU_ON</f>
        <v>57.96</v>
      </c>
      <c r="L14" s="125"/>
      <c r="M14" s="124">
        <f>'General Input'!$B$13</f>
        <v>0.161</v>
      </c>
      <c r="N14" s="69">
        <f>N$7*M14*TOU_ON</f>
        <v>57.96</v>
      </c>
      <c r="O14" s="109">
        <f>'General Input'!$B$13</f>
        <v>0.161</v>
      </c>
      <c r="P14" s="70">
        <f>P$7*O14*TOU_ON</f>
        <v>57.96</v>
      </c>
      <c r="Q14" s="125"/>
      <c r="R14" s="124">
        <f>'General Input'!$B$13</f>
        <v>0.161</v>
      </c>
      <c r="S14" s="69">
        <f>S$7*R14*TOU_ON</f>
        <v>57.96</v>
      </c>
      <c r="T14" s="109">
        <f>'General Input'!$B$13</f>
        <v>0.161</v>
      </c>
      <c r="U14" s="70">
        <f>U$7*T14*TOU_ON</f>
        <v>57.96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204.28</v>
      </c>
      <c r="E15" s="110"/>
      <c r="F15" s="95">
        <f>SUM(F12:F14)</f>
        <v>204.28</v>
      </c>
      <c r="G15" s="127">
        <f>D15-F15</f>
        <v>0</v>
      </c>
      <c r="H15" s="126"/>
      <c r="I15" s="96">
        <f>SUM(I12:I14)</f>
        <v>204.28</v>
      </c>
      <c r="J15" s="110"/>
      <c r="K15" s="95">
        <f>SUM(K12:K14)</f>
        <v>204.28</v>
      </c>
      <c r="L15" s="127">
        <f>I15-K15</f>
        <v>0</v>
      </c>
      <c r="M15" s="126"/>
      <c r="N15" s="96">
        <f>SUM(N12:N14)</f>
        <v>204.28</v>
      </c>
      <c r="O15" s="110"/>
      <c r="P15" s="95">
        <f>SUM(P12:P14)</f>
        <v>204.28</v>
      </c>
      <c r="Q15" s="127">
        <f>N15-P15</f>
        <v>0</v>
      </c>
      <c r="R15" s="126"/>
      <c r="S15" s="96">
        <f>SUM(S12:S14)</f>
        <v>204.28</v>
      </c>
      <c r="T15" s="110"/>
      <c r="U15" s="95">
        <f>SUM(U12:U14)</f>
        <v>204.28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118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Approved'!$C$4</f>
        <v>34.840000000000003</v>
      </c>
      <c r="D18" s="42">
        <f>C18</f>
        <v>34.840000000000003</v>
      </c>
      <c r="E18" s="113">
        <f>'2016 Proposed'!$C$3</f>
        <v>30.08</v>
      </c>
      <c r="F18" s="7">
        <f>E18</f>
        <v>30.08</v>
      </c>
      <c r="G18" s="85"/>
      <c r="H18" s="55">
        <f>'2015 Approved'!$N$4</f>
        <v>19.059999999999999</v>
      </c>
      <c r="I18" s="42">
        <f>H18</f>
        <v>19.059999999999999</v>
      </c>
      <c r="J18" s="113">
        <f>'2016 Proposed'!$C$3</f>
        <v>30.08</v>
      </c>
      <c r="K18" s="7">
        <f>J18</f>
        <v>30.08</v>
      </c>
      <c r="L18" s="85"/>
      <c r="M18" s="55">
        <f>'2015 Approved'!$U$4</f>
        <v>27.45</v>
      </c>
      <c r="N18" s="42">
        <f>M18</f>
        <v>27.45</v>
      </c>
      <c r="O18" s="113">
        <f>'2016 Proposed'!$C$3</f>
        <v>30.08</v>
      </c>
      <c r="P18" s="7">
        <f>O18</f>
        <v>30.08</v>
      </c>
      <c r="Q18" s="85"/>
      <c r="R18" s="55">
        <f>'2015 Approved'!$Y$4</f>
        <v>22.91</v>
      </c>
      <c r="S18" s="42">
        <f>R18</f>
        <v>22.91</v>
      </c>
      <c r="T18" s="113">
        <f>'2016 Proposed'!$C$3</f>
        <v>30.08</v>
      </c>
      <c r="U18" s="7">
        <f>T18</f>
        <v>30.08</v>
      </c>
      <c r="V18" s="85"/>
    </row>
    <row r="19" spans="1:22" x14ac:dyDescent="0.25">
      <c r="A19" s="139">
        <f t="shared" si="0"/>
        <v>13</v>
      </c>
      <c r="B19" s="85" t="s">
        <v>86</v>
      </c>
      <c r="C19" s="55">
        <f>'2015 Approved'!$C$5</f>
        <v>3.01</v>
      </c>
      <c r="D19" s="42">
        <f t="shared" ref="D19:D22" si="1">C19</f>
        <v>3.01</v>
      </c>
      <c r="E19" s="113">
        <f>'2016 Proposed'!$C$5</f>
        <v>0</v>
      </c>
      <c r="F19" s="7">
        <f t="shared" ref="F19:F22" si="2">E19</f>
        <v>0</v>
      </c>
      <c r="G19" s="85"/>
      <c r="H19" s="55">
        <f>'2015 Approved'!$N$5</f>
        <v>1.23</v>
      </c>
      <c r="I19" s="42">
        <f t="shared" ref="I19:I22" si="3">H19</f>
        <v>1.23</v>
      </c>
      <c r="J19" s="113">
        <f>'2016 Proposed'!$C$5</f>
        <v>0</v>
      </c>
      <c r="K19" s="7">
        <f t="shared" ref="K19:K22" si="4">J19</f>
        <v>0</v>
      </c>
      <c r="L19" s="85"/>
      <c r="M19" s="55">
        <f>'2015 Approved'!$U$5</f>
        <v>2.21</v>
      </c>
      <c r="N19" s="42">
        <f t="shared" ref="N19:N22" si="5">M19</f>
        <v>2.21</v>
      </c>
      <c r="O19" s="113">
        <f>'2016 Proposed'!$C$5</f>
        <v>0</v>
      </c>
      <c r="P19" s="7">
        <f t="shared" ref="P19:P22" si="6">O19</f>
        <v>0</v>
      </c>
      <c r="Q19" s="85"/>
      <c r="R19" s="55">
        <f>'2015 Approved'!$Y$5</f>
        <v>1.23</v>
      </c>
      <c r="S19" s="42">
        <f t="shared" ref="S19:S22" si="7">R19</f>
        <v>1.23</v>
      </c>
      <c r="T19" s="113">
        <f>'2016 Proposed'!$C$5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86</v>
      </c>
      <c r="C20" s="55">
        <f>'2015 Approved'!$C$6</f>
        <v>0</v>
      </c>
      <c r="D20" s="42">
        <f t="shared" si="1"/>
        <v>0</v>
      </c>
      <c r="E20" s="113">
        <f>'2016 Proposed'!$C$6</f>
        <v>0</v>
      </c>
      <c r="F20" s="7">
        <f t="shared" si="2"/>
        <v>0</v>
      </c>
      <c r="G20" s="85"/>
      <c r="H20" s="55">
        <f>'2015 Approved'!$N$6</f>
        <v>4.12</v>
      </c>
      <c r="I20" s="42">
        <f t="shared" si="3"/>
        <v>4.12</v>
      </c>
      <c r="J20" s="113">
        <f>'2016 Proposed'!$C$6</f>
        <v>0</v>
      </c>
      <c r="K20" s="7">
        <f t="shared" si="4"/>
        <v>0</v>
      </c>
      <c r="L20" s="85"/>
      <c r="M20" s="55">
        <f>'2015 Approved'!$U$6</f>
        <v>0</v>
      </c>
      <c r="N20" s="42">
        <f t="shared" si="5"/>
        <v>0</v>
      </c>
      <c r="O20" s="113">
        <f>'2016 Proposed'!$C$6</f>
        <v>0</v>
      </c>
      <c r="P20" s="7">
        <f t="shared" si="6"/>
        <v>0</v>
      </c>
      <c r="Q20" s="85"/>
      <c r="R20" s="55">
        <f>'2015 Approved'!$Y$6</f>
        <v>0</v>
      </c>
      <c r="S20" s="42">
        <f t="shared" si="7"/>
        <v>0</v>
      </c>
      <c r="T20" s="113">
        <f>'2016 Proposed'!$C$6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Approved'!$C$7</f>
        <v>5.6</v>
      </c>
      <c r="D21" s="42">
        <f t="shared" si="1"/>
        <v>5.6</v>
      </c>
      <c r="E21" s="113">
        <f>'2016 Proposed'!$C$7</f>
        <v>0</v>
      </c>
      <c r="F21" s="7">
        <f t="shared" si="2"/>
        <v>0</v>
      </c>
      <c r="G21" s="85"/>
      <c r="H21" s="55">
        <f>'2015 Approved'!$N$7</f>
        <v>5.35</v>
      </c>
      <c r="I21" s="42">
        <f t="shared" si="3"/>
        <v>5.35</v>
      </c>
      <c r="J21" s="113">
        <f>'2016 Proposed'!$C$7</f>
        <v>0</v>
      </c>
      <c r="K21" s="7">
        <f t="shared" si="4"/>
        <v>0</v>
      </c>
      <c r="L21" s="85"/>
      <c r="M21" s="55">
        <f>'2015 Approved'!$U$7</f>
        <v>3.84</v>
      </c>
      <c r="N21" s="42">
        <f t="shared" si="5"/>
        <v>3.84</v>
      </c>
      <c r="O21" s="113">
        <f>'2016 Proposed'!$C$7</f>
        <v>0</v>
      </c>
      <c r="P21" s="7">
        <f t="shared" si="6"/>
        <v>0</v>
      </c>
      <c r="Q21" s="85"/>
      <c r="R21" s="55">
        <f>'2015 Approved'!$Y$7</f>
        <v>3.07</v>
      </c>
      <c r="S21" s="42">
        <f t="shared" si="7"/>
        <v>3.07</v>
      </c>
      <c r="T21" s="113">
        <f>'2016 Proposed'!$C$7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95</v>
      </c>
      <c r="C22" s="55">
        <f>'2015 Approved'!$C$8</f>
        <v>0.79</v>
      </c>
      <c r="D22" s="42">
        <f t="shared" si="1"/>
        <v>0.79</v>
      </c>
      <c r="E22" s="113">
        <f>'2016 Proposed'!$C$8</f>
        <v>0.79</v>
      </c>
      <c r="F22" s="7">
        <f t="shared" si="2"/>
        <v>0.79</v>
      </c>
      <c r="G22" s="85"/>
      <c r="H22" s="55">
        <f>'2015 Approved'!$N$8</f>
        <v>0.79</v>
      </c>
      <c r="I22" s="42">
        <f t="shared" si="3"/>
        <v>0.79</v>
      </c>
      <c r="J22" s="113">
        <f>'2016 Proposed'!$C$8</f>
        <v>0.79</v>
      </c>
      <c r="K22" s="7">
        <f t="shared" si="4"/>
        <v>0.79</v>
      </c>
      <c r="L22" s="85"/>
      <c r="M22" s="55">
        <f>'2015 Approved'!$U$8</f>
        <v>0.79</v>
      </c>
      <c r="N22" s="42">
        <f t="shared" si="5"/>
        <v>0.79</v>
      </c>
      <c r="O22" s="113">
        <f>'2016 Proposed'!$C$8</f>
        <v>0.79</v>
      </c>
      <c r="P22" s="7">
        <f t="shared" si="6"/>
        <v>0.79</v>
      </c>
      <c r="Q22" s="85"/>
      <c r="R22" s="55">
        <f>'2015 Approved'!$Y$8</f>
        <v>0.79</v>
      </c>
      <c r="S22" s="42">
        <f t="shared" si="7"/>
        <v>0.79</v>
      </c>
      <c r="T22" s="113">
        <f>'2016 Proposed'!$C$8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8.7431839999999905</v>
      </c>
      <c r="E23" s="114">
        <f>F15/$F$7</f>
        <v>0.10213999999999999</v>
      </c>
      <c r="F23" s="7">
        <f>(F10-F7)*E23</f>
        <v>8.8044679999999804</v>
      </c>
      <c r="G23" s="85"/>
      <c r="H23" s="59">
        <f>I15/I7</f>
        <v>0.10213999999999999</v>
      </c>
      <c r="I23" s="42">
        <f>(I10-I7)*H23</f>
        <v>12.42022399999999</v>
      </c>
      <c r="J23" s="114">
        <f>K15/$F$7</f>
        <v>0.10213999999999999</v>
      </c>
      <c r="K23" s="7">
        <f>(K10-K7)*J23</f>
        <v>8.8044679999999804</v>
      </c>
      <c r="L23" s="85"/>
      <c r="M23" s="59">
        <f>N15/N7</f>
        <v>0.10213999999999999</v>
      </c>
      <c r="N23" s="42">
        <f>(N10-N7)*M23</f>
        <v>13.523336000000009</v>
      </c>
      <c r="O23" s="114">
        <f>P15/$F$7</f>
        <v>0.10213999999999999</v>
      </c>
      <c r="P23" s="7">
        <f>(P10-P7)*O23</f>
        <v>8.8044679999999804</v>
      </c>
      <c r="Q23" s="85"/>
      <c r="R23" s="59">
        <f>S15/S7</f>
        <v>0.10213999999999999</v>
      </c>
      <c r="S23" s="42">
        <f>(S10-S7)*R23</f>
        <v>11.848239999999999</v>
      </c>
      <c r="T23" s="114">
        <f>U15/$F$7</f>
        <v>0.10213999999999999</v>
      </c>
      <c r="U23" s="7">
        <f>(U10-U7)*T23</f>
        <v>8.8044679999999804</v>
      </c>
      <c r="V23" s="85"/>
    </row>
    <row r="24" spans="1:22" x14ac:dyDescent="0.25">
      <c r="A24" s="139">
        <f t="shared" si="0"/>
        <v>18</v>
      </c>
      <c r="B24" s="85" t="s">
        <v>90</v>
      </c>
      <c r="C24" s="59">
        <f>'2015 Approved'!$C$11</f>
        <v>1.18E-2</v>
      </c>
      <c r="D24" s="42">
        <f>C24*D$7</f>
        <v>23.599999999999998</v>
      </c>
      <c r="E24" s="114">
        <f>'2016 Proposed'!$C$11</f>
        <v>0.01</v>
      </c>
      <c r="F24" s="7">
        <f>E24*F$7</f>
        <v>20</v>
      </c>
      <c r="G24" s="85"/>
      <c r="H24" s="59">
        <f>'2015 Approved'!$N$11</f>
        <v>5.1000000000000004E-3</v>
      </c>
      <c r="I24" s="42">
        <f>H24*I$7</f>
        <v>10.200000000000001</v>
      </c>
      <c r="J24" s="114">
        <f>'2016 Proposed'!$C$11</f>
        <v>0.01</v>
      </c>
      <c r="K24" s="7">
        <f>J24*K$7</f>
        <v>20</v>
      </c>
      <c r="L24" s="85"/>
      <c r="M24" s="59">
        <f>'2015 Approved'!$U$11</f>
        <v>6.1000000000000004E-3</v>
      </c>
      <c r="N24" s="42">
        <f>M24*N$7</f>
        <v>12.200000000000001</v>
      </c>
      <c r="O24" s="114">
        <f>'2016 Proposed'!$C$11</f>
        <v>0.01</v>
      </c>
      <c r="P24" s="7">
        <f>O24*P$7</f>
        <v>20</v>
      </c>
      <c r="Q24" s="85"/>
      <c r="R24" s="59">
        <f>'2015 Approved'!$Y$11</f>
        <v>1.14E-2</v>
      </c>
      <c r="S24" s="42">
        <f>R24*S$7</f>
        <v>22.8</v>
      </c>
      <c r="T24" s="114">
        <f>'2016 Proposed'!$C$11</f>
        <v>0.01</v>
      </c>
      <c r="U24" s="7">
        <f>T24*U$7</f>
        <v>20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Approved'!$C$12</f>
        <v>2.9999999999999997E-4</v>
      </c>
      <c r="D25" s="42">
        <f t="shared" ref="D25:D33" si="9">C25*D$7</f>
        <v>0.6</v>
      </c>
      <c r="E25" s="114">
        <f>'2016 Proposed'!$C$13</f>
        <v>1.6000000000000001E-3</v>
      </c>
      <c r="F25" s="7">
        <f t="shared" ref="F25:F33" si="10">E25*F$7</f>
        <v>3.2</v>
      </c>
      <c r="G25" s="85"/>
      <c r="H25" s="59">
        <f>'2015 Approved'!$N$12</f>
        <v>2.0000000000000001E-4</v>
      </c>
      <c r="I25" s="42">
        <f t="shared" ref="I25:I33" si="11">H25*I$7</f>
        <v>0.4</v>
      </c>
      <c r="J25" s="114">
        <f>'2016 Proposed'!$C$13</f>
        <v>1.6000000000000001E-3</v>
      </c>
      <c r="K25" s="7">
        <f t="shared" ref="K25:K33" si="12">J25*K$7</f>
        <v>3.2</v>
      </c>
      <c r="L25" s="85"/>
      <c r="M25" s="59">
        <f>'2015 Approved'!$U$12</f>
        <v>1.2999999999999999E-3</v>
      </c>
      <c r="N25" s="42">
        <f t="shared" ref="N25:N33" si="13">M25*N$7</f>
        <v>2.6</v>
      </c>
      <c r="O25" s="114">
        <f>'2016 Proposed'!$C$13</f>
        <v>1.6000000000000001E-3</v>
      </c>
      <c r="P25" s="7">
        <f t="shared" ref="P25:P33" si="14">O25*P$7</f>
        <v>3.2</v>
      </c>
      <c r="Q25" s="85"/>
      <c r="R25" s="59">
        <f>'2015 Approved'!$Y$12</f>
        <v>5.5999999999999999E-3</v>
      </c>
      <c r="S25" s="42">
        <f t="shared" ref="S25:S33" si="15">R25*S$7</f>
        <v>11.2</v>
      </c>
      <c r="T25" s="114">
        <f>'2016 Proposed'!$C$13</f>
        <v>1.6000000000000001E-3</v>
      </c>
      <c r="U25" s="7">
        <f t="shared" ref="U25:U33" si="16">T25*U$7</f>
        <v>3.2</v>
      </c>
      <c r="V25" s="85"/>
    </row>
    <row r="26" spans="1:22" x14ac:dyDescent="0.25">
      <c r="A26" s="139">
        <f t="shared" si="0"/>
        <v>20</v>
      </c>
      <c r="B26" s="85" t="s">
        <v>87</v>
      </c>
      <c r="C26" s="59">
        <f>'2015 Approved'!$C$13</f>
        <v>0</v>
      </c>
      <c r="D26" s="42">
        <f t="shared" si="9"/>
        <v>0</v>
      </c>
      <c r="E26" s="114">
        <f>'2016 Proposed'!$C$14</f>
        <v>0</v>
      </c>
      <c r="F26" s="7">
        <f t="shared" si="10"/>
        <v>0</v>
      </c>
      <c r="G26" s="85"/>
      <c r="H26" s="59">
        <f>'2015 Approved'!$N$13</f>
        <v>2.0000000000000001E-4</v>
      </c>
      <c r="I26" s="42">
        <f t="shared" si="11"/>
        <v>0.4</v>
      </c>
      <c r="J26" s="114">
        <f>'2016 Proposed'!$C$14</f>
        <v>0</v>
      </c>
      <c r="K26" s="7">
        <f t="shared" si="12"/>
        <v>0</v>
      </c>
      <c r="L26" s="85"/>
      <c r="M26" s="59">
        <f>'2015 Approved'!$U$13</f>
        <v>0</v>
      </c>
      <c r="N26" s="42">
        <f t="shared" si="13"/>
        <v>0</v>
      </c>
      <c r="O26" s="114">
        <f>'2016 Proposed'!$C$14</f>
        <v>0</v>
      </c>
      <c r="P26" s="7">
        <f t="shared" si="14"/>
        <v>0</v>
      </c>
      <c r="Q26" s="85"/>
      <c r="R26" s="59">
        <f>'2015 Approved'!$Y$13</f>
        <v>0</v>
      </c>
      <c r="S26" s="42">
        <f t="shared" si="15"/>
        <v>0</v>
      </c>
      <c r="T26" s="114">
        <f>'2016 Proposed'!$C$14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Approved'!$C$14</f>
        <v>5.9999999999999995E-4</v>
      </c>
      <c r="D27" s="42">
        <f t="shared" si="9"/>
        <v>1.2</v>
      </c>
      <c r="E27" s="114">
        <f>'2016 Proposed'!$C$15</f>
        <v>6.9999999999999999E-4</v>
      </c>
      <c r="F27" s="7">
        <f t="shared" si="10"/>
        <v>1.4</v>
      </c>
      <c r="G27" s="85"/>
      <c r="H27" s="59">
        <f>'2015 Approved'!$N$14</f>
        <v>2.0000000000000001E-4</v>
      </c>
      <c r="I27" s="42">
        <f t="shared" si="11"/>
        <v>0.4</v>
      </c>
      <c r="J27" s="114">
        <f>'2016 Proposed'!$C$15</f>
        <v>6.9999999999999999E-4</v>
      </c>
      <c r="K27" s="7">
        <f t="shared" si="12"/>
        <v>1.4</v>
      </c>
      <c r="L27" s="85"/>
      <c r="M27" s="59">
        <f>'2015 Approved'!$U$14</f>
        <v>0</v>
      </c>
      <c r="N27" s="42">
        <f t="shared" si="13"/>
        <v>0</v>
      </c>
      <c r="O27" s="114">
        <f>'2016 Proposed'!$C$15</f>
        <v>6.9999999999999999E-4</v>
      </c>
      <c r="P27" s="7">
        <f t="shared" si="14"/>
        <v>1.4</v>
      </c>
      <c r="Q27" s="85"/>
      <c r="R27" s="59">
        <f>'2015 Approved'!$Y$14</f>
        <v>0</v>
      </c>
      <c r="S27" s="42">
        <f t="shared" si="15"/>
        <v>0</v>
      </c>
      <c r="T27" s="114">
        <f>'2016 Proposed'!$C$15</f>
        <v>6.9999999999999999E-4</v>
      </c>
      <c r="U27" s="7">
        <f t="shared" si="16"/>
        <v>1.4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Approved'!$C$15</f>
        <v>-1E-4</v>
      </c>
      <c r="D28" s="42">
        <f t="shared" si="9"/>
        <v>-0.2</v>
      </c>
      <c r="E28" s="114">
        <f>'2016 Proposed'!$C$16</f>
        <v>0</v>
      </c>
      <c r="F28" s="7">
        <f t="shared" si="10"/>
        <v>0</v>
      </c>
      <c r="G28" s="85"/>
      <c r="H28" s="59">
        <f>'2015 Approved'!$N$15</f>
        <v>-1E-4</v>
      </c>
      <c r="I28" s="42">
        <f t="shared" si="11"/>
        <v>-0.2</v>
      </c>
      <c r="J28" s="114">
        <f>'2016 Proposed'!$C$16</f>
        <v>0</v>
      </c>
      <c r="K28" s="7">
        <f t="shared" si="12"/>
        <v>0</v>
      </c>
      <c r="L28" s="85"/>
      <c r="M28" s="59">
        <f>'2015 Approved'!$U$15</f>
        <v>0</v>
      </c>
      <c r="N28" s="42">
        <f t="shared" si="13"/>
        <v>0</v>
      </c>
      <c r="O28" s="114">
        <f>'2016 Proposed'!$C$16</f>
        <v>0</v>
      </c>
      <c r="P28" s="7">
        <f t="shared" si="14"/>
        <v>0</v>
      </c>
      <c r="Q28" s="85"/>
      <c r="R28" s="59">
        <f>'2015 Approved'!$Y$15</f>
        <v>0</v>
      </c>
      <c r="S28" s="42">
        <f t="shared" si="15"/>
        <v>0</v>
      </c>
      <c r="T28" s="114">
        <f>'2016 Proposed'!$C$16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101</v>
      </c>
      <c r="C29" s="59">
        <f>'2015 Approved'!$C$16</f>
        <v>0</v>
      </c>
      <c r="D29" s="42">
        <f t="shared" si="9"/>
        <v>0</v>
      </c>
      <c r="E29" s="114">
        <f>'2016 Proposed'!$C$17</f>
        <v>0</v>
      </c>
      <c r="F29" s="7">
        <f t="shared" si="10"/>
        <v>0</v>
      </c>
      <c r="G29" s="85"/>
      <c r="H29" s="59">
        <f>'2015 Approved'!$N$16</f>
        <v>0</v>
      </c>
      <c r="I29" s="42">
        <f t="shared" si="11"/>
        <v>0</v>
      </c>
      <c r="J29" s="114">
        <f>'2016 Proposed'!$C$17</f>
        <v>0</v>
      </c>
      <c r="K29" s="7">
        <f t="shared" si="12"/>
        <v>0</v>
      </c>
      <c r="L29" s="85"/>
      <c r="M29" s="59">
        <f>'2015 Approved'!$U$16</f>
        <v>4.0000000000000002E-4</v>
      </c>
      <c r="N29" s="42">
        <f t="shared" si="13"/>
        <v>0.8</v>
      </c>
      <c r="O29" s="114">
        <f>M29</f>
        <v>4.0000000000000002E-4</v>
      </c>
      <c r="P29" s="7">
        <f t="shared" si="14"/>
        <v>0.8</v>
      </c>
      <c r="Q29" s="85"/>
      <c r="R29" s="59">
        <f>'2015 Approved'!$Y$16</f>
        <v>2.3E-3</v>
      </c>
      <c r="S29" s="42">
        <f t="shared" si="15"/>
        <v>4.5999999999999996</v>
      </c>
      <c r="T29" s="114">
        <f>R29</f>
        <v>2.3E-3</v>
      </c>
      <c r="U29" s="7">
        <f t="shared" si="16"/>
        <v>4.5999999999999996</v>
      </c>
      <c r="V29" s="85"/>
    </row>
    <row r="30" spans="1:22" x14ac:dyDescent="0.25">
      <c r="A30" s="139">
        <f t="shared" si="0"/>
        <v>24</v>
      </c>
      <c r="B30" s="85" t="s">
        <v>112</v>
      </c>
      <c r="C30" s="59">
        <f>'2015 Approved'!$C$17</f>
        <v>2.2000000000000001E-3</v>
      </c>
      <c r="D30" s="42">
        <f t="shared" si="9"/>
        <v>4.4000000000000004</v>
      </c>
      <c r="E30" s="114">
        <f>'2016 Proposed'!$C$18</f>
        <v>0</v>
      </c>
      <c r="F30" s="7">
        <f t="shared" si="10"/>
        <v>0</v>
      </c>
      <c r="G30" s="85"/>
      <c r="H30" s="59">
        <f>'2015 Approved'!$N$17</f>
        <v>1.4E-3</v>
      </c>
      <c r="I30" s="42">
        <f t="shared" si="11"/>
        <v>2.8</v>
      </c>
      <c r="J30" s="114">
        <f>'2016 Proposed'!$C$18</f>
        <v>0</v>
      </c>
      <c r="K30" s="7">
        <f t="shared" si="12"/>
        <v>0</v>
      </c>
      <c r="L30" s="85"/>
      <c r="M30" s="59">
        <f>'2015 Approved'!$U$17</f>
        <v>1.6000000000000001E-3</v>
      </c>
      <c r="N30" s="42">
        <f t="shared" si="13"/>
        <v>3.2</v>
      </c>
      <c r="O30" s="114">
        <f>'2016 Proposed'!$C$18</f>
        <v>0</v>
      </c>
      <c r="P30" s="7">
        <f t="shared" si="14"/>
        <v>0</v>
      </c>
      <c r="Q30" s="85"/>
      <c r="R30" s="59">
        <f>'2015 Approved'!$Y$17</f>
        <v>5.8999999999999999E-3</v>
      </c>
      <c r="S30" s="42">
        <f t="shared" si="15"/>
        <v>11.799999999999999</v>
      </c>
      <c r="T30" s="114">
        <f>'2016 Proposed'!$C$18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102</v>
      </c>
      <c r="C31" s="59">
        <f>'2015 Approved'!$C$18</f>
        <v>0</v>
      </c>
      <c r="D31" s="42">
        <f t="shared" si="9"/>
        <v>0</v>
      </c>
      <c r="E31" s="114">
        <f>'2016 Proposed'!$C$19</f>
        <v>1.5E-3</v>
      </c>
      <c r="F31" s="7">
        <f t="shared" si="10"/>
        <v>3</v>
      </c>
      <c r="G31" s="85"/>
      <c r="H31" s="59">
        <f>'2015 Approved'!$N$18</f>
        <v>0</v>
      </c>
      <c r="I31" s="42">
        <f t="shared" si="11"/>
        <v>0</v>
      </c>
      <c r="J31" s="114">
        <f>'2016 Proposed'!$C$19</f>
        <v>1.5E-3</v>
      </c>
      <c r="K31" s="7">
        <f t="shared" si="12"/>
        <v>3</v>
      </c>
      <c r="L31" s="85"/>
      <c r="M31" s="59">
        <f>'2015 Approved'!$U$18</f>
        <v>0</v>
      </c>
      <c r="N31" s="42">
        <f t="shared" si="13"/>
        <v>0</v>
      </c>
      <c r="O31" s="114">
        <f>'2016 Proposed'!$C$19</f>
        <v>1.5E-3</v>
      </c>
      <c r="P31" s="7">
        <f t="shared" si="14"/>
        <v>3</v>
      </c>
      <c r="Q31" s="85"/>
      <c r="R31" s="59">
        <f>'2015 Approved'!$Y$18</f>
        <v>0</v>
      </c>
      <c r="S31" s="42">
        <f t="shared" si="15"/>
        <v>0</v>
      </c>
      <c r="T31" s="114">
        <f>'2016 Proposed'!$C$19</f>
        <v>1.5E-3</v>
      </c>
      <c r="U31" s="7">
        <f t="shared" si="16"/>
        <v>3</v>
      </c>
      <c r="V31" s="85"/>
    </row>
    <row r="32" spans="1:22" x14ac:dyDescent="0.25">
      <c r="A32" s="139">
        <f t="shared" si="0"/>
        <v>26</v>
      </c>
      <c r="B32" s="85" t="s">
        <v>94</v>
      </c>
      <c r="C32" s="59">
        <f>'2015 Approved'!$C$19</f>
        <v>0</v>
      </c>
      <c r="D32" s="42">
        <f t="shared" si="9"/>
        <v>0</v>
      </c>
      <c r="E32" s="114">
        <f>'2016 Proposed'!$C$20</f>
        <v>6.9999999999999999E-4</v>
      </c>
      <c r="F32" s="7">
        <f t="shared" si="10"/>
        <v>1.4</v>
      </c>
      <c r="G32" s="85"/>
      <c r="H32" s="59">
        <f>'2015 Approved'!$N$19</f>
        <v>0</v>
      </c>
      <c r="I32" s="42">
        <f t="shared" si="11"/>
        <v>0</v>
      </c>
      <c r="J32" s="114">
        <f>'2016 Proposed'!$C$20</f>
        <v>6.9999999999999999E-4</v>
      </c>
      <c r="K32" s="7">
        <f t="shared" si="12"/>
        <v>1.4</v>
      </c>
      <c r="L32" s="85"/>
      <c r="M32" s="59">
        <f>'2015 Approved'!$U$19</f>
        <v>0</v>
      </c>
      <c r="N32" s="42">
        <f t="shared" si="13"/>
        <v>0</v>
      </c>
      <c r="O32" s="114">
        <f>'2016 Proposed'!$C$20</f>
        <v>6.9999999999999999E-4</v>
      </c>
      <c r="P32" s="7">
        <f t="shared" si="14"/>
        <v>1.4</v>
      </c>
      <c r="Q32" s="85"/>
      <c r="R32" s="59">
        <f>'2015 Approved'!$Y$19</f>
        <v>0</v>
      </c>
      <c r="S32" s="42">
        <f t="shared" si="15"/>
        <v>0</v>
      </c>
      <c r="T32" s="114">
        <f>'2016 Proposed'!$C$20</f>
        <v>6.9999999999999999E-4</v>
      </c>
      <c r="U32" s="7">
        <f t="shared" si="16"/>
        <v>1.4</v>
      </c>
      <c r="V32" s="85"/>
    </row>
    <row r="33" spans="1:22" x14ac:dyDescent="0.25">
      <c r="A33" s="139">
        <f t="shared" si="0"/>
        <v>27</v>
      </c>
      <c r="B33" s="85" t="s">
        <v>104</v>
      </c>
      <c r="C33" s="59">
        <f>'2015 Approved'!$C$20</f>
        <v>0</v>
      </c>
      <c r="D33" s="42">
        <f t="shared" si="9"/>
        <v>0</v>
      </c>
      <c r="E33" s="114">
        <f>'2016 Proposed'!$C$21</f>
        <v>-2.2000000000000001E-3</v>
      </c>
      <c r="F33" s="7">
        <f t="shared" si="10"/>
        <v>-4.4000000000000004</v>
      </c>
      <c r="G33" s="85"/>
      <c r="H33" s="59">
        <f>'2015 Approved'!$N$20</f>
        <v>0</v>
      </c>
      <c r="I33" s="42">
        <f t="shared" si="11"/>
        <v>0</v>
      </c>
      <c r="J33" s="114">
        <f>'2016 Proposed'!$C$21</f>
        <v>-2.2000000000000001E-3</v>
      </c>
      <c r="K33" s="7">
        <f t="shared" si="12"/>
        <v>-4.4000000000000004</v>
      </c>
      <c r="L33" s="85"/>
      <c r="M33" s="59">
        <f>'2015 Approved'!$U$20</f>
        <v>0</v>
      </c>
      <c r="N33" s="42">
        <f t="shared" si="13"/>
        <v>0</v>
      </c>
      <c r="O33" s="114">
        <f>'2016 Proposed'!$C$21</f>
        <v>-2.2000000000000001E-3</v>
      </c>
      <c r="P33" s="7">
        <f t="shared" si="14"/>
        <v>-4.4000000000000004</v>
      </c>
      <c r="Q33" s="85"/>
      <c r="R33" s="59">
        <f>'2015 Approved'!$Y$20</f>
        <v>0</v>
      </c>
      <c r="S33" s="42">
        <f t="shared" si="15"/>
        <v>0</v>
      </c>
      <c r="T33" s="114">
        <f>'2016 Proposed'!$C$21</f>
        <v>-2.2000000000000001E-3</v>
      </c>
      <c r="U33" s="7">
        <f t="shared" si="16"/>
        <v>-4.4000000000000004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82.583183999999989</v>
      </c>
      <c r="E34" s="110"/>
      <c r="F34" s="95">
        <f>SUM(F18:F33)</f>
        <v>64.274467999999985</v>
      </c>
      <c r="G34" s="127">
        <f>F34-D34</f>
        <v>-18.308716000000004</v>
      </c>
      <c r="H34" s="126"/>
      <c r="I34" s="96">
        <f>SUM(I18:I33)</f>
        <v>56.97022399999998</v>
      </c>
      <c r="J34" s="110"/>
      <c r="K34" s="95">
        <f>SUM(K18:K33)</f>
        <v>64.274467999999985</v>
      </c>
      <c r="L34" s="127">
        <f>K34-I34</f>
        <v>7.3042440000000042</v>
      </c>
      <c r="M34" s="126"/>
      <c r="N34" s="96">
        <f>SUM(N18:N33)</f>
        <v>66.613336000000004</v>
      </c>
      <c r="O34" s="110"/>
      <c r="P34" s="95">
        <f>SUM(P18:P33)</f>
        <v>65.074467999999982</v>
      </c>
      <c r="Q34" s="127">
        <f>P34-N34</f>
        <v>-1.5388680000000221</v>
      </c>
      <c r="R34" s="126"/>
      <c r="S34" s="96">
        <f>SUM(S18:S33)</f>
        <v>90.248239999999996</v>
      </c>
      <c r="T34" s="110"/>
      <c r="U34" s="95">
        <f>SUM(U18:U33)</f>
        <v>68.874467999999979</v>
      </c>
      <c r="V34" s="127">
        <f>U34-S34</f>
        <v>-21.373772000000017</v>
      </c>
    </row>
    <row r="35" spans="1:22" x14ac:dyDescent="0.25">
      <c r="A35" s="144">
        <f t="shared" si="0"/>
        <v>29</v>
      </c>
      <c r="B35" s="145" t="s">
        <v>118</v>
      </c>
      <c r="C35" s="128"/>
      <c r="D35" s="120"/>
      <c r="E35" s="111"/>
      <c r="F35" s="97"/>
      <c r="G35" s="129">
        <f>G34/D34</f>
        <v>-0.22170029191415055</v>
      </c>
      <c r="H35" s="128"/>
      <c r="I35" s="120"/>
      <c r="J35" s="111"/>
      <c r="K35" s="97"/>
      <c r="L35" s="129">
        <f>L34/I34</f>
        <v>0.12821160752325647</v>
      </c>
      <c r="M35" s="128"/>
      <c r="N35" s="120"/>
      <c r="O35" s="111"/>
      <c r="P35" s="97"/>
      <c r="Q35" s="129">
        <f>Q34/N34</f>
        <v>-2.3101500276161247E-2</v>
      </c>
      <c r="R35" s="128"/>
      <c r="S35" s="120"/>
      <c r="T35" s="111"/>
      <c r="U35" s="97"/>
      <c r="V35" s="129">
        <f>V34/S34</f>
        <v>-0.23683311718876754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68</v>
      </c>
      <c r="C37" s="59">
        <f>'2015 Approved'!$C$26</f>
        <v>6.4999999999999997E-3</v>
      </c>
      <c r="D37" s="42">
        <f>C37*D$10</f>
        <v>13.556399999999998</v>
      </c>
      <c r="E37" s="114">
        <f>'2016 Proposed'!$C$28</f>
        <v>6.4000000000000003E-3</v>
      </c>
      <c r="F37" s="7">
        <f>E37*F$10</f>
        <v>13.35168</v>
      </c>
      <c r="G37" s="85"/>
      <c r="H37" s="59">
        <f>'2015 Approved'!$N$26</f>
        <v>6.4999999999999997E-3</v>
      </c>
      <c r="I37" s="42">
        <f>H37*I$10</f>
        <v>13.790399999999998</v>
      </c>
      <c r="J37" s="114">
        <f>'2016 Proposed'!$C$28</f>
        <v>6.4000000000000003E-3</v>
      </c>
      <c r="K37" s="7">
        <f>J37*K$10</f>
        <v>13.35168</v>
      </c>
      <c r="L37" s="85"/>
      <c r="M37" s="59">
        <f>'2015 Approved'!$U$26</f>
        <v>7.1000000000000004E-3</v>
      </c>
      <c r="N37" s="42">
        <f>M37*N$10</f>
        <v>15.140040000000001</v>
      </c>
      <c r="O37" s="114">
        <f>'2016 Proposed'!$C$28</f>
        <v>6.4000000000000003E-3</v>
      </c>
      <c r="P37" s="7">
        <f>O37*P$10</f>
        <v>13.35168</v>
      </c>
      <c r="Q37" s="85"/>
      <c r="R37" s="59">
        <f>'2015 Approved'!$Y$26</f>
        <v>6.817114670559849E-3</v>
      </c>
      <c r="S37" s="42">
        <f>R37*S$10</f>
        <v>14.425014642904641</v>
      </c>
      <c r="T37" s="114">
        <f>'2016 Proposed'!$C$28</f>
        <v>6.4000000000000003E-3</v>
      </c>
      <c r="U37" s="7">
        <f>T37*U$10</f>
        <v>13.35168</v>
      </c>
      <c r="V37" s="85"/>
    </row>
    <row r="38" spans="1:22" x14ac:dyDescent="0.25">
      <c r="A38" s="139">
        <f t="shared" si="0"/>
        <v>32</v>
      </c>
      <c r="B38" s="85" t="s">
        <v>69</v>
      </c>
      <c r="C38" s="59">
        <f>'2015 Approved'!$C$27</f>
        <v>4.7000000000000002E-3</v>
      </c>
      <c r="D38" s="42">
        <f>C38*D$10</f>
        <v>9.8023199999999999</v>
      </c>
      <c r="E38" s="114">
        <f>'2016 Proposed'!$C$29</f>
        <v>4.7999999999999996E-3</v>
      </c>
      <c r="F38" s="7">
        <f>E38*F$10</f>
        <v>10.013759999999998</v>
      </c>
      <c r="G38" s="85"/>
      <c r="H38" s="59">
        <f>'2015 Approved'!$N$27</f>
        <v>4.5999999999999999E-3</v>
      </c>
      <c r="I38" s="42">
        <f>H38*I$10</f>
        <v>9.7593599999999991</v>
      </c>
      <c r="J38" s="114">
        <f>'2016 Proposed'!$C$29</f>
        <v>4.7999999999999996E-3</v>
      </c>
      <c r="K38" s="7">
        <f>J38*K$10</f>
        <v>10.013759999999998</v>
      </c>
      <c r="L38" s="85"/>
      <c r="M38" s="59">
        <f>'2015 Approved'!$U$27</f>
        <v>5.0000000000000001E-3</v>
      </c>
      <c r="N38" s="42">
        <f>M38*N$10</f>
        <v>10.662000000000001</v>
      </c>
      <c r="O38" s="114">
        <f>'2016 Proposed'!$C$29</f>
        <v>4.7999999999999996E-3</v>
      </c>
      <c r="P38" s="7">
        <f>O38*P$10</f>
        <v>10.013759999999998</v>
      </c>
      <c r="Q38" s="85"/>
      <c r="R38" s="59">
        <f>'2015 Approved'!$Y$27</f>
        <v>3.2187423851534214E-3</v>
      </c>
      <c r="S38" s="42">
        <f>R38*S$10</f>
        <v>6.81085888698464</v>
      </c>
      <c r="T38" s="114">
        <f>'2016 Proposed'!$C$29</f>
        <v>4.7999999999999996E-3</v>
      </c>
      <c r="U38" s="7">
        <f>T38*U$10</f>
        <v>10.013759999999998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23.358719999999998</v>
      </c>
      <c r="E39" s="110"/>
      <c r="F39" s="95">
        <f>SUM(F37:F38)</f>
        <v>23.36544</v>
      </c>
      <c r="G39" s="127">
        <f>F39-D39</f>
        <v>6.7200000000013915E-3</v>
      </c>
      <c r="H39" s="126"/>
      <c r="I39" s="96">
        <f>SUM(I37:I38)</f>
        <v>23.549759999999999</v>
      </c>
      <c r="J39" s="110"/>
      <c r="K39" s="95">
        <f>SUM(K37:K38)</f>
        <v>23.36544</v>
      </c>
      <c r="L39" s="127">
        <f>K39-I39</f>
        <v>-0.1843199999999996</v>
      </c>
      <c r="M39" s="126"/>
      <c r="N39" s="96">
        <f>SUM(N37:N38)</f>
        <v>25.802040000000002</v>
      </c>
      <c r="O39" s="110"/>
      <c r="P39" s="95">
        <f>SUM(P37:P38)</f>
        <v>23.36544</v>
      </c>
      <c r="Q39" s="127">
        <f>P39-N39</f>
        <v>-2.4366000000000021</v>
      </c>
      <c r="R39" s="126"/>
      <c r="S39" s="96">
        <f>SUM(S37:S38)</f>
        <v>21.235873529889282</v>
      </c>
      <c r="T39" s="110"/>
      <c r="U39" s="95">
        <f>SUM(U37:U38)</f>
        <v>23.36544</v>
      </c>
      <c r="V39" s="127">
        <f>U39-S39</f>
        <v>2.1295664701107171</v>
      </c>
    </row>
    <row r="40" spans="1:22" x14ac:dyDescent="0.25">
      <c r="A40" s="144">
        <f t="shared" si="0"/>
        <v>34</v>
      </c>
      <c r="B40" s="145" t="s">
        <v>118</v>
      </c>
      <c r="C40" s="128"/>
      <c r="D40" s="120"/>
      <c r="E40" s="111"/>
      <c r="F40" s="97"/>
      <c r="G40" s="129">
        <f>G39/D39</f>
        <v>2.8768699654781562E-4</v>
      </c>
      <c r="H40" s="128"/>
      <c r="I40" s="120"/>
      <c r="J40" s="111"/>
      <c r="K40" s="97"/>
      <c r="L40" s="129">
        <f>L39/I39</f>
        <v>-7.8268313562431038E-3</v>
      </c>
      <c r="M40" s="128"/>
      <c r="N40" s="120"/>
      <c r="O40" s="111"/>
      <c r="P40" s="97"/>
      <c r="Q40" s="129">
        <f>Q39/N39</f>
        <v>-9.4434393559579083E-2</v>
      </c>
      <c r="R40" s="128"/>
      <c r="S40" s="120"/>
      <c r="T40" s="111"/>
      <c r="U40" s="97"/>
      <c r="V40" s="129">
        <f>V39/S39</f>
        <v>0.1002815573898278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66</v>
      </c>
      <c r="C42" s="59">
        <f>WMSR+RRRP</f>
        <v>5.7000000000000002E-3</v>
      </c>
      <c r="D42" s="42">
        <f>C42*D10</f>
        <v>11.887919999999999</v>
      </c>
      <c r="E42" s="114">
        <f>WMSR+RRRP</f>
        <v>5.7000000000000002E-3</v>
      </c>
      <c r="F42" s="7">
        <f>E42*F10</f>
        <v>11.89134</v>
      </c>
      <c r="G42" s="85"/>
      <c r="H42" s="59">
        <f>WMSR+RRRP</f>
        <v>5.7000000000000002E-3</v>
      </c>
      <c r="I42" s="42">
        <f>H42*I10</f>
        <v>12.093120000000001</v>
      </c>
      <c r="J42" s="114">
        <f>WMSR+RRRP</f>
        <v>5.7000000000000002E-3</v>
      </c>
      <c r="K42" s="7">
        <f>J42*K10</f>
        <v>11.89134</v>
      </c>
      <c r="L42" s="85"/>
      <c r="M42" s="59">
        <f>WMSR+RRRP</f>
        <v>5.7000000000000002E-3</v>
      </c>
      <c r="N42" s="42">
        <f>M42*N10</f>
        <v>12.154680000000001</v>
      </c>
      <c r="O42" s="114">
        <f>WMSR+RRRP</f>
        <v>5.7000000000000002E-3</v>
      </c>
      <c r="P42" s="7">
        <f>O42*P10</f>
        <v>11.89134</v>
      </c>
      <c r="Q42" s="85"/>
      <c r="R42" s="59">
        <f>WMSR+RRRP</f>
        <v>5.7000000000000002E-3</v>
      </c>
      <c r="S42" s="42">
        <f>R42*S10</f>
        <v>12.061200000000001</v>
      </c>
      <c r="T42" s="114">
        <f>WMSR+RRRP</f>
        <v>5.7000000000000002E-3</v>
      </c>
      <c r="U42" s="7">
        <f>T42*U10</f>
        <v>11.89134</v>
      </c>
      <c r="V42" s="85"/>
    </row>
    <row r="43" spans="1:22" x14ac:dyDescent="0.25">
      <c r="A43" s="139">
        <f t="shared" si="0"/>
        <v>37</v>
      </c>
      <c r="B43" s="85" t="s">
        <v>67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14</v>
      </c>
      <c r="E44" s="114">
        <v>7.0000000000000001E-3</v>
      </c>
      <c r="F44" s="7">
        <f>E44*F7</f>
        <v>14</v>
      </c>
      <c r="G44" s="85"/>
      <c r="H44" s="59">
        <v>7.0000000000000001E-3</v>
      </c>
      <c r="I44" s="42">
        <f>H44*I7</f>
        <v>14</v>
      </c>
      <c r="J44" s="114">
        <v>7.0000000000000001E-3</v>
      </c>
      <c r="K44" s="7">
        <f>J44*K7</f>
        <v>14</v>
      </c>
      <c r="L44" s="85"/>
      <c r="M44" s="59">
        <v>7.0000000000000001E-3</v>
      </c>
      <c r="N44" s="42">
        <f>M44*N7</f>
        <v>14</v>
      </c>
      <c r="O44" s="114">
        <v>7.0000000000000001E-3</v>
      </c>
      <c r="P44" s="7">
        <f>O44*P7</f>
        <v>14</v>
      </c>
      <c r="Q44" s="85"/>
      <c r="R44" s="59">
        <v>7.0000000000000001E-3</v>
      </c>
      <c r="S44" s="42">
        <f>R44*S7</f>
        <v>14</v>
      </c>
      <c r="T44" s="114">
        <v>7.0000000000000001E-3</v>
      </c>
      <c r="U44" s="7">
        <f>T44*U7</f>
        <v>14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26.137920000000001</v>
      </c>
      <c r="E46" s="110"/>
      <c r="F46" s="95">
        <f>SUM(F42:F45)</f>
        <v>26.14134</v>
      </c>
      <c r="G46" s="127">
        <f>F46-D46</f>
        <v>3.4199999999984243E-3</v>
      </c>
      <c r="H46" s="126"/>
      <c r="I46" s="96">
        <f>SUM(I42:I45)</f>
        <v>26.343119999999999</v>
      </c>
      <c r="J46" s="110"/>
      <c r="K46" s="95">
        <f>SUM(K42:K45)</f>
        <v>26.14134</v>
      </c>
      <c r="L46" s="127">
        <f>K46-I46</f>
        <v>-0.2017799999999994</v>
      </c>
      <c r="M46" s="126"/>
      <c r="N46" s="96">
        <f>SUM(N42:N45)</f>
        <v>26.404679999999999</v>
      </c>
      <c r="O46" s="110"/>
      <c r="P46" s="95">
        <f>SUM(P42:P45)</f>
        <v>26.14134</v>
      </c>
      <c r="Q46" s="127">
        <f>P46-N46</f>
        <v>-0.26333999999999946</v>
      </c>
      <c r="R46" s="126"/>
      <c r="S46" s="96">
        <f>SUM(S42:S45)</f>
        <v>26.311199999999999</v>
      </c>
      <c r="T46" s="110"/>
      <c r="U46" s="95">
        <f>SUM(U42:U45)</f>
        <v>26.14134</v>
      </c>
      <c r="V46" s="127">
        <f>U46-S46</f>
        <v>-0.1698599999999999</v>
      </c>
    </row>
    <row r="47" spans="1:22" x14ac:dyDescent="0.25">
      <c r="A47" s="144">
        <f t="shared" si="0"/>
        <v>41</v>
      </c>
      <c r="B47" s="145" t="s">
        <v>118</v>
      </c>
      <c r="C47" s="128"/>
      <c r="D47" s="120"/>
      <c r="E47" s="111"/>
      <c r="F47" s="97"/>
      <c r="G47" s="129">
        <f>G46/D46</f>
        <v>1.3084438241445473E-4</v>
      </c>
      <c r="H47" s="128"/>
      <c r="I47" s="120"/>
      <c r="J47" s="111"/>
      <c r="K47" s="97"/>
      <c r="L47" s="129">
        <f>L46/I46</f>
        <v>-7.6596849575904227E-3</v>
      </c>
      <c r="M47" s="128"/>
      <c r="N47" s="120"/>
      <c r="O47" s="111"/>
      <c r="P47" s="97"/>
      <c r="Q47" s="129">
        <f>Q46/N46</f>
        <v>-9.973232017960432E-3</v>
      </c>
      <c r="R47" s="128"/>
      <c r="S47" s="120"/>
      <c r="T47" s="111"/>
      <c r="U47" s="97"/>
      <c r="V47" s="129">
        <f>V46/S46</f>
        <v>-6.4558058925476567E-3</v>
      </c>
    </row>
    <row r="48" spans="1:22" x14ac:dyDescent="0.25">
      <c r="A48" s="147">
        <f t="shared" si="0"/>
        <v>42</v>
      </c>
      <c r="B48" s="133" t="s">
        <v>129</v>
      </c>
      <c r="C48" s="132"/>
      <c r="D48" s="122">
        <f>D15+D34+D39+D46</f>
        <v>336.359824</v>
      </c>
      <c r="E48" s="115"/>
      <c r="F48" s="102">
        <f>F15+F34+F39+F46</f>
        <v>318.06124799999998</v>
      </c>
      <c r="G48" s="133"/>
      <c r="H48" s="132"/>
      <c r="I48" s="122">
        <f>I15+I34+I39+I46</f>
        <v>311.14310399999999</v>
      </c>
      <c r="J48" s="115"/>
      <c r="K48" s="102">
        <f>K15+K34+K39+K46</f>
        <v>318.06124799999998</v>
      </c>
      <c r="L48" s="133"/>
      <c r="M48" s="132"/>
      <c r="N48" s="122">
        <f>N15+N34+N39+N46</f>
        <v>323.10005599999994</v>
      </c>
      <c r="O48" s="115"/>
      <c r="P48" s="102">
        <f>P15+P34+P39+P46</f>
        <v>318.86124799999999</v>
      </c>
      <c r="Q48" s="133"/>
      <c r="R48" s="132"/>
      <c r="S48" s="122">
        <f>S15+S34+S39+S46</f>
        <v>342.07531352988923</v>
      </c>
      <c r="T48" s="115"/>
      <c r="U48" s="102">
        <f>U15+U34+U39+U46</f>
        <v>322.66124799999994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43.726777120000001</v>
      </c>
      <c r="E49" s="116"/>
      <c r="F49" s="99">
        <f>F48*0.13</f>
        <v>41.347962240000001</v>
      </c>
      <c r="G49" s="134"/>
      <c r="H49" s="87"/>
      <c r="I49" s="43">
        <f>I48*0.13</f>
        <v>40.448603519999999</v>
      </c>
      <c r="J49" s="116"/>
      <c r="K49" s="99">
        <f>K48*0.13</f>
        <v>41.347962240000001</v>
      </c>
      <c r="L49" s="134"/>
      <c r="M49" s="87"/>
      <c r="N49" s="43">
        <f>N48*0.13</f>
        <v>42.003007279999991</v>
      </c>
      <c r="O49" s="116"/>
      <c r="P49" s="99">
        <f>P48*0.13</f>
        <v>41.45196224</v>
      </c>
      <c r="Q49" s="134"/>
      <c r="R49" s="87"/>
      <c r="S49" s="43">
        <f>S48*0.13</f>
        <v>44.469790758885601</v>
      </c>
      <c r="T49" s="116"/>
      <c r="U49" s="99">
        <f>U48*0.13</f>
        <v>41.945962239999993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-38.008660112000001</v>
      </c>
      <c r="E50" s="117"/>
      <c r="F50" s="70">
        <f>SUM(F48:F49)*-0.1</f>
        <v>-35.940921023999998</v>
      </c>
      <c r="G50" s="125"/>
      <c r="H50" s="88"/>
      <c r="I50" s="69">
        <f>SUM(I48:I49)*-0.1</f>
        <v>-35.159170752000001</v>
      </c>
      <c r="J50" s="117"/>
      <c r="K50" s="70">
        <f>SUM(K48:K49)*-0.1</f>
        <v>-35.940921023999998</v>
      </c>
      <c r="L50" s="125"/>
      <c r="M50" s="88"/>
      <c r="N50" s="69">
        <f>SUM(N48:N49)*-0.1</f>
        <v>-36.510306327999992</v>
      </c>
      <c r="O50" s="117"/>
      <c r="P50" s="70">
        <f>SUM(P48:P49)*-0.1</f>
        <v>-36.031321024</v>
      </c>
      <c r="Q50" s="125"/>
      <c r="R50" s="88"/>
      <c r="S50" s="69">
        <f>SUM(S48:S49)*-0.1</f>
        <v>-38.654510428877487</v>
      </c>
      <c r="T50" s="117"/>
      <c r="U50" s="70">
        <f>SUM(U48:U49)*-0.1</f>
        <v>-36.460721023999994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342.07794100800004</v>
      </c>
      <c r="E51" s="118"/>
      <c r="F51" s="103">
        <f>SUM(F48:F50)</f>
        <v>323.46828921600002</v>
      </c>
      <c r="G51" s="136">
        <f>F51-D51</f>
        <v>-18.609651792000022</v>
      </c>
      <c r="H51" s="135"/>
      <c r="I51" s="104">
        <f>SUM(I48:I50)</f>
        <v>316.43253676799998</v>
      </c>
      <c r="J51" s="118"/>
      <c r="K51" s="103">
        <f>SUM(K48:K50)</f>
        <v>323.46828921600002</v>
      </c>
      <c r="L51" s="136">
        <f>K51-I51</f>
        <v>7.0357524480000393</v>
      </c>
      <c r="M51" s="135"/>
      <c r="N51" s="104">
        <f>SUM(N48:N50)</f>
        <v>328.59275695199989</v>
      </c>
      <c r="O51" s="118"/>
      <c r="P51" s="103">
        <f>SUM(P48:P50)</f>
        <v>324.28188921599997</v>
      </c>
      <c r="Q51" s="136">
        <f>P51-N51</f>
        <v>-4.3108677359999206</v>
      </c>
      <c r="R51" s="135"/>
      <c r="S51" s="104">
        <f>SUM(S48:S50)</f>
        <v>347.89059385989736</v>
      </c>
      <c r="T51" s="118"/>
      <c r="U51" s="103">
        <f>SUM(U48:U50)</f>
        <v>328.14648921599991</v>
      </c>
      <c r="V51" s="136">
        <f>U51-S51</f>
        <v>-19.744104643897458</v>
      </c>
    </row>
    <row r="52" spans="1:22" x14ac:dyDescent="0.25">
      <c r="A52" s="151">
        <f t="shared" si="0"/>
        <v>46</v>
      </c>
      <c r="B52" s="152" t="s">
        <v>118</v>
      </c>
      <c r="C52" s="137"/>
      <c r="D52" s="123"/>
      <c r="E52" s="119"/>
      <c r="F52" s="105"/>
      <c r="G52" s="138">
        <f>G51/D51</f>
        <v>-5.4401788484703277E-2</v>
      </c>
      <c r="H52" s="137"/>
      <c r="I52" s="123"/>
      <c r="J52" s="119"/>
      <c r="K52" s="105"/>
      <c r="L52" s="138">
        <f>L51/I51</f>
        <v>2.2234604948853501E-2</v>
      </c>
      <c r="M52" s="137"/>
      <c r="N52" s="123"/>
      <c r="O52" s="119"/>
      <c r="P52" s="105"/>
      <c r="Q52" s="138">
        <f>Q51/N51</f>
        <v>-1.3119180641676904E-2</v>
      </c>
      <c r="R52" s="137"/>
      <c r="S52" s="123"/>
      <c r="T52" s="119"/>
      <c r="U52" s="105"/>
      <c r="V52" s="138">
        <f>V51/S51</f>
        <v>-5.6753775446567005E-2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127</v>
      </c>
      <c r="C54" s="202">
        <f>'2015 Approved'!$C$23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Approved'!$N$23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16.600000000000001</v>
      </c>
      <c r="O54" s="203">
        <f>M54</f>
        <v>8.3000000000000001E-3</v>
      </c>
      <c r="P54" s="7">
        <f>O54*P7</f>
        <v>16.600000000000001</v>
      </c>
      <c r="Q54" s="134"/>
      <c r="R54" s="59">
        <f>'2015 Approved'!$Y$23</f>
        <v>3.0999999999999999E-3</v>
      </c>
      <c r="S54" s="43">
        <f>R54*S7</f>
        <v>6.2</v>
      </c>
      <c r="T54" s="203">
        <f>R54</f>
        <v>3.0999999999999999E-3</v>
      </c>
      <c r="U54" s="7">
        <f>T54*U7</f>
        <v>6.2</v>
      </c>
      <c r="V54" s="134"/>
    </row>
    <row r="55" spans="1:22" x14ac:dyDescent="0.25">
      <c r="A55" s="148">
        <f>A54+1</f>
        <v>49</v>
      </c>
      <c r="B55" s="85" t="s">
        <v>128</v>
      </c>
      <c r="C55" s="59">
        <f>'2015 Approved'!$C$24</f>
        <v>4.7000000000000002E-3</v>
      </c>
      <c r="D55" s="42">
        <f>C55*D7</f>
        <v>9.4</v>
      </c>
      <c r="E55" s="203">
        <f>'2016 Proposed'!$C$26</f>
        <v>3.5999999999999999E-3</v>
      </c>
      <c r="F55" s="7">
        <f>E55*F7</f>
        <v>7.2</v>
      </c>
      <c r="G55" s="85"/>
      <c r="H55" s="59">
        <f>'2015 Approved'!$N$24</f>
        <v>-8.0000000000000004E-4</v>
      </c>
      <c r="I55" s="42">
        <f>H55*I7</f>
        <v>-1.6</v>
      </c>
      <c r="J55" s="114">
        <f>'2016 Proposed'!$C$26</f>
        <v>3.5999999999999999E-3</v>
      </c>
      <c r="K55" s="7">
        <f>J55*K7</f>
        <v>7.2</v>
      </c>
      <c r="L55" s="85"/>
      <c r="M55" s="59">
        <f>'2015 Approved'!$U$24</f>
        <v>-4.0000000000000002E-4</v>
      </c>
      <c r="N55" s="42">
        <f>M55*N7</f>
        <v>-0.8</v>
      </c>
      <c r="O55" s="114">
        <f>'2016 Proposed'!$C$26</f>
        <v>3.5999999999999999E-3</v>
      </c>
      <c r="P55" s="7">
        <f>O55*P7</f>
        <v>7.2</v>
      </c>
      <c r="Q55" s="85"/>
      <c r="R55" s="59">
        <f>'2015 Approved'!$Y$24</f>
        <v>-2.9999999999999997E-4</v>
      </c>
      <c r="S55" s="42">
        <f>R55*S7</f>
        <v>-0.6</v>
      </c>
      <c r="T55" s="114">
        <f>'2016 Proposed'!$C$26</f>
        <v>3.5999999999999999E-3</v>
      </c>
      <c r="U55" s="7">
        <f>T55*U7</f>
        <v>7.2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345.75982399999998</v>
      </c>
      <c r="E56" s="106"/>
      <c r="F56" s="7">
        <f>F48+SUM(F54:F55)</f>
        <v>325.26124799999997</v>
      </c>
      <c r="G56" s="85"/>
      <c r="H56" s="86"/>
      <c r="I56" s="42">
        <f>I48+I55+I54</f>
        <v>309.54310399999997</v>
      </c>
      <c r="J56" s="106"/>
      <c r="K56" s="7">
        <f>K48+K55+K54</f>
        <v>325.26124799999997</v>
      </c>
      <c r="L56" s="85"/>
      <c r="M56" s="86"/>
      <c r="N56" s="42">
        <f>N48+N55+N54</f>
        <v>338.90005599999995</v>
      </c>
      <c r="O56" s="106"/>
      <c r="P56" s="7">
        <f>P48+P55+P54</f>
        <v>342.661248</v>
      </c>
      <c r="Q56" s="85"/>
      <c r="R56" s="86"/>
      <c r="S56" s="42">
        <f>S48+S55+S54</f>
        <v>347.67531352988919</v>
      </c>
      <c r="T56" s="106"/>
      <c r="U56" s="7">
        <f>U48+U55+U54</f>
        <v>336.06124799999992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44.948777119999995</v>
      </c>
      <c r="E57" s="106"/>
      <c r="F57" s="7">
        <f>F56*0.13</f>
        <v>42.283962239999994</v>
      </c>
      <c r="G57" s="85"/>
      <c r="H57" s="86"/>
      <c r="I57" s="42">
        <f>I56*0.13</f>
        <v>40.240603520000001</v>
      </c>
      <c r="J57" s="106"/>
      <c r="K57" s="7">
        <f>K56*0.13</f>
        <v>42.283962239999994</v>
      </c>
      <c r="L57" s="85"/>
      <c r="M57" s="86"/>
      <c r="N57" s="42">
        <f>N56*0.13</f>
        <v>44.057007279999993</v>
      </c>
      <c r="O57" s="106"/>
      <c r="P57" s="7">
        <f>P56*0.13</f>
        <v>44.545962240000001</v>
      </c>
      <c r="Q57" s="85"/>
      <c r="R57" s="86"/>
      <c r="S57" s="42">
        <f>S56*0.13</f>
        <v>45.197790758885596</v>
      </c>
      <c r="T57" s="106"/>
      <c r="U57" s="7">
        <f>U56*0.13</f>
        <v>43.68796223999999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-39.070860111999998</v>
      </c>
      <c r="E58" s="106"/>
      <c r="F58" s="7">
        <f>SUM(F56:F57)*-0.1</f>
        <v>-36.754521023999999</v>
      </c>
      <c r="G58" s="85"/>
      <c r="H58" s="86"/>
      <c r="I58" s="42">
        <f>SUM(I56:I57)*-0.1</f>
        <v>-34.978370751999996</v>
      </c>
      <c r="J58" s="106"/>
      <c r="K58" s="7">
        <f>SUM(K56:K57)*-0.1</f>
        <v>-36.754521023999999</v>
      </c>
      <c r="L58" s="85"/>
      <c r="M58" s="86"/>
      <c r="N58" s="42">
        <f>SUM(N56:N57)*-0.1</f>
        <v>-38.295706327999994</v>
      </c>
      <c r="O58" s="106"/>
      <c r="P58" s="7">
        <f>SUM(P56:P57)*-0.1</f>
        <v>-38.720721023999999</v>
      </c>
      <c r="Q58" s="85"/>
      <c r="R58" s="86"/>
      <c r="S58" s="42">
        <f>SUM(S56:S57)*-0.1</f>
        <v>-39.287310428877483</v>
      </c>
      <c r="T58" s="106"/>
      <c r="U58" s="7">
        <f>SUM(U56:U57)*-0.1</f>
        <v>-37.97492102399999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351.63774100799998</v>
      </c>
      <c r="E59" s="181"/>
      <c r="F59" s="182">
        <f>SUM(F56:F58)</f>
        <v>330.79068921599998</v>
      </c>
      <c r="G59" s="183">
        <f>F59-D59</f>
        <v>-20.847051792000002</v>
      </c>
      <c r="H59" s="179"/>
      <c r="I59" s="180">
        <f>SUM(I56:I58)</f>
        <v>314.80533676799996</v>
      </c>
      <c r="J59" s="181"/>
      <c r="K59" s="182">
        <f>SUM(K56:K58)</f>
        <v>330.79068921599998</v>
      </c>
      <c r="L59" s="183">
        <f>K59-I59</f>
        <v>15.985352448000015</v>
      </c>
      <c r="M59" s="179"/>
      <c r="N59" s="180">
        <f>SUM(N56:N58)</f>
        <v>344.66135695199995</v>
      </c>
      <c r="O59" s="181"/>
      <c r="P59" s="182">
        <f>SUM(P56:P58)</f>
        <v>348.486489216</v>
      </c>
      <c r="Q59" s="183">
        <f>P59-N59</f>
        <v>3.8251322640000467</v>
      </c>
      <c r="R59" s="179"/>
      <c r="S59" s="180">
        <f>SUM(S56:S58)</f>
        <v>353.58579385989731</v>
      </c>
      <c r="T59" s="181"/>
      <c r="U59" s="182">
        <f>SUM(U56:U58)</f>
        <v>341.77428921599994</v>
      </c>
      <c r="V59" s="183">
        <f>U59-S59</f>
        <v>-11.811504643897365</v>
      </c>
    </row>
    <row r="60" spans="1:22" ht="15.75" thickBot="1" x14ac:dyDescent="0.3">
      <c r="A60" s="184">
        <f>A59+1</f>
        <v>54</v>
      </c>
      <c r="B60" s="185" t="s">
        <v>118</v>
      </c>
      <c r="C60" s="186"/>
      <c r="D60" s="187"/>
      <c r="E60" s="188"/>
      <c r="F60" s="189"/>
      <c r="G60" s="190">
        <f>G59/D59</f>
        <v>-5.9285592417469543E-2</v>
      </c>
      <c r="H60" s="186"/>
      <c r="I60" s="187"/>
      <c r="J60" s="188"/>
      <c r="K60" s="189"/>
      <c r="L60" s="190">
        <f>L59/I59</f>
        <v>5.077853066951224E-2</v>
      </c>
      <c r="M60" s="186"/>
      <c r="N60" s="187"/>
      <c r="O60" s="188"/>
      <c r="P60" s="189"/>
      <c r="Q60" s="190">
        <f>Q59/N59</f>
        <v>1.1098233633812224E-2</v>
      </c>
      <c r="R60" s="186"/>
      <c r="S60" s="187"/>
      <c r="T60" s="188"/>
      <c r="U60" s="189"/>
      <c r="V60" s="190">
        <f>V59/S59</f>
        <v>-3.3404918548785037E-2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120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103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103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103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103</v>
      </c>
    </row>
    <row r="63" spans="1:22" x14ac:dyDescent="0.25">
      <c r="A63" s="139">
        <f>A62+1</f>
        <v>56</v>
      </c>
      <c r="B63" s="85" t="s">
        <v>119</v>
      </c>
      <c r="C63" s="86"/>
      <c r="D63" s="42">
        <f>SUM(D18:D21)+D24+D33</f>
        <v>67.05</v>
      </c>
      <c r="E63" s="106"/>
      <c r="F63" s="7">
        <f>SUM(F18:F21)+F24+F33</f>
        <v>45.68</v>
      </c>
      <c r="G63" s="56">
        <f>F63-D63</f>
        <v>-21.369999999999997</v>
      </c>
      <c r="H63" s="86"/>
      <c r="I63" s="42">
        <f>SUM(I18:I21)+I24+I33</f>
        <v>39.96</v>
      </c>
      <c r="J63" s="106"/>
      <c r="K63" s="7">
        <f>SUM(K18:K21)+K24+K33</f>
        <v>45.68</v>
      </c>
      <c r="L63" s="56">
        <f>K63-I63</f>
        <v>5.7199999999999989</v>
      </c>
      <c r="M63" s="86"/>
      <c r="N63" s="42">
        <f>SUM(N18:N21)+N24+N33</f>
        <v>45.7</v>
      </c>
      <c r="O63" s="106"/>
      <c r="P63" s="7">
        <f>SUM(P18:P21)+P24+P33</f>
        <v>45.68</v>
      </c>
      <c r="Q63" s="56">
        <f>P63-N63</f>
        <v>-2.0000000000003126E-2</v>
      </c>
      <c r="R63" s="86"/>
      <c r="S63" s="42">
        <f>SUM(S18:S21)+S24+S33</f>
        <v>50.010000000000005</v>
      </c>
      <c r="T63" s="106"/>
      <c r="U63" s="7">
        <f>SUM(U18:U21)+U24+U33</f>
        <v>45.68</v>
      </c>
      <c r="V63" s="56">
        <f>U63-S63</f>
        <v>-4.3300000000000054</v>
      </c>
    </row>
    <row r="64" spans="1:22" x14ac:dyDescent="0.25">
      <c r="A64" s="164">
        <f t="shared" ref="A64:A66" si="17">A63+1</f>
        <v>57</v>
      </c>
      <c r="B64" s="165" t="s">
        <v>118</v>
      </c>
      <c r="C64" s="166"/>
      <c r="D64" s="167"/>
      <c r="E64" s="168"/>
      <c r="F64" s="93"/>
      <c r="G64" s="169">
        <f>G63/SUM(D63:D66)</f>
        <v>-0.25876938820862128</v>
      </c>
      <c r="H64" s="166"/>
      <c r="I64" s="167"/>
      <c r="J64" s="168"/>
      <c r="K64" s="93"/>
      <c r="L64" s="169">
        <f>L63/SUM(I63:I66)</f>
        <v>0.10040332648156694</v>
      </c>
      <c r="M64" s="166"/>
      <c r="N64" s="167"/>
      <c r="O64" s="168"/>
      <c r="P64" s="93"/>
      <c r="Q64" s="169">
        <f>Q63/SUM(N63:N66)</f>
        <v>-3.0024018013454732E-4</v>
      </c>
      <c r="R64" s="166"/>
      <c r="S64" s="167"/>
      <c r="T64" s="168"/>
      <c r="U64" s="93"/>
      <c r="V64" s="169">
        <f>V63/SUM(S63:S66)</f>
        <v>-4.7978774987744971E-2</v>
      </c>
    </row>
    <row r="65" spans="1:22" x14ac:dyDescent="0.25">
      <c r="A65" s="139">
        <f t="shared" si="17"/>
        <v>58</v>
      </c>
      <c r="B65" s="85" t="s">
        <v>121</v>
      </c>
      <c r="C65" s="86"/>
      <c r="D65" s="42">
        <f>D22+SUM(D25:D32)+D23</f>
        <v>15.533183999999991</v>
      </c>
      <c r="E65" s="106"/>
      <c r="F65" s="7">
        <f>F22+SUM(F25:F32)+F23</f>
        <v>18.594467999999978</v>
      </c>
      <c r="G65" s="56">
        <f>F65-D65</f>
        <v>3.0612839999999863</v>
      </c>
      <c r="H65" s="86"/>
      <c r="I65" s="42">
        <f>I22+SUM(I25:I32)+I23</f>
        <v>17.01022399999999</v>
      </c>
      <c r="J65" s="106"/>
      <c r="K65" s="7">
        <f>K22+SUM(K25:K32)+K23</f>
        <v>18.594467999999978</v>
      </c>
      <c r="L65" s="56">
        <f>K65-I65</f>
        <v>1.5842439999999876</v>
      </c>
      <c r="M65" s="86"/>
      <c r="N65" s="42">
        <f>N22+SUM(N25:N32)+N23</f>
        <v>20.913336000000008</v>
      </c>
      <c r="O65" s="106"/>
      <c r="P65" s="7">
        <f>P22+SUM(P25:P32)+P23</f>
        <v>19.394467999999982</v>
      </c>
      <c r="Q65" s="56">
        <f>P65-N65</f>
        <v>-1.5188680000000261</v>
      </c>
      <c r="R65" s="86"/>
      <c r="S65" s="42">
        <f>S22+SUM(S25:S32)+S23</f>
        <v>40.238239999999998</v>
      </c>
      <c r="T65" s="106"/>
      <c r="U65" s="7">
        <f>U22+SUM(U25:U32)+U23</f>
        <v>23.194467999999979</v>
      </c>
      <c r="V65" s="56">
        <f>U65-S65</f>
        <v>-17.043772000000018</v>
      </c>
    </row>
    <row r="66" spans="1:22" ht="15.75" thickBot="1" x14ac:dyDescent="0.3">
      <c r="A66" s="170">
        <f t="shared" si="17"/>
        <v>59</v>
      </c>
      <c r="B66" s="171" t="s">
        <v>118</v>
      </c>
      <c r="C66" s="172"/>
      <c r="D66" s="173"/>
      <c r="E66" s="174"/>
      <c r="F66" s="175"/>
      <c r="G66" s="176">
        <f>G65/SUM(D63:D66)</f>
        <v>3.7069096294470638E-2</v>
      </c>
      <c r="H66" s="172"/>
      <c r="I66" s="173"/>
      <c r="J66" s="174"/>
      <c r="K66" s="175"/>
      <c r="L66" s="176">
        <f>L65/SUM(I63:I66)</f>
        <v>2.7808281041689215E-2</v>
      </c>
      <c r="M66" s="172"/>
      <c r="N66" s="173"/>
      <c r="O66" s="174"/>
      <c r="P66" s="175"/>
      <c r="Q66" s="176">
        <f>Q65/SUM(N63:N66)</f>
        <v>-2.2801260096026808E-2</v>
      </c>
      <c r="R66" s="172"/>
      <c r="S66" s="173"/>
      <c r="T66" s="174"/>
      <c r="U66" s="175"/>
      <c r="V66" s="176">
        <f>V65/SUM(S63:S66)</f>
        <v>-0.1888543422010226</v>
      </c>
    </row>
    <row r="67" spans="1:22" ht="15.75" thickBot="1" x14ac:dyDescent="0.3"/>
    <row r="68" spans="1:22" x14ac:dyDescent="0.25">
      <c r="A68" s="331" t="s">
        <v>111</v>
      </c>
      <c r="B68" s="333" t="s">
        <v>0</v>
      </c>
      <c r="C68" s="329" t="s">
        <v>115</v>
      </c>
      <c r="D68" s="330"/>
      <c r="E68" s="327" t="s">
        <v>116</v>
      </c>
      <c r="F68" s="327"/>
      <c r="G68" s="328"/>
      <c r="H68" s="329" t="s">
        <v>117</v>
      </c>
      <c r="I68" s="330"/>
      <c r="J68" s="327" t="s">
        <v>116</v>
      </c>
      <c r="K68" s="327"/>
      <c r="L68" s="328"/>
      <c r="M68" s="329" t="s">
        <v>124</v>
      </c>
      <c r="N68" s="330"/>
      <c r="O68" s="327" t="s">
        <v>116</v>
      </c>
      <c r="P68" s="327"/>
      <c r="Q68" s="328"/>
      <c r="R68" s="329" t="s">
        <v>123</v>
      </c>
      <c r="S68" s="330"/>
      <c r="T68" s="327" t="s">
        <v>116</v>
      </c>
      <c r="U68" s="327"/>
      <c r="V68" s="328"/>
    </row>
    <row r="69" spans="1:22" x14ac:dyDescent="0.25">
      <c r="A69" s="332"/>
      <c r="B69" s="334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103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103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103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103</v>
      </c>
    </row>
    <row r="70" spans="1:22" x14ac:dyDescent="0.25">
      <c r="A70" s="139">
        <v>1</v>
      </c>
      <c r="B70" s="85" t="s">
        <v>91</v>
      </c>
      <c r="C70" s="86"/>
      <c r="D70" s="252">
        <v>1000</v>
      </c>
      <c r="E70" s="106"/>
      <c r="F70" s="1">
        <f>D70</f>
        <v>1000</v>
      </c>
      <c r="G70" s="85"/>
      <c r="H70" s="86"/>
      <c r="I70" s="40">
        <f>D70</f>
        <v>1000</v>
      </c>
      <c r="J70" s="106"/>
      <c r="K70" s="1">
        <f>I70</f>
        <v>1000</v>
      </c>
      <c r="L70" s="85"/>
      <c r="M70" s="86"/>
      <c r="N70" s="40">
        <f>D70</f>
        <v>1000</v>
      </c>
      <c r="O70" s="106"/>
      <c r="P70" s="1">
        <f>N70</f>
        <v>1000</v>
      </c>
      <c r="Q70" s="85"/>
      <c r="R70" s="86"/>
      <c r="S70" s="40">
        <f>D70</f>
        <v>1000</v>
      </c>
      <c r="T70" s="106"/>
      <c r="U70" s="1">
        <f>S70</f>
        <v>1000</v>
      </c>
      <c r="V70" s="85"/>
    </row>
    <row r="71" spans="1:22" x14ac:dyDescent="0.25">
      <c r="A71" s="139">
        <f>A70+1</f>
        <v>2</v>
      </c>
      <c r="B71" s="85" t="s">
        <v>92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93</v>
      </c>
      <c r="C73" s="86"/>
      <c r="D73" s="40">
        <f>D70*D72</f>
        <v>1042.8</v>
      </c>
      <c r="E73" s="106"/>
      <c r="F73" s="1">
        <f>F70*F72</f>
        <v>1043.0999999999999</v>
      </c>
      <c r="G73" s="85"/>
      <c r="H73" s="86"/>
      <c r="I73" s="40">
        <f>I70*I72</f>
        <v>1060.8</v>
      </c>
      <c r="J73" s="106"/>
      <c r="K73" s="1">
        <f>K70*K72</f>
        <v>1043.0999999999999</v>
      </c>
      <c r="L73" s="85"/>
      <c r="M73" s="86"/>
      <c r="N73" s="40">
        <f>N70*N72</f>
        <v>1066.2</v>
      </c>
      <c r="O73" s="106"/>
      <c r="P73" s="1">
        <f>P70*P72</f>
        <v>1043.0999999999999</v>
      </c>
      <c r="Q73" s="85"/>
      <c r="R73" s="86"/>
      <c r="S73" s="40">
        <f>S70*S72</f>
        <v>1058</v>
      </c>
      <c r="T73" s="106"/>
      <c r="U73" s="1">
        <f>U70*U72</f>
        <v>1043.0999999999999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51.2</v>
      </c>
      <c r="E75" s="108">
        <f>'General Input'!$B$11</f>
        <v>0.08</v>
      </c>
      <c r="F75" s="7">
        <f>F$70*E75*TOU_OFF</f>
        <v>51.2</v>
      </c>
      <c r="G75" s="85"/>
      <c r="H75" s="84">
        <f>'General Input'!$B$11</f>
        <v>0.08</v>
      </c>
      <c r="I75" s="42">
        <f>I$70*H75*TOU_OFF</f>
        <v>51.2</v>
      </c>
      <c r="J75" s="108">
        <f>'General Input'!$B$11</f>
        <v>0.08</v>
      </c>
      <c r="K75" s="7">
        <f>K$70*J75*TOU_OFF</f>
        <v>51.2</v>
      </c>
      <c r="L75" s="85"/>
      <c r="M75" s="84">
        <f>'General Input'!$B$11</f>
        <v>0.08</v>
      </c>
      <c r="N75" s="42">
        <f>N$70*M75*TOU_OFF</f>
        <v>51.2</v>
      </c>
      <c r="O75" s="108">
        <f>'General Input'!$B$11</f>
        <v>0.08</v>
      </c>
      <c r="P75" s="7">
        <f>P$70*O75*TOU_OFF</f>
        <v>51.2</v>
      </c>
      <c r="Q75" s="85"/>
      <c r="R75" s="84">
        <f>'General Input'!$B$11</f>
        <v>0.08</v>
      </c>
      <c r="S75" s="42">
        <f>S$70*R75*TOU_OFF</f>
        <v>51.2</v>
      </c>
      <c r="T75" s="108">
        <f>'General Input'!$B$11</f>
        <v>0.08</v>
      </c>
      <c r="U75" s="7">
        <f>U$70*T75*TOU_OFF</f>
        <v>51.2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21.96</v>
      </c>
      <c r="E76" s="108">
        <f>'General Input'!$B$12</f>
        <v>0.122</v>
      </c>
      <c r="F76" s="7">
        <f>F$70*E76*TOU_MID</f>
        <v>21.96</v>
      </c>
      <c r="G76" s="85"/>
      <c r="H76" s="84">
        <f>'General Input'!$B$12</f>
        <v>0.122</v>
      </c>
      <c r="I76" s="42">
        <f>I$70*H76*TOU_MID</f>
        <v>21.96</v>
      </c>
      <c r="J76" s="108">
        <f>'General Input'!$B$12</f>
        <v>0.122</v>
      </c>
      <c r="K76" s="7">
        <f>K$70*J76*TOU_MID</f>
        <v>21.96</v>
      </c>
      <c r="L76" s="85"/>
      <c r="M76" s="84">
        <f>'General Input'!$B$12</f>
        <v>0.122</v>
      </c>
      <c r="N76" s="42">
        <f>N$70*M76*TOU_MID</f>
        <v>21.96</v>
      </c>
      <c r="O76" s="108">
        <f>'General Input'!$B$12</f>
        <v>0.122</v>
      </c>
      <c r="P76" s="7">
        <f>P$70*O76*TOU_MID</f>
        <v>21.96</v>
      </c>
      <c r="Q76" s="85"/>
      <c r="R76" s="84">
        <f>'General Input'!$B$12</f>
        <v>0.122</v>
      </c>
      <c r="S76" s="42">
        <f>S$70*R76*TOU_MID</f>
        <v>21.96</v>
      </c>
      <c r="T76" s="108">
        <f>'General Input'!$B$12</f>
        <v>0.122</v>
      </c>
      <c r="U76" s="7">
        <f>U$70*T76*TOU_MID</f>
        <v>21.96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28.98</v>
      </c>
      <c r="E77" s="109">
        <f>'General Input'!$B$13</f>
        <v>0.161</v>
      </c>
      <c r="F77" s="70">
        <f>F$70*E77*TOU_ON</f>
        <v>28.98</v>
      </c>
      <c r="G77" s="125"/>
      <c r="H77" s="124">
        <f>'General Input'!$B$13</f>
        <v>0.161</v>
      </c>
      <c r="I77" s="69">
        <f>I$70*H77*TOU_ON</f>
        <v>28.98</v>
      </c>
      <c r="J77" s="109">
        <f>'General Input'!$B$13</f>
        <v>0.161</v>
      </c>
      <c r="K77" s="70">
        <f>K$70*J77*TOU_ON</f>
        <v>28.98</v>
      </c>
      <c r="L77" s="125"/>
      <c r="M77" s="124">
        <f>'General Input'!$B$13</f>
        <v>0.161</v>
      </c>
      <c r="N77" s="69">
        <f>N$70*M77*TOU_ON</f>
        <v>28.98</v>
      </c>
      <c r="O77" s="109">
        <f>'General Input'!$B$13</f>
        <v>0.161</v>
      </c>
      <c r="P77" s="70">
        <f>P$70*O77*TOU_ON</f>
        <v>28.98</v>
      </c>
      <c r="Q77" s="125"/>
      <c r="R77" s="124">
        <f>'General Input'!$B$13</f>
        <v>0.161</v>
      </c>
      <c r="S77" s="69">
        <f>S$70*R77*TOU_ON</f>
        <v>28.98</v>
      </c>
      <c r="T77" s="109">
        <f>'General Input'!$B$13</f>
        <v>0.161</v>
      </c>
      <c r="U77" s="70">
        <f>U$70*T77*TOU_ON</f>
        <v>28.98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102.14</v>
      </c>
      <c r="E78" s="110"/>
      <c r="F78" s="95">
        <f>SUM(F75:F77)</f>
        <v>102.14</v>
      </c>
      <c r="G78" s="127">
        <f>D78-F78</f>
        <v>0</v>
      </c>
      <c r="H78" s="126"/>
      <c r="I78" s="96">
        <f>SUM(I75:I77)</f>
        <v>102.14</v>
      </c>
      <c r="J78" s="110"/>
      <c r="K78" s="95">
        <f>SUM(K75:K77)</f>
        <v>102.14</v>
      </c>
      <c r="L78" s="127">
        <f>I78-K78</f>
        <v>0</v>
      </c>
      <c r="M78" s="126"/>
      <c r="N78" s="96">
        <f>SUM(N75:N77)</f>
        <v>102.14</v>
      </c>
      <c r="O78" s="110"/>
      <c r="P78" s="95">
        <f>SUM(P75:P77)</f>
        <v>102.14</v>
      </c>
      <c r="Q78" s="127">
        <f>N78-P78</f>
        <v>0</v>
      </c>
      <c r="R78" s="126"/>
      <c r="S78" s="96">
        <f>SUM(S75:S77)</f>
        <v>102.14</v>
      </c>
      <c r="T78" s="110"/>
      <c r="U78" s="95">
        <f>SUM(U75:U77)</f>
        <v>102.14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118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Approved'!$C$4</f>
        <v>34.840000000000003</v>
      </c>
      <c r="D81" s="42">
        <f>C81</f>
        <v>34.840000000000003</v>
      </c>
      <c r="E81" s="113">
        <f>'2016 Proposed'!$C$3</f>
        <v>30.08</v>
      </c>
      <c r="F81" s="7">
        <f>E81</f>
        <v>30.08</v>
      </c>
      <c r="G81" s="85"/>
      <c r="H81" s="55">
        <f>'2015 Approved'!$N$4</f>
        <v>19.059999999999999</v>
      </c>
      <c r="I81" s="42">
        <f>H81</f>
        <v>19.059999999999999</v>
      </c>
      <c r="J81" s="113">
        <f>'2016 Proposed'!$C$3</f>
        <v>30.08</v>
      </c>
      <c r="K81" s="7">
        <f>J81</f>
        <v>30.08</v>
      </c>
      <c r="L81" s="85"/>
      <c r="M81" s="55">
        <f>'2015 Approved'!$U$4</f>
        <v>27.45</v>
      </c>
      <c r="N81" s="42">
        <f>M81</f>
        <v>27.45</v>
      </c>
      <c r="O81" s="113">
        <f>'2016 Proposed'!$C$3</f>
        <v>30.08</v>
      </c>
      <c r="P81" s="7">
        <f>O81</f>
        <v>30.08</v>
      </c>
      <c r="Q81" s="85"/>
      <c r="R81" s="55">
        <f>'2015 Approved'!$Y$4</f>
        <v>22.91</v>
      </c>
      <c r="S81" s="42">
        <f>R81</f>
        <v>22.91</v>
      </c>
      <c r="T81" s="113">
        <f>'2016 Proposed'!$C$3</f>
        <v>30.08</v>
      </c>
      <c r="U81" s="7">
        <f>T81</f>
        <v>30.08</v>
      </c>
      <c r="V81" s="85"/>
    </row>
    <row r="82" spans="1:22" x14ac:dyDescent="0.25">
      <c r="A82" s="139">
        <f t="shared" si="18"/>
        <v>13</v>
      </c>
      <c r="B82" s="85" t="s">
        <v>86</v>
      </c>
      <c r="C82" s="55">
        <f>'2015 Approved'!$C$5</f>
        <v>3.01</v>
      </c>
      <c r="D82" s="42">
        <f t="shared" ref="D82:D85" si="19">C82</f>
        <v>3.01</v>
      </c>
      <c r="E82" s="113">
        <f>'2016 Proposed'!$C$5</f>
        <v>0</v>
      </c>
      <c r="F82" s="7">
        <f t="shared" ref="F82:F85" si="20">E82</f>
        <v>0</v>
      </c>
      <c r="G82" s="85"/>
      <c r="H82" s="55">
        <f>'2015 Approved'!$N$5</f>
        <v>1.23</v>
      </c>
      <c r="I82" s="42">
        <f t="shared" ref="I82:I85" si="21">H82</f>
        <v>1.23</v>
      </c>
      <c r="J82" s="113">
        <f>'2016 Proposed'!$C$5</f>
        <v>0</v>
      </c>
      <c r="K82" s="7">
        <f t="shared" ref="K82:K85" si="22">J82</f>
        <v>0</v>
      </c>
      <c r="L82" s="85"/>
      <c r="M82" s="55">
        <f>'2015 Approved'!$U$5</f>
        <v>2.21</v>
      </c>
      <c r="N82" s="42">
        <f t="shared" ref="N82:N85" si="23">M82</f>
        <v>2.21</v>
      </c>
      <c r="O82" s="113">
        <f>'2016 Proposed'!$C$5</f>
        <v>0</v>
      </c>
      <c r="P82" s="7">
        <f t="shared" ref="P82:P85" si="24">O82</f>
        <v>0</v>
      </c>
      <c r="Q82" s="85"/>
      <c r="R82" s="55">
        <f>'2015 Approved'!$Y$5</f>
        <v>1.23</v>
      </c>
      <c r="S82" s="42">
        <f t="shared" ref="S82:S85" si="25">R82</f>
        <v>1.23</v>
      </c>
      <c r="T82" s="113">
        <f>'2016 Proposed'!$C$5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86</v>
      </c>
      <c r="C83" s="55">
        <f>'2015 Approved'!$C$6</f>
        <v>0</v>
      </c>
      <c r="D83" s="42">
        <f t="shared" si="19"/>
        <v>0</v>
      </c>
      <c r="E83" s="113">
        <f>'2016 Proposed'!$C$6</f>
        <v>0</v>
      </c>
      <c r="F83" s="7">
        <f t="shared" si="20"/>
        <v>0</v>
      </c>
      <c r="G83" s="85"/>
      <c r="H83" s="55">
        <f>'2015 Approved'!$N$6</f>
        <v>4.12</v>
      </c>
      <c r="I83" s="42">
        <f t="shared" si="21"/>
        <v>4.12</v>
      </c>
      <c r="J83" s="113">
        <f>'2016 Proposed'!$C$6</f>
        <v>0</v>
      </c>
      <c r="K83" s="7">
        <f t="shared" si="22"/>
        <v>0</v>
      </c>
      <c r="L83" s="85"/>
      <c r="M83" s="55">
        <f>'2015 Approved'!$U$6</f>
        <v>0</v>
      </c>
      <c r="N83" s="42">
        <f t="shared" si="23"/>
        <v>0</v>
      </c>
      <c r="O83" s="113">
        <f>'2016 Proposed'!$C$6</f>
        <v>0</v>
      </c>
      <c r="P83" s="7">
        <f t="shared" si="24"/>
        <v>0</v>
      </c>
      <c r="Q83" s="85"/>
      <c r="R83" s="55">
        <f>'2015 Approved'!$Y$6</f>
        <v>0</v>
      </c>
      <c r="S83" s="42">
        <f t="shared" si="25"/>
        <v>0</v>
      </c>
      <c r="T83" s="113">
        <f>'2016 Proposed'!$C$6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Approved'!$C$70</f>
        <v>0</v>
      </c>
      <c r="D84" s="42">
        <f t="shared" si="19"/>
        <v>0</v>
      </c>
      <c r="E84" s="113">
        <f>'2016 Proposed'!$C$70</f>
        <v>0</v>
      </c>
      <c r="F84" s="7">
        <f t="shared" si="20"/>
        <v>0</v>
      </c>
      <c r="G84" s="85"/>
      <c r="H84" s="55">
        <f>'2015 Approved'!$N$70</f>
        <v>0</v>
      </c>
      <c r="I84" s="42">
        <f t="shared" si="21"/>
        <v>0</v>
      </c>
      <c r="J84" s="113">
        <f>'2016 Proposed'!$C$70</f>
        <v>0</v>
      </c>
      <c r="K84" s="7">
        <f t="shared" si="22"/>
        <v>0</v>
      </c>
      <c r="L84" s="85"/>
      <c r="M84" s="55">
        <f>'2015 Approved'!$U$70</f>
        <v>0</v>
      </c>
      <c r="N84" s="42">
        <f t="shared" si="23"/>
        <v>0</v>
      </c>
      <c r="O84" s="113">
        <f>'2016 Proposed'!$C$70</f>
        <v>0</v>
      </c>
      <c r="P84" s="7">
        <f t="shared" si="24"/>
        <v>0</v>
      </c>
      <c r="Q84" s="85"/>
      <c r="R84" s="55">
        <f>'2015 Approved'!$Y$70</f>
        <v>0</v>
      </c>
      <c r="S84" s="42">
        <f t="shared" si="25"/>
        <v>0</v>
      </c>
      <c r="T84" s="113">
        <f>'2016 Proposed'!$C$70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95</v>
      </c>
      <c r="C85" s="55">
        <f>'2015 Approved'!$C$8</f>
        <v>0.79</v>
      </c>
      <c r="D85" s="42">
        <f t="shared" si="19"/>
        <v>0.79</v>
      </c>
      <c r="E85" s="113">
        <f>'2016 Proposed'!$C$8</f>
        <v>0.79</v>
      </c>
      <c r="F85" s="7">
        <f t="shared" si="20"/>
        <v>0.79</v>
      </c>
      <c r="G85" s="85"/>
      <c r="H85" s="55">
        <f>'2015 Approved'!$N$8</f>
        <v>0.79</v>
      </c>
      <c r="I85" s="42">
        <f t="shared" si="21"/>
        <v>0.79</v>
      </c>
      <c r="J85" s="113">
        <f>'2016 Proposed'!$C$8</f>
        <v>0.79</v>
      </c>
      <c r="K85" s="7">
        <f t="shared" si="22"/>
        <v>0.79</v>
      </c>
      <c r="L85" s="85"/>
      <c r="M85" s="55">
        <f>'2015 Approved'!$U$8</f>
        <v>0.79</v>
      </c>
      <c r="N85" s="42">
        <f t="shared" si="23"/>
        <v>0.79</v>
      </c>
      <c r="O85" s="113">
        <f>'2016 Proposed'!$C$8</f>
        <v>0.79</v>
      </c>
      <c r="P85" s="7">
        <f t="shared" si="24"/>
        <v>0.79</v>
      </c>
      <c r="Q85" s="85"/>
      <c r="R85" s="55">
        <f>'2015 Approved'!$Y$8</f>
        <v>0.79</v>
      </c>
      <c r="S85" s="42">
        <f t="shared" si="25"/>
        <v>0.79</v>
      </c>
      <c r="T85" s="113">
        <f>'2016 Proposed'!$C$8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0.10213999999999999</v>
      </c>
      <c r="D86" s="42">
        <f>(D73-D70)*C86</f>
        <v>4.3715919999999953</v>
      </c>
      <c r="E86" s="114">
        <f>F78/$F$70</f>
        <v>0.10213999999999999</v>
      </c>
      <c r="F86" s="7">
        <f>(F73-F70)*E86</f>
        <v>4.4022339999999902</v>
      </c>
      <c r="G86" s="85"/>
      <c r="H86" s="59">
        <f>I78/I70</f>
        <v>0.10213999999999999</v>
      </c>
      <c r="I86" s="42">
        <f>(I73-I70)*H86</f>
        <v>6.2101119999999952</v>
      </c>
      <c r="J86" s="114">
        <f>K78/$F$70</f>
        <v>0.10213999999999999</v>
      </c>
      <c r="K86" s="7">
        <f>(K73-K70)*J86</f>
        <v>4.4022339999999902</v>
      </c>
      <c r="L86" s="85"/>
      <c r="M86" s="59">
        <f>N78/N70</f>
        <v>0.10213999999999999</v>
      </c>
      <c r="N86" s="42">
        <f>(N73-N70)*M86</f>
        <v>6.7616680000000047</v>
      </c>
      <c r="O86" s="114">
        <f>P78/$F$70</f>
        <v>0.10213999999999999</v>
      </c>
      <c r="P86" s="7">
        <f>(P73-P70)*O86</f>
        <v>4.4022339999999902</v>
      </c>
      <c r="Q86" s="85"/>
      <c r="R86" s="59">
        <f>S78/S70</f>
        <v>0.10213999999999999</v>
      </c>
      <c r="S86" s="42">
        <f>(S73-S70)*R86</f>
        <v>5.9241199999999994</v>
      </c>
      <c r="T86" s="114">
        <f>U78/$F$70</f>
        <v>0.10213999999999999</v>
      </c>
      <c r="U86" s="7">
        <f>(U73-U70)*T86</f>
        <v>4.4022339999999902</v>
      </c>
      <c r="V86" s="85"/>
    </row>
    <row r="87" spans="1:22" x14ac:dyDescent="0.25">
      <c r="A87" s="139">
        <f t="shared" si="18"/>
        <v>18</v>
      </c>
      <c r="B87" s="85" t="s">
        <v>90</v>
      </c>
      <c r="C87" s="59">
        <f>'2015 Approved'!$C$11</f>
        <v>1.18E-2</v>
      </c>
      <c r="D87" s="42">
        <f t="shared" ref="D87:D96" si="27">C87*D$70</f>
        <v>11.799999999999999</v>
      </c>
      <c r="E87" s="114">
        <f>'2016 Proposed'!$C$11</f>
        <v>0.01</v>
      </c>
      <c r="F87" s="7">
        <f t="shared" ref="F87:F96" si="28">E87*F$70</f>
        <v>10</v>
      </c>
      <c r="G87" s="85"/>
      <c r="H87" s="59">
        <f>'2015 Approved'!$N$11</f>
        <v>5.1000000000000004E-3</v>
      </c>
      <c r="I87" s="42">
        <f t="shared" ref="I87:I96" si="29">H87*I$70</f>
        <v>5.1000000000000005</v>
      </c>
      <c r="J87" s="114">
        <f>'2016 Proposed'!$C$11</f>
        <v>0.01</v>
      </c>
      <c r="K87" s="7">
        <f t="shared" ref="K87:K96" si="30">J87*K$70</f>
        <v>10</v>
      </c>
      <c r="L87" s="85"/>
      <c r="M87" s="59">
        <f>'2015 Approved'!$U$11</f>
        <v>6.1000000000000004E-3</v>
      </c>
      <c r="N87" s="42">
        <f t="shared" ref="N87:N96" si="31">M87*N$70</f>
        <v>6.1000000000000005</v>
      </c>
      <c r="O87" s="114">
        <f>'2016 Proposed'!$C$11</f>
        <v>0.01</v>
      </c>
      <c r="P87" s="7">
        <f t="shared" ref="P87:P96" si="32">O87*P$70</f>
        <v>10</v>
      </c>
      <c r="Q87" s="85"/>
      <c r="R87" s="59">
        <f>'2015 Approved'!$Y$11</f>
        <v>1.14E-2</v>
      </c>
      <c r="S87" s="42">
        <f t="shared" ref="S87:S96" si="33">R87*S$70</f>
        <v>11.4</v>
      </c>
      <c r="T87" s="114">
        <f>'2016 Proposed'!$C$11</f>
        <v>0.01</v>
      </c>
      <c r="U87" s="7">
        <f t="shared" ref="U87:U96" si="34">T87*U$70</f>
        <v>10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Approved'!$C$12</f>
        <v>2.9999999999999997E-4</v>
      </c>
      <c r="D88" s="42">
        <f t="shared" si="27"/>
        <v>0.3</v>
      </c>
      <c r="E88" s="114">
        <f>'2016 Proposed'!$C$13</f>
        <v>1.6000000000000001E-3</v>
      </c>
      <c r="F88" s="7">
        <f t="shared" si="28"/>
        <v>1.6</v>
      </c>
      <c r="G88" s="85"/>
      <c r="H88" s="59">
        <f>'2015 Approved'!$N$12</f>
        <v>2.0000000000000001E-4</v>
      </c>
      <c r="I88" s="42">
        <f t="shared" si="29"/>
        <v>0.2</v>
      </c>
      <c r="J88" s="114">
        <f>'2016 Proposed'!$C$13</f>
        <v>1.6000000000000001E-3</v>
      </c>
      <c r="K88" s="7">
        <f t="shared" si="30"/>
        <v>1.6</v>
      </c>
      <c r="L88" s="85"/>
      <c r="M88" s="59">
        <f>'2015 Approved'!$U$12</f>
        <v>1.2999999999999999E-3</v>
      </c>
      <c r="N88" s="42">
        <f t="shared" si="31"/>
        <v>1.3</v>
      </c>
      <c r="O88" s="114">
        <f>'2016 Proposed'!$C$13</f>
        <v>1.6000000000000001E-3</v>
      </c>
      <c r="P88" s="7">
        <f t="shared" si="32"/>
        <v>1.6</v>
      </c>
      <c r="Q88" s="85"/>
      <c r="R88" s="59">
        <f>'2015 Approved'!$Y$12</f>
        <v>5.5999999999999999E-3</v>
      </c>
      <c r="S88" s="42">
        <f t="shared" si="33"/>
        <v>5.6</v>
      </c>
      <c r="T88" s="114">
        <f>'2016 Proposed'!$C$13</f>
        <v>1.6000000000000001E-3</v>
      </c>
      <c r="U88" s="7">
        <f t="shared" si="34"/>
        <v>1.6</v>
      </c>
      <c r="V88" s="85"/>
    </row>
    <row r="89" spans="1:22" x14ac:dyDescent="0.25">
      <c r="A89" s="139">
        <f t="shared" si="18"/>
        <v>20</v>
      </c>
      <c r="B89" s="85" t="s">
        <v>87</v>
      </c>
      <c r="C89" s="59">
        <f>'2015 Approved'!$C$13</f>
        <v>0</v>
      </c>
      <c r="D89" s="42">
        <f t="shared" si="27"/>
        <v>0</v>
      </c>
      <c r="E89" s="114">
        <f>'2016 Proposed'!$C$14</f>
        <v>0</v>
      </c>
      <c r="F89" s="7">
        <f t="shared" si="28"/>
        <v>0</v>
      </c>
      <c r="G89" s="85"/>
      <c r="H89" s="59">
        <f>'2015 Approved'!$N$13</f>
        <v>2.0000000000000001E-4</v>
      </c>
      <c r="I89" s="42">
        <f t="shared" si="29"/>
        <v>0.2</v>
      </c>
      <c r="J89" s="114">
        <f>'2016 Proposed'!$C$14</f>
        <v>0</v>
      </c>
      <c r="K89" s="7">
        <f t="shared" si="30"/>
        <v>0</v>
      </c>
      <c r="L89" s="85"/>
      <c r="M89" s="59">
        <f>'2015 Approved'!$U$13</f>
        <v>0</v>
      </c>
      <c r="N89" s="42">
        <f t="shared" si="31"/>
        <v>0</v>
      </c>
      <c r="O89" s="114">
        <f>'2016 Proposed'!$C$14</f>
        <v>0</v>
      </c>
      <c r="P89" s="7">
        <f t="shared" si="32"/>
        <v>0</v>
      </c>
      <c r="Q89" s="85"/>
      <c r="R89" s="59">
        <f>'2015 Approved'!$Y$13</f>
        <v>0</v>
      </c>
      <c r="S89" s="42">
        <f t="shared" si="33"/>
        <v>0</v>
      </c>
      <c r="T89" s="114">
        <f>'2016 Proposed'!$C$14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Approved'!$C$14</f>
        <v>5.9999999999999995E-4</v>
      </c>
      <c r="D90" s="42">
        <f t="shared" si="27"/>
        <v>0.6</v>
      </c>
      <c r="E90" s="114">
        <f>'2016 Proposed'!$C$15</f>
        <v>6.9999999999999999E-4</v>
      </c>
      <c r="F90" s="7">
        <f t="shared" si="28"/>
        <v>0.7</v>
      </c>
      <c r="G90" s="85"/>
      <c r="H90" s="59">
        <f>'2015 Approved'!$N$14</f>
        <v>2.0000000000000001E-4</v>
      </c>
      <c r="I90" s="42">
        <f t="shared" si="29"/>
        <v>0.2</v>
      </c>
      <c r="J90" s="114">
        <f>'2016 Proposed'!$C$15</f>
        <v>6.9999999999999999E-4</v>
      </c>
      <c r="K90" s="7">
        <f t="shared" si="30"/>
        <v>0.7</v>
      </c>
      <c r="L90" s="85"/>
      <c r="M90" s="59">
        <f>'2015 Approved'!$U$14</f>
        <v>0</v>
      </c>
      <c r="N90" s="42">
        <f t="shared" si="31"/>
        <v>0</v>
      </c>
      <c r="O90" s="114">
        <f>'2016 Proposed'!$C$15</f>
        <v>6.9999999999999999E-4</v>
      </c>
      <c r="P90" s="7">
        <f t="shared" si="32"/>
        <v>0.7</v>
      </c>
      <c r="Q90" s="85"/>
      <c r="R90" s="59">
        <f>'2015 Approved'!$Y$14</f>
        <v>0</v>
      </c>
      <c r="S90" s="42">
        <f t="shared" si="33"/>
        <v>0</v>
      </c>
      <c r="T90" s="114">
        <f>'2016 Proposed'!$C$15</f>
        <v>6.9999999999999999E-4</v>
      </c>
      <c r="U90" s="7">
        <f t="shared" si="34"/>
        <v>0.7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Approved'!$C$15</f>
        <v>-1E-4</v>
      </c>
      <c r="D91" s="42">
        <f t="shared" si="27"/>
        <v>-0.1</v>
      </c>
      <c r="E91" s="114">
        <f>'2016 Proposed'!$C$16</f>
        <v>0</v>
      </c>
      <c r="F91" s="7">
        <f t="shared" si="28"/>
        <v>0</v>
      </c>
      <c r="G91" s="85"/>
      <c r="H91" s="59">
        <f>'2015 Approved'!$N$15</f>
        <v>-1E-4</v>
      </c>
      <c r="I91" s="42">
        <f t="shared" si="29"/>
        <v>-0.1</v>
      </c>
      <c r="J91" s="114">
        <f>'2016 Proposed'!$C$16</f>
        <v>0</v>
      </c>
      <c r="K91" s="7">
        <f t="shared" si="30"/>
        <v>0</v>
      </c>
      <c r="L91" s="85"/>
      <c r="M91" s="59">
        <f>'2015 Approved'!$U$15</f>
        <v>0</v>
      </c>
      <c r="N91" s="42">
        <f t="shared" si="31"/>
        <v>0</v>
      </c>
      <c r="O91" s="114">
        <f>'2016 Proposed'!$C$16</f>
        <v>0</v>
      </c>
      <c r="P91" s="7">
        <f t="shared" si="32"/>
        <v>0</v>
      </c>
      <c r="Q91" s="85"/>
      <c r="R91" s="59">
        <f>'2015 Approved'!$Y$15</f>
        <v>0</v>
      </c>
      <c r="S91" s="42">
        <f t="shared" si="33"/>
        <v>0</v>
      </c>
      <c r="T91" s="114">
        <f>'2016 Proposed'!$C$16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101</v>
      </c>
      <c r="C92" s="59">
        <f>'2015 Approved'!$C$16</f>
        <v>0</v>
      </c>
      <c r="D92" s="42">
        <f t="shared" si="27"/>
        <v>0</v>
      </c>
      <c r="E92" s="114">
        <f>'2016 Proposed'!$C$17</f>
        <v>0</v>
      </c>
      <c r="F92" s="7">
        <f t="shared" si="28"/>
        <v>0</v>
      </c>
      <c r="G92" s="85"/>
      <c r="H92" s="59">
        <f>'2015 Approved'!$N$16</f>
        <v>0</v>
      </c>
      <c r="I92" s="42">
        <f t="shared" si="29"/>
        <v>0</v>
      </c>
      <c r="J92" s="114">
        <f>'2016 Proposed'!$C$17</f>
        <v>0</v>
      </c>
      <c r="K92" s="7">
        <f t="shared" si="30"/>
        <v>0</v>
      </c>
      <c r="L92" s="85"/>
      <c r="M92" s="59">
        <f>'2015 Approved'!$U$16</f>
        <v>4.0000000000000002E-4</v>
      </c>
      <c r="N92" s="42">
        <f t="shared" si="31"/>
        <v>0.4</v>
      </c>
      <c r="O92" s="114">
        <f>M92</f>
        <v>4.0000000000000002E-4</v>
      </c>
      <c r="P92" s="7">
        <f t="shared" si="32"/>
        <v>0.4</v>
      </c>
      <c r="Q92" s="85"/>
      <c r="R92" s="59">
        <f>'2015 Approved'!$Y$16</f>
        <v>2.3E-3</v>
      </c>
      <c r="S92" s="42">
        <f t="shared" si="33"/>
        <v>2.2999999999999998</v>
      </c>
      <c r="T92" s="114">
        <f>R92</f>
        <v>2.3E-3</v>
      </c>
      <c r="U92" s="7">
        <f t="shared" si="34"/>
        <v>2.2999999999999998</v>
      </c>
      <c r="V92" s="85"/>
    </row>
    <row r="93" spans="1:22" x14ac:dyDescent="0.25">
      <c r="A93" s="139">
        <f t="shared" si="18"/>
        <v>24</v>
      </c>
      <c r="B93" s="85" t="s">
        <v>112</v>
      </c>
      <c r="C93" s="59">
        <f>'2015 Approved'!$C$17</f>
        <v>2.2000000000000001E-3</v>
      </c>
      <c r="D93" s="42">
        <f t="shared" si="27"/>
        <v>2.2000000000000002</v>
      </c>
      <c r="E93" s="114">
        <f>'2016 Proposed'!$C$18</f>
        <v>0</v>
      </c>
      <c r="F93" s="7">
        <f t="shared" si="28"/>
        <v>0</v>
      </c>
      <c r="G93" s="85"/>
      <c r="H93" s="59">
        <f>'2015 Approved'!$N$17</f>
        <v>1.4E-3</v>
      </c>
      <c r="I93" s="42">
        <f t="shared" si="29"/>
        <v>1.4</v>
      </c>
      <c r="J93" s="114">
        <f>'2016 Proposed'!$C$18</f>
        <v>0</v>
      </c>
      <c r="K93" s="7">
        <f t="shared" si="30"/>
        <v>0</v>
      </c>
      <c r="L93" s="85"/>
      <c r="M93" s="59">
        <f>'2015 Approved'!$U$17</f>
        <v>1.6000000000000001E-3</v>
      </c>
      <c r="N93" s="42">
        <f t="shared" si="31"/>
        <v>1.6</v>
      </c>
      <c r="O93" s="114">
        <f>'2016 Proposed'!$C$18</f>
        <v>0</v>
      </c>
      <c r="P93" s="7">
        <f t="shared" si="32"/>
        <v>0</v>
      </c>
      <c r="Q93" s="85"/>
      <c r="R93" s="59">
        <f>'2015 Approved'!$Y$17</f>
        <v>5.8999999999999999E-3</v>
      </c>
      <c r="S93" s="42">
        <f t="shared" si="33"/>
        <v>5.8999999999999995</v>
      </c>
      <c r="T93" s="114">
        <f>'2016 Proposed'!$C$18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102</v>
      </c>
      <c r="C94" s="59">
        <f>'2015 Approved'!$C$18</f>
        <v>0</v>
      </c>
      <c r="D94" s="42">
        <f t="shared" si="27"/>
        <v>0</v>
      </c>
      <c r="E94" s="114">
        <f>'2016 Proposed'!$C$19</f>
        <v>1.5E-3</v>
      </c>
      <c r="F94" s="7">
        <f t="shared" si="28"/>
        <v>1.5</v>
      </c>
      <c r="G94" s="85"/>
      <c r="H94" s="59">
        <f>'2015 Approved'!$N$18</f>
        <v>0</v>
      </c>
      <c r="I94" s="42">
        <f t="shared" si="29"/>
        <v>0</v>
      </c>
      <c r="J94" s="114">
        <f>'2016 Proposed'!$C$19</f>
        <v>1.5E-3</v>
      </c>
      <c r="K94" s="7">
        <f t="shared" si="30"/>
        <v>1.5</v>
      </c>
      <c r="L94" s="85"/>
      <c r="M94" s="59">
        <f>'2015 Approved'!$U$18</f>
        <v>0</v>
      </c>
      <c r="N94" s="42">
        <f t="shared" si="31"/>
        <v>0</v>
      </c>
      <c r="O94" s="114">
        <f>'2016 Proposed'!$C$19</f>
        <v>1.5E-3</v>
      </c>
      <c r="P94" s="7">
        <f t="shared" si="32"/>
        <v>1.5</v>
      </c>
      <c r="Q94" s="85"/>
      <c r="R94" s="59">
        <f>'2015 Approved'!$Y$18</f>
        <v>0</v>
      </c>
      <c r="S94" s="42">
        <f t="shared" si="33"/>
        <v>0</v>
      </c>
      <c r="T94" s="114">
        <f>'2016 Proposed'!$C$19</f>
        <v>1.5E-3</v>
      </c>
      <c r="U94" s="7">
        <f t="shared" si="34"/>
        <v>1.5</v>
      </c>
      <c r="V94" s="85"/>
    </row>
    <row r="95" spans="1:22" x14ac:dyDescent="0.25">
      <c r="A95" s="139">
        <f t="shared" si="18"/>
        <v>26</v>
      </c>
      <c r="B95" s="85" t="s">
        <v>94</v>
      </c>
      <c r="C95" s="59">
        <f>'2015 Approved'!$C$19</f>
        <v>0</v>
      </c>
      <c r="D95" s="42">
        <f t="shared" si="27"/>
        <v>0</v>
      </c>
      <c r="E95" s="114">
        <f>'2016 Proposed'!$C$20</f>
        <v>6.9999999999999999E-4</v>
      </c>
      <c r="F95" s="7">
        <f t="shared" si="28"/>
        <v>0.7</v>
      </c>
      <c r="G95" s="85"/>
      <c r="H95" s="59">
        <f>'2015 Approved'!$N$19</f>
        <v>0</v>
      </c>
      <c r="I95" s="42">
        <f t="shared" si="29"/>
        <v>0</v>
      </c>
      <c r="J95" s="114">
        <f>'2016 Proposed'!$C$20</f>
        <v>6.9999999999999999E-4</v>
      </c>
      <c r="K95" s="7">
        <f t="shared" si="30"/>
        <v>0.7</v>
      </c>
      <c r="L95" s="85"/>
      <c r="M95" s="59">
        <f>'2015 Approved'!$U$19</f>
        <v>0</v>
      </c>
      <c r="N95" s="42">
        <f t="shared" si="31"/>
        <v>0</v>
      </c>
      <c r="O95" s="114">
        <f>'2016 Proposed'!$C$20</f>
        <v>6.9999999999999999E-4</v>
      </c>
      <c r="P95" s="7">
        <f t="shared" si="32"/>
        <v>0.7</v>
      </c>
      <c r="Q95" s="85"/>
      <c r="R95" s="59">
        <f>'2015 Approved'!$Y$19</f>
        <v>0</v>
      </c>
      <c r="S95" s="42">
        <f t="shared" si="33"/>
        <v>0</v>
      </c>
      <c r="T95" s="114">
        <f>'2016 Proposed'!$C$20</f>
        <v>6.9999999999999999E-4</v>
      </c>
      <c r="U95" s="7">
        <f t="shared" si="34"/>
        <v>0.7</v>
      </c>
      <c r="V95" s="85"/>
    </row>
    <row r="96" spans="1:22" x14ac:dyDescent="0.25">
      <c r="A96" s="139">
        <f t="shared" si="18"/>
        <v>27</v>
      </c>
      <c r="B96" s="85" t="s">
        <v>104</v>
      </c>
      <c r="C96" s="59">
        <f>'2015 Approved'!$C$20</f>
        <v>0</v>
      </c>
      <c r="D96" s="42">
        <f t="shared" si="27"/>
        <v>0</v>
      </c>
      <c r="E96" s="114">
        <f>'2016 Proposed'!$C$21</f>
        <v>-2.2000000000000001E-3</v>
      </c>
      <c r="F96" s="7">
        <f t="shared" si="28"/>
        <v>-2.2000000000000002</v>
      </c>
      <c r="G96" s="85"/>
      <c r="H96" s="59">
        <f>'2015 Approved'!$N$20</f>
        <v>0</v>
      </c>
      <c r="I96" s="42">
        <f t="shared" si="29"/>
        <v>0</v>
      </c>
      <c r="J96" s="114">
        <f>'2016 Proposed'!$C$21</f>
        <v>-2.2000000000000001E-3</v>
      </c>
      <c r="K96" s="7">
        <f t="shared" si="30"/>
        <v>-2.2000000000000002</v>
      </c>
      <c r="L96" s="85"/>
      <c r="M96" s="59">
        <f>'2015 Approved'!$U$20</f>
        <v>0</v>
      </c>
      <c r="N96" s="42">
        <f t="shared" si="31"/>
        <v>0</v>
      </c>
      <c r="O96" s="114">
        <f>'2016 Proposed'!$C$21</f>
        <v>-2.2000000000000001E-3</v>
      </c>
      <c r="P96" s="7">
        <f t="shared" si="32"/>
        <v>-2.2000000000000002</v>
      </c>
      <c r="Q96" s="85"/>
      <c r="R96" s="59">
        <f>'2015 Approved'!$Y$20</f>
        <v>0</v>
      </c>
      <c r="S96" s="42">
        <f t="shared" si="33"/>
        <v>0</v>
      </c>
      <c r="T96" s="114">
        <f>'2016 Proposed'!$C$21</f>
        <v>-2.2000000000000001E-3</v>
      </c>
      <c r="U96" s="7">
        <f t="shared" si="34"/>
        <v>-2.2000000000000002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57.81159199999999</v>
      </c>
      <c r="E97" s="110"/>
      <c r="F97" s="95">
        <f>SUM(F81:F96)</f>
        <v>47.572233999999995</v>
      </c>
      <c r="G97" s="127">
        <f>F97-D97</f>
        <v>-10.239357999999996</v>
      </c>
      <c r="H97" s="126"/>
      <c r="I97" s="96">
        <f>SUM(I81:I96)</f>
        <v>38.410111999999998</v>
      </c>
      <c r="J97" s="110"/>
      <c r="K97" s="95">
        <f>SUM(K81:K96)</f>
        <v>47.572233999999995</v>
      </c>
      <c r="L97" s="127">
        <f>K97-I97</f>
        <v>9.1621219999999965</v>
      </c>
      <c r="M97" s="126"/>
      <c r="N97" s="96">
        <f>SUM(N81:N96)</f>
        <v>46.611668000000002</v>
      </c>
      <c r="O97" s="110"/>
      <c r="P97" s="95">
        <f>SUM(P81:P96)</f>
        <v>47.972233999999993</v>
      </c>
      <c r="Q97" s="127">
        <f>P97-N97</f>
        <v>1.3605659999999915</v>
      </c>
      <c r="R97" s="126"/>
      <c r="S97" s="96">
        <f>SUM(S81:S96)</f>
        <v>56.054119999999998</v>
      </c>
      <c r="T97" s="110"/>
      <c r="U97" s="95">
        <f>SUM(U81:U96)</f>
        <v>49.872233999999992</v>
      </c>
      <c r="V97" s="127">
        <f>U97-S97</f>
        <v>-6.1818860000000058</v>
      </c>
    </row>
    <row r="98" spans="1:22" x14ac:dyDescent="0.25">
      <c r="A98" s="144">
        <f t="shared" si="18"/>
        <v>29</v>
      </c>
      <c r="B98" s="145" t="s">
        <v>118</v>
      </c>
      <c r="C98" s="128"/>
      <c r="D98" s="120"/>
      <c r="E98" s="111"/>
      <c r="F98" s="97"/>
      <c r="G98" s="129">
        <f>G97/D97</f>
        <v>-0.17711600123380095</v>
      </c>
      <c r="H98" s="128"/>
      <c r="I98" s="120"/>
      <c r="J98" s="111"/>
      <c r="K98" s="97"/>
      <c r="L98" s="129">
        <f>L97/I97</f>
        <v>0.23853411310021685</v>
      </c>
      <c r="M98" s="128"/>
      <c r="N98" s="120"/>
      <c r="O98" s="111"/>
      <c r="P98" s="97"/>
      <c r="Q98" s="129">
        <f>Q97/N97</f>
        <v>2.9189386657435031E-2</v>
      </c>
      <c r="R98" s="128"/>
      <c r="S98" s="120"/>
      <c r="T98" s="111"/>
      <c r="U98" s="97"/>
      <c r="V98" s="129">
        <f>V97/S97</f>
        <v>-0.11028423958845499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68</v>
      </c>
      <c r="C100" s="59">
        <f>'2015 Approved'!$C$26</f>
        <v>6.4999999999999997E-3</v>
      </c>
      <c r="D100" s="42">
        <f>C100*D$73</f>
        <v>6.7781999999999991</v>
      </c>
      <c r="E100" s="114">
        <f>'2016 Proposed'!$C$28</f>
        <v>6.4000000000000003E-3</v>
      </c>
      <c r="F100" s="7">
        <f>E100*F$73</f>
        <v>6.67584</v>
      </c>
      <c r="G100" s="85"/>
      <c r="H100" s="59">
        <f>'2015 Approved'!$N$26</f>
        <v>6.4999999999999997E-3</v>
      </c>
      <c r="I100" s="42">
        <f>H100*I$73</f>
        <v>6.8951999999999991</v>
      </c>
      <c r="J100" s="114">
        <f>'2016 Proposed'!$C$28</f>
        <v>6.4000000000000003E-3</v>
      </c>
      <c r="K100" s="7">
        <f>J100*K$73</f>
        <v>6.67584</v>
      </c>
      <c r="L100" s="85"/>
      <c r="M100" s="59">
        <f>'2015 Approved'!$U$26</f>
        <v>7.1000000000000004E-3</v>
      </c>
      <c r="N100" s="42">
        <f>M100*N$73</f>
        <v>7.5700200000000004</v>
      </c>
      <c r="O100" s="114">
        <f>'2016 Proposed'!$C$28</f>
        <v>6.4000000000000003E-3</v>
      </c>
      <c r="P100" s="7">
        <f>O100*P$73</f>
        <v>6.67584</v>
      </c>
      <c r="Q100" s="85"/>
      <c r="R100" s="59">
        <f>'2015 Approved'!$Y$26</f>
        <v>6.817114670559849E-3</v>
      </c>
      <c r="S100" s="42">
        <f>R100*S$73</f>
        <v>7.2125073214523203</v>
      </c>
      <c r="T100" s="114">
        <f>'2016 Proposed'!$C$28</f>
        <v>6.4000000000000003E-3</v>
      </c>
      <c r="U100" s="7">
        <f>T100*U$73</f>
        <v>6.67584</v>
      </c>
      <c r="V100" s="85"/>
    </row>
    <row r="101" spans="1:22" x14ac:dyDescent="0.25">
      <c r="A101" s="139">
        <f t="shared" si="18"/>
        <v>32</v>
      </c>
      <c r="B101" s="85" t="s">
        <v>69</v>
      </c>
      <c r="C101" s="59">
        <f>'2015 Approved'!$C$27</f>
        <v>4.7000000000000002E-3</v>
      </c>
      <c r="D101" s="42">
        <f>C101*D$73</f>
        <v>4.90116</v>
      </c>
      <c r="E101" s="114">
        <f>'2016 Proposed'!$C$29</f>
        <v>4.7999999999999996E-3</v>
      </c>
      <c r="F101" s="7">
        <f>E101*F$73</f>
        <v>5.0068799999999989</v>
      </c>
      <c r="G101" s="85"/>
      <c r="H101" s="59">
        <f>'2015 Approved'!$N$27</f>
        <v>4.5999999999999999E-3</v>
      </c>
      <c r="I101" s="42">
        <f>H101*I$73</f>
        <v>4.8796799999999996</v>
      </c>
      <c r="J101" s="114">
        <f>'2016 Proposed'!$C$29</f>
        <v>4.7999999999999996E-3</v>
      </c>
      <c r="K101" s="7">
        <f>J101*K$73</f>
        <v>5.0068799999999989</v>
      </c>
      <c r="L101" s="85"/>
      <c r="M101" s="59">
        <f>'2015 Approved'!$U$27</f>
        <v>5.0000000000000001E-3</v>
      </c>
      <c r="N101" s="42">
        <f>M101*N$73</f>
        <v>5.3310000000000004</v>
      </c>
      <c r="O101" s="114">
        <f>'2016 Proposed'!$C$29</f>
        <v>4.7999999999999996E-3</v>
      </c>
      <c r="P101" s="7">
        <f>O101*P$73</f>
        <v>5.0068799999999989</v>
      </c>
      <c r="Q101" s="85"/>
      <c r="R101" s="59">
        <f>'2015 Approved'!$Y$27</f>
        <v>3.2187423851534214E-3</v>
      </c>
      <c r="S101" s="42">
        <f>R101*S$73</f>
        <v>3.40542944349232</v>
      </c>
      <c r="T101" s="114">
        <f>'2016 Proposed'!$C$29</f>
        <v>4.7999999999999996E-3</v>
      </c>
      <c r="U101" s="7">
        <f>T101*U$73</f>
        <v>5.0068799999999989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11.679359999999999</v>
      </c>
      <c r="E102" s="110"/>
      <c r="F102" s="95">
        <f>SUM(F100:F101)</f>
        <v>11.68272</v>
      </c>
      <c r="G102" s="127">
        <f>F102-D102</f>
        <v>3.3600000000006958E-3</v>
      </c>
      <c r="H102" s="126"/>
      <c r="I102" s="96">
        <f>SUM(I100:I101)</f>
        <v>11.77488</v>
      </c>
      <c r="J102" s="110"/>
      <c r="K102" s="95">
        <f>SUM(K100:K101)</f>
        <v>11.68272</v>
      </c>
      <c r="L102" s="127">
        <f>K102-I102</f>
        <v>-9.2159999999999798E-2</v>
      </c>
      <c r="M102" s="126"/>
      <c r="N102" s="96">
        <f>SUM(N100:N101)</f>
        <v>12.901020000000001</v>
      </c>
      <c r="O102" s="110"/>
      <c r="P102" s="95">
        <f>SUM(P100:P101)</f>
        <v>11.68272</v>
      </c>
      <c r="Q102" s="127">
        <f>P102-N102</f>
        <v>-1.218300000000001</v>
      </c>
      <c r="R102" s="126"/>
      <c r="S102" s="96">
        <f>SUM(S100:S101)</f>
        <v>10.617936764944641</v>
      </c>
      <c r="T102" s="110"/>
      <c r="U102" s="95">
        <f>SUM(U100:U101)</f>
        <v>11.68272</v>
      </c>
      <c r="V102" s="127">
        <f>U102-S102</f>
        <v>1.0647832350553585</v>
      </c>
    </row>
    <row r="103" spans="1:22" x14ac:dyDescent="0.25">
      <c r="A103" s="144">
        <f t="shared" si="18"/>
        <v>34</v>
      </c>
      <c r="B103" s="145" t="s">
        <v>118</v>
      </c>
      <c r="C103" s="128"/>
      <c r="D103" s="120"/>
      <c r="E103" s="111"/>
      <c r="F103" s="97"/>
      <c r="G103" s="129">
        <f>G102/D102</f>
        <v>2.8768699654781562E-4</v>
      </c>
      <c r="H103" s="128"/>
      <c r="I103" s="120"/>
      <c r="J103" s="111"/>
      <c r="K103" s="97"/>
      <c r="L103" s="129">
        <f>L102/I102</f>
        <v>-7.8268313562431038E-3</v>
      </c>
      <c r="M103" s="128"/>
      <c r="N103" s="120"/>
      <c r="O103" s="111"/>
      <c r="P103" s="97"/>
      <c r="Q103" s="129">
        <f>Q102/N102</f>
        <v>-9.4434393559579083E-2</v>
      </c>
      <c r="R103" s="128"/>
      <c r="S103" s="120"/>
      <c r="T103" s="111"/>
      <c r="U103" s="97"/>
      <c r="V103" s="129">
        <f>V102/S102</f>
        <v>0.1002815573898278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66</v>
      </c>
      <c r="C105" s="59">
        <f>WMSR+RRRP</f>
        <v>5.7000000000000002E-3</v>
      </c>
      <c r="D105" s="42">
        <f>C105*D73</f>
        <v>5.9439599999999997</v>
      </c>
      <c r="E105" s="114">
        <f>WMSR+RRRP</f>
        <v>5.7000000000000002E-3</v>
      </c>
      <c r="F105" s="7">
        <f>E105*F73</f>
        <v>5.9456699999999998</v>
      </c>
      <c r="G105" s="85"/>
      <c r="H105" s="59">
        <f>WMSR+RRRP</f>
        <v>5.7000000000000002E-3</v>
      </c>
      <c r="I105" s="42">
        <f>H105*I73</f>
        <v>6.0465600000000004</v>
      </c>
      <c r="J105" s="114">
        <f>WMSR+RRRP</f>
        <v>5.7000000000000002E-3</v>
      </c>
      <c r="K105" s="7">
        <f>J105*K73</f>
        <v>5.9456699999999998</v>
      </c>
      <c r="L105" s="85"/>
      <c r="M105" s="59">
        <f>WMSR+RRRP</f>
        <v>5.7000000000000002E-3</v>
      </c>
      <c r="N105" s="42">
        <f>M105*N73</f>
        <v>6.0773400000000004</v>
      </c>
      <c r="O105" s="114">
        <f>WMSR+RRRP</f>
        <v>5.7000000000000002E-3</v>
      </c>
      <c r="P105" s="7">
        <f>O105*P73</f>
        <v>5.9456699999999998</v>
      </c>
      <c r="Q105" s="85"/>
      <c r="R105" s="59">
        <f>WMSR+RRRP</f>
        <v>5.7000000000000002E-3</v>
      </c>
      <c r="S105" s="42">
        <f>R105*S73</f>
        <v>6.0306000000000006</v>
      </c>
      <c r="T105" s="114">
        <f>WMSR+RRRP</f>
        <v>5.7000000000000002E-3</v>
      </c>
      <c r="U105" s="7">
        <f>T105*U73</f>
        <v>5.9456699999999998</v>
      </c>
      <c r="V105" s="85"/>
    </row>
    <row r="106" spans="1:22" x14ac:dyDescent="0.25">
      <c r="A106" s="139">
        <f t="shared" si="18"/>
        <v>37</v>
      </c>
      <c r="B106" s="85" t="s">
        <v>67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7</v>
      </c>
      <c r="E107" s="114">
        <v>7.0000000000000001E-3</v>
      </c>
      <c r="F107" s="7">
        <f>E107*F70</f>
        <v>7</v>
      </c>
      <c r="G107" s="85"/>
      <c r="H107" s="59">
        <v>7.0000000000000001E-3</v>
      </c>
      <c r="I107" s="42">
        <f>H107*I70</f>
        <v>7</v>
      </c>
      <c r="J107" s="114">
        <v>7.0000000000000001E-3</v>
      </c>
      <c r="K107" s="7">
        <f>J107*K70</f>
        <v>7</v>
      </c>
      <c r="L107" s="85"/>
      <c r="M107" s="59">
        <v>7.0000000000000001E-3</v>
      </c>
      <c r="N107" s="42">
        <f>M107*N70</f>
        <v>7</v>
      </c>
      <c r="O107" s="114">
        <v>7.0000000000000001E-3</v>
      </c>
      <c r="P107" s="7">
        <f>O107*P70</f>
        <v>7</v>
      </c>
      <c r="Q107" s="85"/>
      <c r="R107" s="59">
        <v>7.0000000000000001E-3</v>
      </c>
      <c r="S107" s="42">
        <f>R107*S70</f>
        <v>7</v>
      </c>
      <c r="T107" s="114">
        <v>7.0000000000000001E-3</v>
      </c>
      <c r="U107" s="7">
        <f>T107*U70</f>
        <v>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13.193960000000001</v>
      </c>
      <c r="E109" s="110"/>
      <c r="F109" s="95">
        <f>SUM(F105:F108)</f>
        <v>13.19567</v>
      </c>
      <c r="G109" s="127">
        <f>F109-D109</f>
        <v>1.7099999999992122E-3</v>
      </c>
      <c r="H109" s="126"/>
      <c r="I109" s="96">
        <f>SUM(I105:I108)</f>
        <v>13.296559999999999</v>
      </c>
      <c r="J109" s="110"/>
      <c r="K109" s="95">
        <f>SUM(K105:K108)</f>
        <v>13.19567</v>
      </c>
      <c r="L109" s="127">
        <f>K109-I109</f>
        <v>-0.1008899999999997</v>
      </c>
      <c r="M109" s="126"/>
      <c r="N109" s="96">
        <f>SUM(N105:N108)</f>
        <v>13.32734</v>
      </c>
      <c r="O109" s="110"/>
      <c r="P109" s="95">
        <f>SUM(P105:P108)</f>
        <v>13.19567</v>
      </c>
      <c r="Q109" s="127">
        <f>P109-N109</f>
        <v>-0.13166999999999973</v>
      </c>
      <c r="R109" s="126"/>
      <c r="S109" s="96">
        <f>SUM(S105:S108)</f>
        <v>13.2806</v>
      </c>
      <c r="T109" s="110"/>
      <c r="U109" s="95">
        <f>SUM(U105:U108)</f>
        <v>13.19567</v>
      </c>
      <c r="V109" s="127">
        <f>U109-S109</f>
        <v>-8.492999999999995E-2</v>
      </c>
    </row>
    <row r="110" spans="1:22" x14ac:dyDescent="0.25">
      <c r="A110" s="144">
        <f t="shared" si="18"/>
        <v>41</v>
      </c>
      <c r="B110" s="145" t="s">
        <v>118</v>
      </c>
      <c r="C110" s="128"/>
      <c r="D110" s="120"/>
      <c r="E110" s="111"/>
      <c r="F110" s="97"/>
      <c r="G110" s="129">
        <f>G109/D109</f>
        <v>1.2960475854096966E-4</v>
      </c>
      <c r="H110" s="128"/>
      <c r="I110" s="120"/>
      <c r="J110" s="111"/>
      <c r="K110" s="97"/>
      <c r="L110" s="129">
        <f>L109/I109</f>
        <v>-7.5876768126492645E-3</v>
      </c>
      <c r="M110" s="128"/>
      <c r="N110" s="120"/>
      <c r="O110" s="111"/>
      <c r="P110" s="97"/>
      <c r="Q110" s="129">
        <f>Q109/N109</f>
        <v>-9.8796909210690006E-3</v>
      </c>
      <c r="R110" s="128"/>
      <c r="S110" s="120"/>
      <c r="T110" s="111"/>
      <c r="U110" s="97"/>
      <c r="V110" s="129">
        <f>V109/S109</f>
        <v>-6.3950423926629786E-3</v>
      </c>
    </row>
    <row r="111" spans="1:22" x14ac:dyDescent="0.25">
      <c r="A111" s="147">
        <f t="shared" si="18"/>
        <v>42</v>
      </c>
      <c r="B111" s="133" t="s">
        <v>129</v>
      </c>
      <c r="C111" s="132"/>
      <c r="D111" s="122">
        <f>D78+D97+D102+D109</f>
        <v>184.82491200000001</v>
      </c>
      <c r="E111" s="115"/>
      <c r="F111" s="102">
        <f>F78+F97+F102+F109</f>
        <v>174.59062399999999</v>
      </c>
      <c r="G111" s="133"/>
      <c r="H111" s="132"/>
      <c r="I111" s="122">
        <f>I78+I97+I102+I109</f>
        <v>165.62155200000001</v>
      </c>
      <c r="J111" s="115"/>
      <c r="K111" s="102">
        <f>K78+K97+K102+K109</f>
        <v>174.59062399999999</v>
      </c>
      <c r="L111" s="133"/>
      <c r="M111" s="132"/>
      <c r="N111" s="122">
        <f>N78+N97+N102+N109</f>
        <v>174.98002799999998</v>
      </c>
      <c r="O111" s="115"/>
      <c r="P111" s="102">
        <f>P78+P97+P102+P109</f>
        <v>174.990624</v>
      </c>
      <c r="Q111" s="133"/>
      <c r="R111" s="132"/>
      <c r="S111" s="122">
        <f>S78+S97+S102+S109</f>
        <v>182.09265676494462</v>
      </c>
      <c r="T111" s="115"/>
      <c r="U111" s="102">
        <f>U78+U97+U102+U109</f>
        <v>176.89062399999997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24.027238560000001</v>
      </c>
      <c r="E112" s="116"/>
      <c r="F112" s="99">
        <f>F111*0.13</f>
        <v>22.696781120000001</v>
      </c>
      <c r="G112" s="134"/>
      <c r="H112" s="87"/>
      <c r="I112" s="43">
        <f>I111*0.13</f>
        <v>21.530801760000003</v>
      </c>
      <c r="J112" s="116"/>
      <c r="K112" s="99">
        <f>K111*0.13</f>
        <v>22.696781120000001</v>
      </c>
      <c r="L112" s="134"/>
      <c r="M112" s="87"/>
      <c r="N112" s="43">
        <f>N111*0.13</f>
        <v>22.747403639999998</v>
      </c>
      <c r="O112" s="116"/>
      <c r="P112" s="99">
        <f>P111*0.13</f>
        <v>22.74878112</v>
      </c>
      <c r="Q112" s="134"/>
      <c r="R112" s="87"/>
      <c r="S112" s="43">
        <f>S111*0.13</f>
        <v>23.672045379442803</v>
      </c>
      <c r="T112" s="116"/>
      <c r="U112" s="99">
        <f>U111*0.13</f>
        <v>22.995781119999997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-20.885215056000003</v>
      </c>
      <c r="E113" s="117"/>
      <c r="F113" s="70">
        <f>SUM(F111:F112)*-0.1</f>
        <v>-19.728740512000002</v>
      </c>
      <c r="G113" s="125"/>
      <c r="H113" s="88"/>
      <c r="I113" s="69">
        <f>SUM(I111:I112)*-0.1</f>
        <v>-18.715235376000003</v>
      </c>
      <c r="J113" s="117"/>
      <c r="K113" s="70">
        <f>SUM(K111:K112)*-0.1</f>
        <v>-19.728740512000002</v>
      </c>
      <c r="L113" s="125"/>
      <c r="M113" s="88"/>
      <c r="N113" s="69">
        <f>SUM(N111:N112)*-0.1</f>
        <v>-19.772743163999998</v>
      </c>
      <c r="O113" s="117"/>
      <c r="P113" s="70">
        <f>SUM(P111:P112)*-0.1</f>
        <v>-19.773940511999999</v>
      </c>
      <c r="Q113" s="125"/>
      <c r="R113" s="88"/>
      <c r="S113" s="69">
        <f>SUM(S111:S112)*-0.1</f>
        <v>-20.576470214438743</v>
      </c>
      <c r="T113" s="117"/>
      <c r="U113" s="70">
        <f>SUM(U111:U112)*-0.1</f>
        <v>-19.988640512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187.96693550400002</v>
      </c>
      <c r="E114" s="118"/>
      <c r="F114" s="103">
        <f>SUM(F111:F113)</f>
        <v>177.55866460799999</v>
      </c>
      <c r="G114" s="136">
        <f>F114-D114</f>
        <v>-10.408270896000033</v>
      </c>
      <c r="H114" s="135"/>
      <c r="I114" s="104">
        <f>SUM(I111:I113)</f>
        <v>168.437118384</v>
      </c>
      <c r="J114" s="118"/>
      <c r="K114" s="103">
        <f>SUM(K111:K113)</f>
        <v>177.55866460799999</v>
      </c>
      <c r="L114" s="136">
        <f>K114-I114</f>
        <v>9.1215462239999852</v>
      </c>
      <c r="M114" s="135"/>
      <c r="N114" s="104">
        <f>SUM(N111:N113)</f>
        <v>177.95468847599997</v>
      </c>
      <c r="O114" s="118"/>
      <c r="P114" s="103">
        <f>SUM(P111:P113)</f>
        <v>177.96546460799999</v>
      </c>
      <c r="Q114" s="136">
        <f>P114-N114</f>
        <v>1.0776132000017924E-2</v>
      </c>
      <c r="R114" s="135"/>
      <c r="S114" s="104">
        <f>SUM(S111:S113)</f>
        <v>185.1882319299487</v>
      </c>
      <c r="T114" s="118"/>
      <c r="U114" s="103">
        <f>SUM(U111:U113)</f>
        <v>179.89776460799999</v>
      </c>
      <c r="V114" s="136">
        <f>U114-S114</f>
        <v>-5.2904673219487108</v>
      </c>
    </row>
    <row r="115" spans="1:22" x14ac:dyDescent="0.25">
      <c r="A115" s="151">
        <f t="shared" si="18"/>
        <v>46</v>
      </c>
      <c r="B115" s="152" t="s">
        <v>118</v>
      </c>
      <c r="C115" s="137"/>
      <c r="D115" s="123"/>
      <c r="E115" s="119"/>
      <c r="F115" s="105"/>
      <c r="G115" s="138">
        <f>G114/D114</f>
        <v>-5.5372881768232803E-2</v>
      </c>
      <c r="H115" s="137"/>
      <c r="I115" s="123"/>
      <c r="J115" s="119"/>
      <c r="K115" s="105"/>
      <c r="L115" s="138">
        <f>L114/I114</f>
        <v>5.4154014931583214E-2</v>
      </c>
      <c r="M115" s="137"/>
      <c r="N115" s="123"/>
      <c r="O115" s="119"/>
      <c r="P115" s="105"/>
      <c r="Q115" s="138">
        <f>Q114/N114</f>
        <v>6.0555482366351125E-5</v>
      </c>
      <c r="R115" s="137"/>
      <c r="S115" s="123"/>
      <c r="T115" s="119"/>
      <c r="U115" s="105"/>
      <c r="V115" s="138">
        <f>V114/S114</f>
        <v>-2.8568053524858642E-2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127</v>
      </c>
      <c r="C117" s="202">
        <f>'2015 Approved'!$C$23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Approved'!$N$23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Approved'!$Y$23</f>
        <v>3.0999999999999999E-3</v>
      </c>
      <c r="S117" s="43">
        <f>R117*S70</f>
        <v>3.1</v>
      </c>
      <c r="T117" s="203">
        <f>R117</f>
        <v>3.0999999999999999E-3</v>
      </c>
      <c r="U117" s="7">
        <f>T117*U70</f>
        <v>3.1</v>
      </c>
      <c r="V117" s="134"/>
    </row>
    <row r="118" spans="1:22" x14ac:dyDescent="0.25">
      <c r="A118" s="148">
        <f>A117+1</f>
        <v>49</v>
      </c>
      <c r="B118" s="85" t="s">
        <v>128</v>
      </c>
      <c r="C118" s="59">
        <f>'2015 Approved'!$C$24</f>
        <v>4.7000000000000002E-3</v>
      </c>
      <c r="D118" s="42">
        <f>C118*D70</f>
        <v>4.7</v>
      </c>
      <c r="E118" s="203">
        <f>'2016 Proposed'!$C$26</f>
        <v>3.5999999999999999E-3</v>
      </c>
      <c r="F118" s="7">
        <f>E118*F70</f>
        <v>3.6</v>
      </c>
      <c r="G118" s="85"/>
      <c r="H118" s="59">
        <f>'2015 Approved'!$N$24</f>
        <v>-8.0000000000000004E-4</v>
      </c>
      <c r="I118" s="42">
        <f>H118*I70</f>
        <v>-0.8</v>
      </c>
      <c r="J118" s="114">
        <f>'2016 Proposed'!$C$26</f>
        <v>3.5999999999999999E-3</v>
      </c>
      <c r="K118" s="7">
        <f>J118*K70</f>
        <v>3.6</v>
      </c>
      <c r="L118" s="85"/>
      <c r="M118" s="59">
        <f>'2015 Approved'!$U$24</f>
        <v>-4.0000000000000002E-4</v>
      </c>
      <c r="N118" s="42">
        <f>M118*N70</f>
        <v>-0.4</v>
      </c>
      <c r="O118" s="114">
        <f>'2016 Proposed'!$C$26</f>
        <v>3.5999999999999999E-3</v>
      </c>
      <c r="P118" s="7">
        <f>O118*P70</f>
        <v>3.6</v>
      </c>
      <c r="Q118" s="85"/>
      <c r="R118" s="59">
        <f>'2015 Approved'!$Y$24</f>
        <v>-2.9999999999999997E-4</v>
      </c>
      <c r="S118" s="42">
        <f>R118*S70</f>
        <v>-0.3</v>
      </c>
      <c r="T118" s="114">
        <f>'2016 Proposed'!$C$26</f>
        <v>3.5999999999999999E-3</v>
      </c>
      <c r="U118" s="7">
        <f>T118*U70</f>
        <v>3.6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189.524912</v>
      </c>
      <c r="E119" s="106"/>
      <c r="F119" s="7">
        <f>F111+SUM(F117:F118)</f>
        <v>178.19062399999999</v>
      </c>
      <c r="G119" s="85"/>
      <c r="H119" s="86"/>
      <c r="I119" s="42">
        <f>I111+I118+I117</f>
        <v>164.821552</v>
      </c>
      <c r="J119" s="106"/>
      <c r="K119" s="7">
        <f>K111+K118+K117</f>
        <v>178.19062399999999</v>
      </c>
      <c r="L119" s="85"/>
      <c r="M119" s="86"/>
      <c r="N119" s="42">
        <f>N111+N118+N117</f>
        <v>174.58002799999997</v>
      </c>
      <c r="O119" s="106"/>
      <c r="P119" s="7">
        <f>P111+P118+P117</f>
        <v>178.59062399999999</v>
      </c>
      <c r="Q119" s="85"/>
      <c r="R119" s="86"/>
      <c r="S119" s="42">
        <f>S111+S118+S117</f>
        <v>184.8926567649446</v>
      </c>
      <c r="T119" s="106"/>
      <c r="U119" s="7">
        <f>U111+U118+U117</f>
        <v>183.59062399999996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24.638238560000001</v>
      </c>
      <c r="E120" s="106"/>
      <c r="F120" s="7">
        <f>F119*0.13</f>
        <v>23.164781120000001</v>
      </c>
      <c r="G120" s="85"/>
      <c r="H120" s="86"/>
      <c r="I120" s="42">
        <f>I119*0.13</f>
        <v>21.42680176</v>
      </c>
      <c r="J120" s="106"/>
      <c r="K120" s="7">
        <f>K119*0.13</f>
        <v>23.164781120000001</v>
      </c>
      <c r="L120" s="85"/>
      <c r="M120" s="86"/>
      <c r="N120" s="42">
        <f>N119*0.13</f>
        <v>22.695403639999999</v>
      </c>
      <c r="O120" s="106"/>
      <c r="P120" s="7">
        <f>P119*0.13</f>
        <v>23.21678112</v>
      </c>
      <c r="Q120" s="85"/>
      <c r="R120" s="86"/>
      <c r="S120" s="42">
        <f>S119*0.13</f>
        <v>24.0360453794428</v>
      </c>
      <c r="T120" s="106"/>
      <c r="U120" s="7">
        <f>U119*0.13</f>
        <v>23.866781119999995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-21.416315056000002</v>
      </c>
      <c r="E121" s="106"/>
      <c r="F121" s="7">
        <f>SUM(F119:F120)*-0.1</f>
        <v>-20.135540512000002</v>
      </c>
      <c r="G121" s="85"/>
      <c r="H121" s="86"/>
      <c r="I121" s="42">
        <f>SUM(I119:I120)*-0.1</f>
        <v>-18.624835376</v>
      </c>
      <c r="J121" s="106"/>
      <c r="K121" s="7">
        <f>SUM(K119:K120)*-0.1</f>
        <v>-20.135540512000002</v>
      </c>
      <c r="L121" s="85"/>
      <c r="M121" s="86"/>
      <c r="N121" s="42">
        <f>SUM(N119:N120)*-0.1</f>
        <v>-19.727543163999997</v>
      </c>
      <c r="O121" s="106"/>
      <c r="P121" s="7">
        <f>SUM(P119:P120)*-0.1</f>
        <v>-20.180740512</v>
      </c>
      <c r="Q121" s="85"/>
      <c r="R121" s="86"/>
      <c r="S121" s="42">
        <f>SUM(S119:S120)*-0.1</f>
        <v>-20.892870214438744</v>
      </c>
      <c r="T121" s="106"/>
      <c r="U121" s="7">
        <f>SUM(U119:U120)*-0.1</f>
        <v>-20.745740511999998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192.74683550399999</v>
      </c>
      <c r="E122" s="181"/>
      <c r="F122" s="182">
        <f>SUM(F119:F121)</f>
        <v>181.21986460799999</v>
      </c>
      <c r="G122" s="183">
        <f>F122-D122</f>
        <v>-11.526970895999995</v>
      </c>
      <c r="H122" s="179"/>
      <c r="I122" s="180">
        <f>SUM(I119:I121)</f>
        <v>167.62351838399999</v>
      </c>
      <c r="J122" s="181"/>
      <c r="K122" s="182">
        <f>SUM(K119:K121)</f>
        <v>181.21986460799999</v>
      </c>
      <c r="L122" s="183">
        <f>K122-I122</f>
        <v>13.596346224000001</v>
      </c>
      <c r="M122" s="179"/>
      <c r="N122" s="180">
        <f>SUM(N119:N121)</f>
        <v>177.54788847599997</v>
      </c>
      <c r="O122" s="181"/>
      <c r="P122" s="182">
        <f>SUM(P119:P121)</f>
        <v>181.626664608</v>
      </c>
      <c r="Q122" s="183">
        <f>P122-N122</f>
        <v>4.07877613200003</v>
      </c>
      <c r="R122" s="179"/>
      <c r="S122" s="180">
        <f>SUM(S119:S121)</f>
        <v>188.03583192994867</v>
      </c>
      <c r="T122" s="181"/>
      <c r="U122" s="182">
        <f>SUM(U119:U121)</f>
        <v>186.71166460799995</v>
      </c>
      <c r="V122" s="183">
        <f>U122-S122</f>
        <v>-1.3241673219487211</v>
      </c>
    </row>
    <row r="123" spans="1:22" ht="15.75" thickBot="1" x14ac:dyDescent="0.3">
      <c r="A123" s="184">
        <f>A122+1</f>
        <v>54</v>
      </c>
      <c r="B123" s="185" t="s">
        <v>118</v>
      </c>
      <c r="C123" s="186"/>
      <c r="D123" s="187"/>
      <c r="E123" s="188"/>
      <c r="F123" s="189"/>
      <c r="G123" s="190">
        <f>G122/D122</f>
        <v>-5.9803684277663693E-2</v>
      </c>
      <c r="H123" s="186"/>
      <c r="I123" s="187"/>
      <c r="J123" s="188"/>
      <c r="K123" s="189"/>
      <c r="L123" s="190">
        <f>L122/I122</f>
        <v>8.1112402096541372E-2</v>
      </c>
      <c r="M123" s="186"/>
      <c r="N123" s="187"/>
      <c r="O123" s="188"/>
      <c r="P123" s="189"/>
      <c r="Q123" s="190">
        <f>Q122/N122</f>
        <v>2.2972822526984762E-2</v>
      </c>
      <c r="R123" s="186"/>
      <c r="S123" s="187"/>
      <c r="T123" s="188"/>
      <c r="U123" s="189"/>
      <c r="V123" s="190">
        <f>V122/S122</f>
        <v>-7.0421010099927638E-3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120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103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103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103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103</v>
      </c>
    </row>
    <row r="126" spans="1:22" x14ac:dyDescent="0.25">
      <c r="A126" s="139">
        <f>A125+1</f>
        <v>56</v>
      </c>
      <c r="B126" s="85" t="s">
        <v>119</v>
      </c>
      <c r="C126" s="86"/>
      <c r="D126" s="42">
        <f>SUM(D81:D84)+D87+D96</f>
        <v>49.65</v>
      </c>
      <c r="E126" s="106"/>
      <c r="F126" s="7">
        <f>SUM(F81:F84)+F87+F96</f>
        <v>37.879999999999995</v>
      </c>
      <c r="G126" s="56">
        <f>F126-D126</f>
        <v>-11.770000000000003</v>
      </c>
      <c r="H126" s="86"/>
      <c r="I126" s="42">
        <f>SUM(I81:I84)+I87+I96</f>
        <v>29.51</v>
      </c>
      <c r="J126" s="106"/>
      <c r="K126" s="7">
        <f>SUM(K81:K84)+K87+K96</f>
        <v>37.879999999999995</v>
      </c>
      <c r="L126" s="56">
        <f>K126-I126</f>
        <v>8.3699999999999939</v>
      </c>
      <c r="M126" s="86"/>
      <c r="N126" s="42">
        <f>SUM(N81:N84)+N87+N96</f>
        <v>35.76</v>
      </c>
      <c r="O126" s="106"/>
      <c r="P126" s="7">
        <f>SUM(P81:P84)+P87+P96</f>
        <v>37.879999999999995</v>
      </c>
      <c r="Q126" s="56">
        <f>P126-N126</f>
        <v>2.1199999999999974</v>
      </c>
      <c r="R126" s="86"/>
      <c r="S126" s="42">
        <f>SUM(S81:S84)+S87+S96</f>
        <v>35.54</v>
      </c>
      <c r="T126" s="106"/>
      <c r="U126" s="7">
        <f>SUM(U81:U84)+U87+U96</f>
        <v>37.879999999999995</v>
      </c>
      <c r="V126" s="56">
        <f>U126-S126</f>
        <v>2.3399999999999963</v>
      </c>
    </row>
    <row r="127" spans="1:22" x14ac:dyDescent="0.25">
      <c r="A127" s="164">
        <f t="shared" ref="A127:A129" si="35">A126+1</f>
        <v>57</v>
      </c>
      <c r="B127" s="165" t="s">
        <v>118</v>
      </c>
      <c r="C127" s="166"/>
      <c r="D127" s="167"/>
      <c r="E127" s="168"/>
      <c r="F127" s="93"/>
      <c r="G127" s="169">
        <f>G126/SUM(D126:D129)</f>
        <v>-0.20359238680021136</v>
      </c>
      <c r="H127" s="166"/>
      <c r="I127" s="167"/>
      <c r="J127" s="168"/>
      <c r="K127" s="93"/>
      <c r="L127" s="169">
        <f>L126/SUM(I126:I129)</f>
        <v>0.21791136667344252</v>
      </c>
      <c r="M127" s="166"/>
      <c r="N127" s="167"/>
      <c r="O127" s="168"/>
      <c r="P127" s="93"/>
      <c r="Q127" s="169">
        <f>Q126/SUM(N126:N129)</f>
        <v>4.5482174120007837E-2</v>
      </c>
      <c r="R127" s="166"/>
      <c r="S127" s="167"/>
      <c r="T127" s="168"/>
      <c r="U127" s="93"/>
      <c r="V127" s="169">
        <f>V126/SUM(S126:S129)</f>
        <v>4.1745370367066624E-2</v>
      </c>
    </row>
    <row r="128" spans="1:22" x14ac:dyDescent="0.25">
      <c r="A128" s="139">
        <f t="shared" si="35"/>
        <v>58</v>
      </c>
      <c r="B128" s="85" t="s">
        <v>121</v>
      </c>
      <c r="C128" s="86"/>
      <c r="D128" s="42">
        <f>D85+SUM(D88:D95)+D86</f>
        <v>8.1615919999999953</v>
      </c>
      <c r="E128" s="106"/>
      <c r="F128" s="7">
        <f>F85+SUM(F88:F95)+F86</f>
        <v>9.6922339999999902</v>
      </c>
      <c r="G128" s="56">
        <f>F128-D128</f>
        <v>1.530641999999995</v>
      </c>
      <c r="H128" s="86"/>
      <c r="I128" s="42">
        <f>I85+SUM(I88:I95)+I86</f>
        <v>8.9001119999999947</v>
      </c>
      <c r="J128" s="106"/>
      <c r="K128" s="7">
        <f>K85+SUM(K88:K95)+K86</f>
        <v>9.6922339999999902</v>
      </c>
      <c r="L128" s="56">
        <f>K128-I128</f>
        <v>0.79212199999999555</v>
      </c>
      <c r="M128" s="86"/>
      <c r="N128" s="42">
        <f>N85+SUM(N88:N95)+N86</f>
        <v>10.851668000000004</v>
      </c>
      <c r="O128" s="106"/>
      <c r="P128" s="7">
        <f>P85+SUM(P88:P95)+P86</f>
        <v>10.092233999999991</v>
      </c>
      <c r="Q128" s="56">
        <f>P128-N128</f>
        <v>-0.75943400000001304</v>
      </c>
      <c r="R128" s="86"/>
      <c r="S128" s="42">
        <f>S85+SUM(S88:S95)+S86</f>
        <v>20.514119999999998</v>
      </c>
      <c r="T128" s="106"/>
      <c r="U128" s="7">
        <f>U85+SUM(U88:U95)+U86</f>
        <v>11.992233999999989</v>
      </c>
      <c r="V128" s="56">
        <f>U128-S128</f>
        <v>-8.5218860000000092</v>
      </c>
    </row>
    <row r="129" spans="1:22" ht="15.75" thickBot="1" x14ac:dyDescent="0.3">
      <c r="A129" s="170">
        <f t="shared" si="35"/>
        <v>59</v>
      </c>
      <c r="B129" s="171" t="s">
        <v>118</v>
      </c>
      <c r="C129" s="172"/>
      <c r="D129" s="173"/>
      <c r="E129" s="174"/>
      <c r="F129" s="175"/>
      <c r="G129" s="176">
        <f>G128/SUM(D126:D129)</f>
        <v>2.6476385566410198E-2</v>
      </c>
      <c r="H129" s="172"/>
      <c r="I129" s="173"/>
      <c r="J129" s="174"/>
      <c r="K129" s="175"/>
      <c r="L129" s="176">
        <f>L128/SUM(I126:I129)</f>
        <v>2.0622746426774169E-2</v>
      </c>
      <c r="M129" s="172"/>
      <c r="N129" s="173"/>
      <c r="O129" s="174"/>
      <c r="P129" s="175"/>
      <c r="Q129" s="176">
        <f>Q128/SUM(N126:N129)</f>
        <v>-1.6292787462572955E-2</v>
      </c>
      <c r="R129" s="172"/>
      <c r="S129" s="173"/>
      <c r="T129" s="174"/>
      <c r="U129" s="175"/>
      <c r="V129" s="176">
        <f>V128/SUM(S126:S129)</f>
        <v>-0.15202960995552173</v>
      </c>
    </row>
    <row r="130" spans="1:22" ht="15.75" thickBot="1" x14ac:dyDescent="0.3"/>
    <row r="131" spans="1:22" x14ac:dyDescent="0.25">
      <c r="A131" s="331" t="s">
        <v>111</v>
      </c>
      <c r="B131" s="333" t="s">
        <v>0</v>
      </c>
      <c r="C131" s="329" t="s">
        <v>115</v>
      </c>
      <c r="D131" s="330"/>
      <c r="E131" s="327" t="s">
        <v>116</v>
      </c>
      <c r="F131" s="327"/>
      <c r="G131" s="328"/>
      <c r="H131" s="329" t="s">
        <v>117</v>
      </c>
      <c r="I131" s="330"/>
      <c r="J131" s="327" t="s">
        <v>116</v>
      </c>
      <c r="K131" s="327"/>
      <c r="L131" s="328"/>
      <c r="M131" s="329" t="s">
        <v>124</v>
      </c>
      <c r="N131" s="330"/>
      <c r="O131" s="327" t="s">
        <v>116</v>
      </c>
      <c r="P131" s="327"/>
      <c r="Q131" s="328"/>
      <c r="R131" s="329" t="s">
        <v>123</v>
      </c>
      <c r="S131" s="330"/>
      <c r="T131" s="327" t="s">
        <v>116</v>
      </c>
      <c r="U131" s="327"/>
      <c r="V131" s="328"/>
    </row>
    <row r="132" spans="1:22" x14ac:dyDescent="0.25">
      <c r="A132" s="332"/>
      <c r="B132" s="334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103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103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103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103</v>
      </c>
    </row>
    <row r="133" spans="1:22" x14ac:dyDescent="0.25">
      <c r="A133" s="139">
        <v>1</v>
      </c>
      <c r="B133" s="85" t="s">
        <v>91</v>
      </c>
      <c r="C133" s="86"/>
      <c r="D133" s="252">
        <v>5000</v>
      </c>
      <c r="E133" s="106"/>
      <c r="F133" s="1">
        <f>D133</f>
        <v>5000</v>
      </c>
      <c r="G133" s="85"/>
      <c r="H133" s="86"/>
      <c r="I133" s="40">
        <f>D133</f>
        <v>5000</v>
      </c>
      <c r="J133" s="106"/>
      <c r="K133" s="1">
        <f>I133</f>
        <v>5000</v>
      </c>
      <c r="L133" s="85"/>
      <c r="M133" s="86"/>
      <c r="N133" s="40">
        <f>D133</f>
        <v>5000</v>
      </c>
      <c r="O133" s="106"/>
      <c r="P133" s="1">
        <f>N133</f>
        <v>5000</v>
      </c>
      <c r="Q133" s="85"/>
      <c r="R133" s="86"/>
      <c r="S133" s="40">
        <f>D133</f>
        <v>5000</v>
      </c>
      <c r="T133" s="106"/>
      <c r="U133" s="1">
        <f>S133</f>
        <v>5000</v>
      </c>
      <c r="V133" s="85"/>
    </row>
    <row r="134" spans="1:22" x14ac:dyDescent="0.25">
      <c r="A134" s="139">
        <f>A133+1</f>
        <v>2</v>
      </c>
      <c r="B134" s="85" t="s">
        <v>92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93</v>
      </c>
      <c r="C136" s="86"/>
      <c r="D136" s="40">
        <f>D133*D135</f>
        <v>5214</v>
      </c>
      <c r="E136" s="106"/>
      <c r="F136" s="1">
        <f>F133*F135</f>
        <v>5215.5</v>
      </c>
      <c r="G136" s="85"/>
      <c r="H136" s="86"/>
      <c r="I136" s="40">
        <f>I133*I135</f>
        <v>5304</v>
      </c>
      <c r="J136" s="106"/>
      <c r="K136" s="1">
        <f>K133*K135</f>
        <v>5215.5</v>
      </c>
      <c r="L136" s="85"/>
      <c r="M136" s="86"/>
      <c r="N136" s="40">
        <f>N133*N135</f>
        <v>5331</v>
      </c>
      <c r="O136" s="106"/>
      <c r="P136" s="1">
        <f>P133*P135</f>
        <v>5215.5</v>
      </c>
      <c r="Q136" s="85"/>
      <c r="R136" s="86"/>
      <c r="S136" s="40">
        <f>S133*S135</f>
        <v>5290</v>
      </c>
      <c r="T136" s="106"/>
      <c r="U136" s="1">
        <f>U133*U135</f>
        <v>5215.5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256</v>
      </c>
      <c r="E138" s="108">
        <f>'General Input'!$B$11</f>
        <v>0.08</v>
      </c>
      <c r="F138" s="7">
        <f>F$133*E138*TOU_OFF</f>
        <v>256</v>
      </c>
      <c r="G138" s="85"/>
      <c r="H138" s="84">
        <f>'General Input'!$B$11</f>
        <v>0.08</v>
      </c>
      <c r="I138" s="42">
        <f>I$133*H138*TOU_OFF</f>
        <v>256</v>
      </c>
      <c r="J138" s="108">
        <f>'General Input'!$B$11</f>
        <v>0.08</v>
      </c>
      <c r="K138" s="7">
        <f>K$133*J138*TOU_OFF</f>
        <v>256</v>
      </c>
      <c r="L138" s="85"/>
      <c r="M138" s="84">
        <f>'General Input'!$B$11</f>
        <v>0.08</v>
      </c>
      <c r="N138" s="42">
        <f>N$133*M138*TOU_OFF</f>
        <v>256</v>
      </c>
      <c r="O138" s="108">
        <f>'General Input'!$B$11</f>
        <v>0.08</v>
      </c>
      <c r="P138" s="7">
        <f>P$133*O138*TOU_OFF</f>
        <v>256</v>
      </c>
      <c r="Q138" s="85"/>
      <c r="R138" s="84">
        <f>'General Input'!$B$11</f>
        <v>0.08</v>
      </c>
      <c r="S138" s="42">
        <f>S$133*R138*TOU_OFF</f>
        <v>256</v>
      </c>
      <c r="T138" s="108">
        <f>'General Input'!$B$11</f>
        <v>0.08</v>
      </c>
      <c r="U138" s="7">
        <f>U$133*T138*TOU_OFF</f>
        <v>256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109.8</v>
      </c>
      <c r="E139" s="108">
        <f>'General Input'!$B$12</f>
        <v>0.122</v>
      </c>
      <c r="F139" s="7">
        <f>F$133*E139*TOU_MID</f>
        <v>109.8</v>
      </c>
      <c r="G139" s="85"/>
      <c r="H139" s="84">
        <f>'General Input'!$B$12</f>
        <v>0.122</v>
      </c>
      <c r="I139" s="42">
        <f>I$133*H139*TOU_MID</f>
        <v>109.8</v>
      </c>
      <c r="J139" s="108">
        <f>'General Input'!$B$12</f>
        <v>0.122</v>
      </c>
      <c r="K139" s="7">
        <f>K$133*J139*TOU_MID</f>
        <v>109.8</v>
      </c>
      <c r="L139" s="85"/>
      <c r="M139" s="84">
        <f>'General Input'!$B$12</f>
        <v>0.122</v>
      </c>
      <c r="N139" s="42">
        <f>N$133*M139*TOU_MID</f>
        <v>109.8</v>
      </c>
      <c r="O139" s="108">
        <f>'General Input'!$B$12</f>
        <v>0.122</v>
      </c>
      <c r="P139" s="7">
        <f>P$133*O139*TOU_MID</f>
        <v>109.8</v>
      </c>
      <c r="Q139" s="85"/>
      <c r="R139" s="84">
        <f>'General Input'!$B$12</f>
        <v>0.122</v>
      </c>
      <c r="S139" s="42">
        <f>S$133*R139*TOU_MID</f>
        <v>109.8</v>
      </c>
      <c r="T139" s="108">
        <f>'General Input'!$B$12</f>
        <v>0.122</v>
      </c>
      <c r="U139" s="7">
        <f>U$133*T139*TOU_MID</f>
        <v>109.8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144.9</v>
      </c>
      <c r="E140" s="109">
        <f>'General Input'!$B$13</f>
        <v>0.161</v>
      </c>
      <c r="F140" s="70">
        <f>F$133*E140*TOU_ON</f>
        <v>144.9</v>
      </c>
      <c r="G140" s="125"/>
      <c r="H140" s="124">
        <f>'General Input'!$B$13</f>
        <v>0.161</v>
      </c>
      <c r="I140" s="69">
        <f>I$133*H140*TOU_ON</f>
        <v>144.9</v>
      </c>
      <c r="J140" s="109">
        <f>'General Input'!$B$13</f>
        <v>0.161</v>
      </c>
      <c r="K140" s="70">
        <f>K$133*J140*TOU_ON</f>
        <v>144.9</v>
      </c>
      <c r="L140" s="125"/>
      <c r="M140" s="124">
        <f>'General Input'!$B$13</f>
        <v>0.161</v>
      </c>
      <c r="N140" s="69">
        <f>N$133*M140*TOU_ON</f>
        <v>144.9</v>
      </c>
      <c r="O140" s="109">
        <f>'General Input'!$B$13</f>
        <v>0.161</v>
      </c>
      <c r="P140" s="70">
        <f>P$133*O140*TOU_ON</f>
        <v>144.9</v>
      </c>
      <c r="Q140" s="125"/>
      <c r="R140" s="124">
        <f>'General Input'!$B$13</f>
        <v>0.161</v>
      </c>
      <c r="S140" s="69">
        <f>S$133*R140*TOU_ON</f>
        <v>144.9</v>
      </c>
      <c r="T140" s="109">
        <f>'General Input'!$B$13</f>
        <v>0.161</v>
      </c>
      <c r="U140" s="70">
        <f>U$133*T140*TOU_ON</f>
        <v>144.9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510.70000000000005</v>
      </c>
      <c r="E141" s="110"/>
      <c r="F141" s="95">
        <f>SUM(F138:F140)</f>
        <v>510.70000000000005</v>
      </c>
      <c r="G141" s="127">
        <f>D141-F141</f>
        <v>0</v>
      </c>
      <c r="H141" s="126"/>
      <c r="I141" s="96">
        <f>SUM(I138:I140)</f>
        <v>510.70000000000005</v>
      </c>
      <c r="J141" s="110"/>
      <c r="K141" s="95">
        <f>SUM(K138:K140)</f>
        <v>510.70000000000005</v>
      </c>
      <c r="L141" s="127">
        <f>I141-K141</f>
        <v>0</v>
      </c>
      <c r="M141" s="126"/>
      <c r="N141" s="96">
        <f>SUM(N138:N140)</f>
        <v>510.70000000000005</v>
      </c>
      <c r="O141" s="110"/>
      <c r="P141" s="95">
        <f>SUM(P138:P140)</f>
        <v>510.70000000000005</v>
      </c>
      <c r="Q141" s="127">
        <f>N141-P141</f>
        <v>0</v>
      </c>
      <c r="R141" s="126"/>
      <c r="S141" s="96">
        <f>SUM(S138:S140)</f>
        <v>510.70000000000005</v>
      </c>
      <c r="T141" s="110"/>
      <c r="U141" s="95">
        <f>SUM(U138:U140)</f>
        <v>510.70000000000005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118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Approved'!$C$4</f>
        <v>34.840000000000003</v>
      </c>
      <c r="D144" s="42">
        <f>C144</f>
        <v>34.840000000000003</v>
      </c>
      <c r="E144" s="113">
        <f>'2016 Proposed'!$C$3</f>
        <v>30.08</v>
      </c>
      <c r="F144" s="7">
        <f>E144</f>
        <v>30.08</v>
      </c>
      <c r="G144" s="85"/>
      <c r="H144" s="55">
        <f>'2015 Approved'!$N$4</f>
        <v>19.059999999999999</v>
      </c>
      <c r="I144" s="42">
        <f>H144</f>
        <v>19.059999999999999</v>
      </c>
      <c r="J144" s="113">
        <f>'2016 Proposed'!$C$3</f>
        <v>30.08</v>
      </c>
      <c r="K144" s="7">
        <f>J144</f>
        <v>30.08</v>
      </c>
      <c r="L144" s="85"/>
      <c r="M144" s="55">
        <f>'2015 Approved'!$U$4</f>
        <v>27.45</v>
      </c>
      <c r="N144" s="42">
        <f>M144</f>
        <v>27.45</v>
      </c>
      <c r="O144" s="113">
        <f>'2016 Proposed'!$C$3</f>
        <v>30.08</v>
      </c>
      <c r="P144" s="7">
        <f>O144</f>
        <v>30.08</v>
      </c>
      <c r="Q144" s="85"/>
      <c r="R144" s="55">
        <f>'2015 Approved'!$Y$4</f>
        <v>22.91</v>
      </c>
      <c r="S144" s="42">
        <f>R144</f>
        <v>22.91</v>
      </c>
      <c r="T144" s="113">
        <f>'2016 Proposed'!$C$3</f>
        <v>30.08</v>
      </c>
      <c r="U144" s="7">
        <f>T144</f>
        <v>30.08</v>
      </c>
      <c r="V144" s="85"/>
    </row>
    <row r="145" spans="1:22" x14ac:dyDescent="0.25">
      <c r="A145" s="139">
        <f t="shared" si="36"/>
        <v>13</v>
      </c>
      <c r="B145" s="85" t="s">
        <v>86</v>
      </c>
      <c r="C145" s="55">
        <f>'2015 Approved'!$C$5</f>
        <v>3.01</v>
      </c>
      <c r="D145" s="42">
        <f t="shared" ref="D145:D148" si="37">C145</f>
        <v>3.01</v>
      </c>
      <c r="E145" s="113">
        <f>'2016 Proposed'!$C$5</f>
        <v>0</v>
      </c>
      <c r="F145" s="7">
        <f t="shared" ref="F145:F148" si="38">E145</f>
        <v>0</v>
      </c>
      <c r="G145" s="85"/>
      <c r="H145" s="55">
        <f>'2015 Approved'!$N$5</f>
        <v>1.23</v>
      </c>
      <c r="I145" s="42">
        <f t="shared" ref="I145:I148" si="39">H145</f>
        <v>1.23</v>
      </c>
      <c r="J145" s="113">
        <f>'2016 Proposed'!$C$5</f>
        <v>0</v>
      </c>
      <c r="K145" s="7">
        <f t="shared" ref="K145:K148" si="40">J145</f>
        <v>0</v>
      </c>
      <c r="L145" s="85"/>
      <c r="M145" s="55">
        <f>'2015 Approved'!$U$5</f>
        <v>2.21</v>
      </c>
      <c r="N145" s="42">
        <f t="shared" ref="N145:N148" si="41">M145</f>
        <v>2.21</v>
      </c>
      <c r="O145" s="113">
        <f>'2016 Proposed'!$C$5</f>
        <v>0</v>
      </c>
      <c r="P145" s="7">
        <f t="shared" ref="P145:P148" si="42">O145</f>
        <v>0</v>
      </c>
      <c r="Q145" s="85"/>
      <c r="R145" s="55">
        <f>'2015 Approved'!$Y$5</f>
        <v>1.23</v>
      </c>
      <c r="S145" s="42">
        <f t="shared" ref="S145:S148" si="43">R145</f>
        <v>1.23</v>
      </c>
      <c r="T145" s="113">
        <f>'2016 Proposed'!$C$5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86</v>
      </c>
      <c r="C146" s="55">
        <f>'2015 Approved'!$C$6</f>
        <v>0</v>
      </c>
      <c r="D146" s="42">
        <f t="shared" si="37"/>
        <v>0</v>
      </c>
      <c r="E146" s="113">
        <f>'2016 Proposed'!$C$6</f>
        <v>0</v>
      </c>
      <c r="F146" s="7">
        <f t="shared" si="38"/>
        <v>0</v>
      </c>
      <c r="G146" s="85"/>
      <c r="H146" s="55">
        <f>'2015 Approved'!$N$6</f>
        <v>4.12</v>
      </c>
      <c r="I146" s="42">
        <f t="shared" si="39"/>
        <v>4.12</v>
      </c>
      <c r="J146" s="113">
        <f>'2016 Proposed'!$C$6</f>
        <v>0</v>
      </c>
      <c r="K146" s="7">
        <f t="shared" si="40"/>
        <v>0</v>
      </c>
      <c r="L146" s="85"/>
      <c r="M146" s="55">
        <f>'2015 Approved'!$U$6</f>
        <v>0</v>
      </c>
      <c r="N146" s="42">
        <f t="shared" si="41"/>
        <v>0</v>
      </c>
      <c r="O146" s="113">
        <f>'2016 Proposed'!$C$6</f>
        <v>0</v>
      </c>
      <c r="P146" s="7">
        <f t="shared" si="42"/>
        <v>0</v>
      </c>
      <c r="Q146" s="85"/>
      <c r="R146" s="55">
        <f>'2015 Approved'!$Y$6</f>
        <v>0</v>
      </c>
      <c r="S146" s="42">
        <f t="shared" si="43"/>
        <v>0</v>
      </c>
      <c r="T146" s="113">
        <f>'2016 Proposed'!$C$6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Approved'!$C$133</f>
        <v>0</v>
      </c>
      <c r="D147" s="42">
        <f t="shared" si="37"/>
        <v>0</v>
      </c>
      <c r="E147" s="113">
        <f>'2016 Proposed'!$C$133</f>
        <v>0</v>
      </c>
      <c r="F147" s="7">
        <f t="shared" si="38"/>
        <v>0</v>
      </c>
      <c r="G147" s="85"/>
      <c r="H147" s="55">
        <f>'2015 Approved'!$N$133</f>
        <v>0</v>
      </c>
      <c r="I147" s="42">
        <f t="shared" si="39"/>
        <v>0</v>
      </c>
      <c r="J147" s="113">
        <f>'2016 Proposed'!$C$133</f>
        <v>0</v>
      </c>
      <c r="K147" s="7">
        <f t="shared" si="40"/>
        <v>0</v>
      </c>
      <c r="L147" s="85"/>
      <c r="M147" s="55">
        <f>'2015 Approved'!$U$133</f>
        <v>0</v>
      </c>
      <c r="N147" s="42">
        <f t="shared" si="41"/>
        <v>0</v>
      </c>
      <c r="O147" s="113">
        <f>'2016 Proposed'!$C$133</f>
        <v>0</v>
      </c>
      <c r="P147" s="7">
        <f t="shared" si="42"/>
        <v>0</v>
      </c>
      <c r="Q147" s="85"/>
      <c r="R147" s="55">
        <f>'2015 Approved'!$Y$133</f>
        <v>0</v>
      </c>
      <c r="S147" s="42">
        <f t="shared" si="43"/>
        <v>0</v>
      </c>
      <c r="T147" s="113">
        <f>'2016 Proposed'!$C$133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95</v>
      </c>
      <c r="C148" s="55">
        <f>'2015 Approved'!$C$8</f>
        <v>0.79</v>
      </c>
      <c r="D148" s="42">
        <f t="shared" si="37"/>
        <v>0.79</v>
      </c>
      <c r="E148" s="113">
        <f>'2016 Proposed'!$C$8</f>
        <v>0.79</v>
      </c>
      <c r="F148" s="7">
        <f t="shared" si="38"/>
        <v>0.79</v>
      </c>
      <c r="G148" s="85"/>
      <c r="H148" s="55">
        <f>'2015 Approved'!$N$8</f>
        <v>0.79</v>
      </c>
      <c r="I148" s="42">
        <f t="shared" si="39"/>
        <v>0.79</v>
      </c>
      <c r="J148" s="113">
        <f>'2016 Proposed'!$C$8</f>
        <v>0.79</v>
      </c>
      <c r="K148" s="7">
        <f t="shared" si="40"/>
        <v>0.79</v>
      </c>
      <c r="L148" s="85"/>
      <c r="M148" s="55">
        <f>'2015 Approved'!$U$8</f>
        <v>0.79</v>
      </c>
      <c r="N148" s="42">
        <f t="shared" si="41"/>
        <v>0.79</v>
      </c>
      <c r="O148" s="113">
        <f>'2016 Proposed'!$C$8</f>
        <v>0.79</v>
      </c>
      <c r="P148" s="7">
        <f t="shared" si="42"/>
        <v>0.79</v>
      </c>
      <c r="Q148" s="85"/>
      <c r="R148" s="55">
        <f>'2015 Approved'!$Y$8</f>
        <v>0.79</v>
      </c>
      <c r="S148" s="42">
        <f t="shared" si="43"/>
        <v>0.79</v>
      </c>
      <c r="T148" s="113">
        <f>'2016 Proposed'!$C$8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0.10214000000000001</v>
      </c>
      <c r="D149" s="42">
        <f>(D136-D133)*C149</f>
        <v>21.857960000000002</v>
      </c>
      <c r="E149" s="114">
        <f>F141/$F$133</f>
        <v>0.10214000000000001</v>
      </c>
      <c r="F149" s="7">
        <f>(F136-F133)*E149</f>
        <v>22.011170000000003</v>
      </c>
      <c r="G149" s="85"/>
      <c r="H149" s="59">
        <f>I141/I133</f>
        <v>0.10214000000000001</v>
      </c>
      <c r="I149" s="42">
        <f>(I136-I133)*H149</f>
        <v>31.050560000000004</v>
      </c>
      <c r="J149" s="114">
        <f>K141/$F$133</f>
        <v>0.10214000000000001</v>
      </c>
      <c r="K149" s="7">
        <f>(K136-K133)*J149</f>
        <v>22.011170000000003</v>
      </c>
      <c r="L149" s="85"/>
      <c r="M149" s="59">
        <f>N141/N133</f>
        <v>0.10214000000000001</v>
      </c>
      <c r="N149" s="42">
        <f>(N136-N133)*M149</f>
        <v>33.808340000000001</v>
      </c>
      <c r="O149" s="114">
        <f>P141/$F$133</f>
        <v>0.10214000000000001</v>
      </c>
      <c r="P149" s="7">
        <f>(P136-P133)*O149</f>
        <v>22.011170000000003</v>
      </c>
      <c r="Q149" s="85"/>
      <c r="R149" s="59">
        <f>S141/S133</f>
        <v>0.10214000000000001</v>
      </c>
      <c r="S149" s="42">
        <f>(S136-S133)*R149</f>
        <v>29.620600000000003</v>
      </c>
      <c r="T149" s="114">
        <f>U141/$F$133</f>
        <v>0.10214000000000001</v>
      </c>
      <c r="U149" s="7">
        <f>(U136-U133)*T149</f>
        <v>22.011170000000003</v>
      </c>
      <c r="V149" s="85"/>
    </row>
    <row r="150" spans="1:22" x14ac:dyDescent="0.25">
      <c r="A150" s="139">
        <f t="shared" si="36"/>
        <v>18</v>
      </c>
      <c r="B150" s="85" t="s">
        <v>90</v>
      </c>
      <c r="C150" s="59">
        <f>'2015 Approved'!$C$11</f>
        <v>1.18E-2</v>
      </c>
      <c r="D150" s="42">
        <f t="shared" ref="D150:D159" si="45">C150*D$133</f>
        <v>59</v>
      </c>
      <c r="E150" s="114">
        <f>'2016 Proposed'!$C$11</f>
        <v>0.01</v>
      </c>
      <c r="F150" s="7">
        <f t="shared" ref="F150:F159" si="46">E150*F$133</f>
        <v>50</v>
      </c>
      <c r="G150" s="85"/>
      <c r="H150" s="59">
        <f>'2015 Approved'!$N$11</f>
        <v>5.1000000000000004E-3</v>
      </c>
      <c r="I150" s="42">
        <f t="shared" ref="I150:I159" si="47">H150*I$133</f>
        <v>25.500000000000004</v>
      </c>
      <c r="J150" s="114">
        <f>'2016 Proposed'!$C$11</f>
        <v>0.01</v>
      </c>
      <c r="K150" s="7">
        <f t="shared" ref="K150:K159" si="48">J150*K$133</f>
        <v>50</v>
      </c>
      <c r="L150" s="85"/>
      <c r="M150" s="59">
        <f>'2015 Approved'!$U$11</f>
        <v>6.1000000000000004E-3</v>
      </c>
      <c r="N150" s="42">
        <f t="shared" ref="N150:N159" si="49">M150*N$133</f>
        <v>30.500000000000004</v>
      </c>
      <c r="O150" s="114">
        <f>'2016 Proposed'!$C$11</f>
        <v>0.01</v>
      </c>
      <c r="P150" s="7">
        <f t="shared" ref="P150:P159" si="50">O150*P$133</f>
        <v>50</v>
      </c>
      <c r="Q150" s="85"/>
      <c r="R150" s="59">
        <f>'2015 Approved'!$Y$11</f>
        <v>1.14E-2</v>
      </c>
      <c r="S150" s="42">
        <f t="shared" ref="S150:S159" si="51">R150*S$133</f>
        <v>57</v>
      </c>
      <c r="T150" s="114">
        <f>'2016 Proposed'!$C$11</f>
        <v>0.01</v>
      </c>
      <c r="U150" s="7">
        <f t="shared" ref="U150:U159" si="52">T150*U$133</f>
        <v>50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Approved'!$C$12</f>
        <v>2.9999999999999997E-4</v>
      </c>
      <c r="D151" s="42">
        <f t="shared" si="45"/>
        <v>1.4999999999999998</v>
      </c>
      <c r="E151" s="114">
        <f>'2016 Proposed'!$C$13</f>
        <v>1.6000000000000001E-3</v>
      </c>
      <c r="F151" s="7">
        <f t="shared" si="46"/>
        <v>8</v>
      </c>
      <c r="G151" s="85"/>
      <c r="H151" s="59">
        <f>'2015 Approved'!$N$12</f>
        <v>2.0000000000000001E-4</v>
      </c>
      <c r="I151" s="42">
        <f t="shared" si="47"/>
        <v>1</v>
      </c>
      <c r="J151" s="114">
        <f>'2016 Proposed'!$C$13</f>
        <v>1.6000000000000001E-3</v>
      </c>
      <c r="K151" s="7">
        <f t="shared" si="48"/>
        <v>8</v>
      </c>
      <c r="L151" s="85"/>
      <c r="M151" s="59">
        <f>'2015 Approved'!$U$12</f>
        <v>1.2999999999999999E-3</v>
      </c>
      <c r="N151" s="42">
        <f t="shared" si="49"/>
        <v>6.5</v>
      </c>
      <c r="O151" s="114">
        <f>'2016 Proposed'!$C$13</f>
        <v>1.6000000000000001E-3</v>
      </c>
      <c r="P151" s="7">
        <f t="shared" si="50"/>
        <v>8</v>
      </c>
      <c r="Q151" s="85"/>
      <c r="R151" s="59">
        <f>'2015 Approved'!$Y$12</f>
        <v>5.5999999999999999E-3</v>
      </c>
      <c r="S151" s="42">
        <f t="shared" si="51"/>
        <v>28</v>
      </c>
      <c r="T151" s="114">
        <f>'2016 Proposed'!$C$13</f>
        <v>1.6000000000000001E-3</v>
      </c>
      <c r="U151" s="7">
        <f t="shared" si="52"/>
        <v>8</v>
      </c>
      <c r="V151" s="85"/>
    </row>
    <row r="152" spans="1:22" x14ac:dyDescent="0.25">
      <c r="A152" s="139">
        <f t="shared" si="36"/>
        <v>20</v>
      </c>
      <c r="B152" s="85" t="s">
        <v>87</v>
      </c>
      <c r="C152" s="59">
        <f>'2015 Approved'!$C$13</f>
        <v>0</v>
      </c>
      <c r="D152" s="42">
        <f t="shared" si="45"/>
        <v>0</v>
      </c>
      <c r="E152" s="114">
        <f>'2016 Proposed'!$C$14</f>
        <v>0</v>
      </c>
      <c r="F152" s="7">
        <f t="shared" si="46"/>
        <v>0</v>
      </c>
      <c r="G152" s="85"/>
      <c r="H152" s="59">
        <f>'2015 Approved'!$N$13</f>
        <v>2.0000000000000001E-4</v>
      </c>
      <c r="I152" s="42">
        <f t="shared" si="47"/>
        <v>1</v>
      </c>
      <c r="J152" s="114">
        <f>'2016 Proposed'!$C$14</f>
        <v>0</v>
      </c>
      <c r="K152" s="7">
        <f t="shared" si="48"/>
        <v>0</v>
      </c>
      <c r="L152" s="85"/>
      <c r="M152" s="59">
        <f>'2015 Approved'!$U$13</f>
        <v>0</v>
      </c>
      <c r="N152" s="42">
        <f t="shared" si="49"/>
        <v>0</v>
      </c>
      <c r="O152" s="114">
        <f>'2016 Proposed'!$C$14</f>
        <v>0</v>
      </c>
      <c r="P152" s="7">
        <f t="shared" si="50"/>
        <v>0</v>
      </c>
      <c r="Q152" s="85"/>
      <c r="R152" s="59">
        <f>'2015 Approved'!$Y$13</f>
        <v>0</v>
      </c>
      <c r="S152" s="42">
        <f t="shared" si="51"/>
        <v>0</v>
      </c>
      <c r="T152" s="114">
        <f>'2016 Proposed'!$C$14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Approved'!$C$14</f>
        <v>5.9999999999999995E-4</v>
      </c>
      <c r="D153" s="42">
        <f t="shared" si="45"/>
        <v>2.9999999999999996</v>
      </c>
      <c r="E153" s="114">
        <f>'2016 Proposed'!$C$15</f>
        <v>6.9999999999999999E-4</v>
      </c>
      <c r="F153" s="7">
        <f t="shared" si="46"/>
        <v>3.5</v>
      </c>
      <c r="G153" s="85"/>
      <c r="H153" s="59">
        <f>'2015 Approved'!$N$14</f>
        <v>2.0000000000000001E-4</v>
      </c>
      <c r="I153" s="42">
        <f t="shared" si="47"/>
        <v>1</v>
      </c>
      <c r="J153" s="114">
        <f>'2016 Proposed'!$C$15</f>
        <v>6.9999999999999999E-4</v>
      </c>
      <c r="K153" s="7">
        <f t="shared" si="48"/>
        <v>3.5</v>
      </c>
      <c r="L153" s="85"/>
      <c r="M153" s="59">
        <f>'2015 Approved'!$U$14</f>
        <v>0</v>
      </c>
      <c r="N153" s="42">
        <f t="shared" si="49"/>
        <v>0</v>
      </c>
      <c r="O153" s="114">
        <f>'2016 Proposed'!$C$15</f>
        <v>6.9999999999999999E-4</v>
      </c>
      <c r="P153" s="7">
        <f t="shared" si="50"/>
        <v>3.5</v>
      </c>
      <c r="Q153" s="85"/>
      <c r="R153" s="59">
        <f>'2015 Approved'!$Y$14</f>
        <v>0</v>
      </c>
      <c r="S153" s="42">
        <f t="shared" si="51"/>
        <v>0</v>
      </c>
      <c r="T153" s="114">
        <f>'2016 Proposed'!$C$15</f>
        <v>6.9999999999999999E-4</v>
      </c>
      <c r="U153" s="7">
        <f t="shared" si="52"/>
        <v>3.5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Approved'!$C$15</f>
        <v>-1E-4</v>
      </c>
      <c r="D154" s="42">
        <f t="shared" si="45"/>
        <v>-0.5</v>
      </c>
      <c r="E154" s="114">
        <f>'2016 Proposed'!$C$16</f>
        <v>0</v>
      </c>
      <c r="F154" s="7">
        <f t="shared" si="46"/>
        <v>0</v>
      </c>
      <c r="G154" s="85"/>
      <c r="H154" s="59">
        <f>'2015 Approved'!$N$15</f>
        <v>-1E-4</v>
      </c>
      <c r="I154" s="42">
        <f t="shared" si="47"/>
        <v>-0.5</v>
      </c>
      <c r="J154" s="114">
        <f>'2016 Proposed'!$C$16</f>
        <v>0</v>
      </c>
      <c r="K154" s="7">
        <f t="shared" si="48"/>
        <v>0</v>
      </c>
      <c r="L154" s="85"/>
      <c r="M154" s="59">
        <f>'2015 Approved'!$U$15</f>
        <v>0</v>
      </c>
      <c r="N154" s="42">
        <f t="shared" si="49"/>
        <v>0</v>
      </c>
      <c r="O154" s="114">
        <f>'2016 Proposed'!$C$16</f>
        <v>0</v>
      </c>
      <c r="P154" s="7">
        <f t="shared" si="50"/>
        <v>0</v>
      </c>
      <c r="Q154" s="85"/>
      <c r="R154" s="59">
        <f>'2015 Approved'!$Y$15</f>
        <v>0</v>
      </c>
      <c r="S154" s="42">
        <f t="shared" si="51"/>
        <v>0</v>
      </c>
      <c r="T154" s="114">
        <f>'2016 Proposed'!$C$16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101</v>
      </c>
      <c r="C155" s="59">
        <f>'2015 Approved'!$C$16</f>
        <v>0</v>
      </c>
      <c r="D155" s="42">
        <f t="shared" si="45"/>
        <v>0</v>
      </c>
      <c r="E155" s="114">
        <f>'2016 Proposed'!$C$17</f>
        <v>0</v>
      </c>
      <c r="F155" s="7">
        <f t="shared" si="46"/>
        <v>0</v>
      </c>
      <c r="G155" s="85"/>
      <c r="H155" s="59">
        <f>'2015 Approved'!$N$16</f>
        <v>0</v>
      </c>
      <c r="I155" s="42">
        <f t="shared" si="47"/>
        <v>0</v>
      </c>
      <c r="J155" s="114">
        <f>'2016 Proposed'!$C$17</f>
        <v>0</v>
      </c>
      <c r="K155" s="7">
        <f t="shared" si="48"/>
        <v>0</v>
      </c>
      <c r="L155" s="85"/>
      <c r="M155" s="59">
        <f>'2015 Approved'!$U$16</f>
        <v>4.0000000000000002E-4</v>
      </c>
      <c r="N155" s="42">
        <f t="shared" si="49"/>
        <v>2</v>
      </c>
      <c r="O155" s="114">
        <f>M155</f>
        <v>4.0000000000000002E-4</v>
      </c>
      <c r="P155" s="7">
        <f t="shared" si="50"/>
        <v>2</v>
      </c>
      <c r="Q155" s="85"/>
      <c r="R155" s="59">
        <f>'2015 Approved'!$Y$16</f>
        <v>2.3E-3</v>
      </c>
      <c r="S155" s="42">
        <f t="shared" si="51"/>
        <v>11.5</v>
      </c>
      <c r="T155" s="114">
        <f>R155</f>
        <v>2.3E-3</v>
      </c>
      <c r="U155" s="7">
        <f t="shared" si="52"/>
        <v>11.5</v>
      </c>
      <c r="V155" s="85"/>
    </row>
    <row r="156" spans="1:22" x14ac:dyDescent="0.25">
      <c r="A156" s="139">
        <f t="shared" si="36"/>
        <v>24</v>
      </c>
      <c r="B156" s="85" t="s">
        <v>112</v>
      </c>
      <c r="C156" s="59">
        <f>'2015 Approved'!$C$17</f>
        <v>2.2000000000000001E-3</v>
      </c>
      <c r="D156" s="42">
        <f t="shared" si="45"/>
        <v>11</v>
      </c>
      <c r="E156" s="114">
        <f>'2016 Proposed'!$C$18</f>
        <v>0</v>
      </c>
      <c r="F156" s="7">
        <f t="shared" si="46"/>
        <v>0</v>
      </c>
      <c r="G156" s="85"/>
      <c r="H156" s="59">
        <f>'2015 Approved'!$N$17</f>
        <v>1.4E-3</v>
      </c>
      <c r="I156" s="42">
        <f t="shared" si="47"/>
        <v>7</v>
      </c>
      <c r="J156" s="114">
        <f>'2016 Proposed'!$C$18</f>
        <v>0</v>
      </c>
      <c r="K156" s="7">
        <f t="shared" si="48"/>
        <v>0</v>
      </c>
      <c r="L156" s="85"/>
      <c r="M156" s="59">
        <f>'2015 Approved'!$U$17</f>
        <v>1.6000000000000001E-3</v>
      </c>
      <c r="N156" s="42">
        <f t="shared" si="49"/>
        <v>8</v>
      </c>
      <c r="O156" s="114">
        <f>'2016 Proposed'!$C$18</f>
        <v>0</v>
      </c>
      <c r="P156" s="7">
        <f t="shared" si="50"/>
        <v>0</v>
      </c>
      <c r="Q156" s="85"/>
      <c r="R156" s="59">
        <f>'2015 Approved'!$Y$17</f>
        <v>5.8999999999999999E-3</v>
      </c>
      <c r="S156" s="42">
        <f t="shared" si="51"/>
        <v>29.5</v>
      </c>
      <c r="T156" s="114">
        <f>'2016 Proposed'!$C$18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102</v>
      </c>
      <c r="C157" s="59">
        <f>'2015 Approved'!$C$18</f>
        <v>0</v>
      </c>
      <c r="D157" s="42">
        <f t="shared" si="45"/>
        <v>0</v>
      </c>
      <c r="E157" s="114">
        <f>'2016 Proposed'!$C$19</f>
        <v>1.5E-3</v>
      </c>
      <c r="F157" s="7">
        <f t="shared" si="46"/>
        <v>7.5</v>
      </c>
      <c r="G157" s="85"/>
      <c r="H157" s="59">
        <f>'2015 Approved'!$N$18</f>
        <v>0</v>
      </c>
      <c r="I157" s="42">
        <f t="shared" si="47"/>
        <v>0</v>
      </c>
      <c r="J157" s="114">
        <f>'2016 Proposed'!$C$19</f>
        <v>1.5E-3</v>
      </c>
      <c r="K157" s="7">
        <f t="shared" si="48"/>
        <v>7.5</v>
      </c>
      <c r="L157" s="85"/>
      <c r="M157" s="59">
        <f>'2015 Approved'!$U$18</f>
        <v>0</v>
      </c>
      <c r="N157" s="42">
        <f t="shared" si="49"/>
        <v>0</v>
      </c>
      <c r="O157" s="114">
        <f>'2016 Proposed'!$C$19</f>
        <v>1.5E-3</v>
      </c>
      <c r="P157" s="7">
        <f t="shared" si="50"/>
        <v>7.5</v>
      </c>
      <c r="Q157" s="85"/>
      <c r="R157" s="59">
        <f>'2015 Approved'!$Y$18</f>
        <v>0</v>
      </c>
      <c r="S157" s="42">
        <f t="shared" si="51"/>
        <v>0</v>
      </c>
      <c r="T157" s="114">
        <f>'2016 Proposed'!$C$19</f>
        <v>1.5E-3</v>
      </c>
      <c r="U157" s="7">
        <f t="shared" si="52"/>
        <v>7.5</v>
      </c>
      <c r="V157" s="85"/>
    </row>
    <row r="158" spans="1:22" x14ac:dyDescent="0.25">
      <c r="A158" s="139">
        <f t="shared" si="36"/>
        <v>26</v>
      </c>
      <c r="B158" s="85" t="s">
        <v>94</v>
      </c>
      <c r="C158" s="59">
        <f>'2015 Approved'!$C$19</f>
        <v>0</v>
      </c>
      <c r="D158" s="42">
        <f t="shared" si="45"/>
        <v>0</v>
      </c>
      <c r="E158" s="114">
        <f>'2016 Proposed'!$C$20</f>
        <v>6.9999999999999999E-4</v>
      </c>
      <c r="F158" s="7">
        <f t="shared" si="46"/>
        <v>3.5</v>
      </c>
      <c r="G158" s="85"/>
      <c r="H158" s="59">
        <f>'2015 Approved'!$N$19</f>
        <v>0</v>
      </c>
      <c r="I158" s="42">
        <f t="shared" si="47"/>
        <v>0</v>
      </c>
      <c r="J158" s="114">
        <f>'2016 Proposed'!$C$20</f>
        <v>6.9999999999999999E-4</v>
      </c>
      <c r="K158" s="7">
        <f t="shared" si="48"/>
        <v>3.5</v>
      </c>
      <c r="L158" s="85"/>
      <c r="M158" s="59">
        <f>'2015 Approved'!$U$19</f>
        <v>0</v>
      </c>
      <c r="N158" s="42">
        <f t="shared" si="49"/>
        <v>0</v>
      </c>
      <c r="O158" s="114">
        <f>'2016 Proposed'!$C$20</f>
        <v>6.9999999999999999E-4</v>
      </c>
      <c r="P158" s="7">
        <f t="shared" si="50"/>
        <v>3.5</v>
      </c>
      <c r="Q158" s="85"/>
      <c r="R158" s="59">
        <f>'2015 Approved'!$Y$19</f>
        <v>0</v>
      </c>
      <c r="S158" s="42">
        <f t="shared" si="51"/>
        <v>0</v>
      </c>
      <c r="T158" s="114">
        <f>'2016 Proposed'!$C$20</f>
        <v>6.9999999999999999E-4</v>
      </c>
      <c r="U158" s="7">
        <f t="shared" si="52"/>
        <v>3.5</v>
      </c>
      <c r="V158" s="85"/>
    </row>
    <row r="159" spans="1:22" x14ac:dyDescent="0.25">
      <c r="A159" s="139">
        <f t="shared" si="36"/>
        <v>27</v>
      </c>
      <c r="B159" s="85" t="s">
        <v>104</v>
      </c>
      <c r="C159" s="59">
        <f>'2015 Approved'!$C$20</f>
        <v>0</v>
      </c>
      <c r="D159" s="42">
        <f t="shared" si="45"/>
        <v>0</v>
      </c>
      <c r="E159" s="114">
        <f>'2016 Proposed'!$C$21</f>
        <v>-2.2000000000000001E-3</v>
      </c>
      <c r="F159" s="7">
        <f t="shared" si="46"/>
        <v>-11</v>
      </c>
      <c r="G159" s="85"/>
      <c r="H159" s="59">
        <f>'2015 Approved'!$N$20</f>
        <v>0</v>
      </c>
      <c r="I159" s="42">
        <f t="shared" si="47"/>
        <v>0</v>
      </c>
      <c r="J159" s="114">
        <f>'2016 Proposed'!$C$21</f>
        <v>-2.2000000000000001E-3</v>
      </c>
      <c r="K159" s="7">
        <f t="shared" si="48"/>
        <v>-11</v>
      </c>
      <c r="L159" s="85"/>
      <c r="M159" s="59">
        <f>'2015 Approved'!$U$20</f>
        <v>0</v>
      </c>
      <c r="N159" s="42">
        <f t="shared" si="49"/>
        <v>0</v>
      </c>
      <c r="O159" s="114">
        <f>'2016 Proposed'!$C$21</f>
        <v>-2.2000000000000001E-3</v>
      </c>
      <c r="P159" s="7">
        <f t="shared" si="50"/>
        <v>-11</v>
      </c>
      <c r="Q159" s="85"/>
      <c r="R159" s="59">
        <f>'2015 Approved'!$Y$20</f>
        <v>0</v>
      </c>
      <c r="S159" s="42">
        <f t="shared" si="51"/>
        <v>0</v>
      </c>
      <c r="T159" s="114">
        <f>'2016 Proposed'!$C$21</f>
        <v>-2.2000000000000001E-3</v>
      </c>
      <c r="U159" s="7">
        <f t="shared" si="52"/>
        <v>-11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134.49796000000001</v>
      </c>
      <c r="E160" s="110"/>
      <c r="F160" s="95">
        <f>SUM(F144:F159)</f>
        <v>114.38117</v>
      </c>
      <c r="G160" s="127">
        <f>F160-D160</f>
        <v>-20.116790000000009</v>
      </c>
      <c r="H160" s="126"/>
      <c r="I160" s="96">
        <f>SUM(I144:I159)</f>
        <v>91.250560000000007</v>
      </c>
      <c r="J160" s="110"/>
      <c r="K160" s="95">
        <f>SUM(K144:K159)</f>
        <v>114.38117</v>
      </c>
      <c r="L160" s="127">
        <f>K160-I160</f>
        <v>23.13060999999999</v>
      </c>
      <c r="M160" s="126"/>
      <c r="N160" s="96">
        <f>SUM(N144:N159)</f>
        <v>111.25834</v>
      </c>
      <c r="O160" s="110"/>
      <c r="P160" s="95">
        <f>SUM(P144:P159)</f>
        <v>116.38117</v>
      </c>
      <c r="Q160" s="127">
        <f>P160-N160</f>
        <v>5.1228299999999933</v>
      </c>
      <c r="R160" s="126"/>
      <c r="S160" s="96">
        <f>SUM(S144:S159)</f>
        <v>180.5506</v>
      </c>
      <c r="T160" s="110"/>
      <c r="U160" s="95">
        <f>SUM(U144:U159)</f>
        <v>125.88117</v>
      </c>
      <c r="V160" s="127">
        <f>U160-S160</f>
        <v>-54.669430000000006</v>
      </c>
    </row>
    <row r="161" spans="1:22" x14ac:dyDescent="0.25">
      <c r="A161" s="144">
        <f t="shared" si="36"/>
        <v>29</v>
      </c>
      <c r="B161" s="145" t="s">
        <v>118</v>
      </c>
      <c r="C161" s="128"/>
      <c r="D161" s="120"/>
      <c r="E161" s="111"/>
      <c r="F161" s="97"/>
      <c r="G161" s="129">
        <f>G160/D160</f>
        <v>-0.14956948045903454</v>
      </c>
      <c r="H161" s="128"/>
      <c r="I161" s="120"/>
      <c r="J161" s="111"/>
      <c r="K161" s="97"/>
      <c r="L161" s="129">
        <f>L160/I160</f>
        <v>0.25348458135489788</v>
      </c>
      <c r="M161" s="128"/>
      <c r="N161" s="120"/>
      <c r="O161" s="111"/>
      <c r="P161" s="97"/>
      <c r="Q161" s="129">
        <f>Q160/N160</f>
        <v>4.6044458330045127E-2</v>
      </c>
      <c r="R161" s="128"/>
      <c r="S161" s="120"/>
      <c r="T161" s="111"/>
      <c r="U161" s="97"/>
      <c r="V161" s="129">
        <f>V160/S160</f>
        <v>-0.30279284588364702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68</v>
      </c>
      <c r="C163" s="59">
        <f>'2015 Approved'!$C$26</f>
        <v>6.4999999999999997E-3</v>
      </c>
      <c r="D163" s="42">
        <f>C163*D$136</f>
        <v>33.890999999999998</v>
      </c>
      <c r="E163" s="114">
        <f>'2016 Proposed'!$C$28</f>
        <v>6.4000000000000003E-3</v>
      </c>
      <c r="F163" s="7">
        <f>E163*F$136</f>
        <v>33.379200000000004</v>
      </c>
      <c r="G163" s="85"/>
      <c r="H163" s="59">
        <f>'2015 Approved'!$N$26</f>
        <v>6.4999999999999997E-3</v>
      </c>
      <c r="I163" s="42">
        <f>H163*I$136</f>
        <v>34.475999999999999</v>
      </c>
      <c r="J163" s="114">
        <f>'2016 Proposed'!$C$28</f>
        <v>6.4000000000000003E-3</v>
      </c>
      <c r="K163" s="7">
        <f>J163*K$136</f>
        <v>33.379200000000004</v>
      </c>
      <c r="L163" s="85"/>
      <c r="M163" s="59">
        <f>'2015 Approved'!$U$26</f>
        <v>7.1000000000000004E-3</v>
      </c>
      <c r="N163" s="42">
        <f>M163*N$136</f>
        <v>37.850100000000005</v>
      </c>
      <c r="O163" s="114">
        <f>'2016 Proposed'!$C$28</f>
        <v>6.4000000000000003E-3</v>
      </c>
      <c r="P163" s="7">
        <f>O163*P$136</f>
        <v>33.379200000000004</v>
      </c>
      <c r="Q163" s="85"/>
      <c r="R163" s="59">
        <f>'2015 Approved'!$Y$26</f>
        <v>6.817114670559849E-3</v>
      </c>
      <c r="S163" s="42">
        <f>R163*S$136</f>
        <v>36.062536607261599</v>
      </c>
      <c r="T163" s="114">
        <f>'2016 Proposed'!$C$28</f>
        <v>6.4000000000000003E-3</v>
      </c>
      <c r="U163" s="7">
        <f>T163*U$136</f>
        <v>33.379200000000004</v>
      </c>
      <c r="V163" s="85"/>
    </row>
    <row r="164" spans="1:22" x14ac:dyDescent="0.25">
      <c r="A164" s="139">
        <f t="shared" si="36"/>
        <v>32</v>
      </c>
      <c r="B164" s="85" t="s">
        <v>69</v>
      </c>
      <c r="C164" s="59">
        <f>'2015 Approved'!$C$27</f>
        <v>4.7000000000000002E-3</v>
      </c>
      <c r="D164" s="42">
        <f>C164*D$136</f>
        <v>24.505800000000001</v>
      </c>
      <c r="E164" s="114">
        <f>'2016 Proposed'!$C$29</f>
        <v>4.7999999999999996E-3</v>
      </c>
      <c r="F164" s="7">
        <f>E164*F$136</f>
        <v>25.034399999999998</v>
      </c>
      <c r="G164" s="85"/>
      <c r="H164" s="59">
        <f>'2015 Approved'!$N$27</f>
        <v>4.5999999999999999E-3</v>
      </c>
      <c r="I164" s="42">
        <f>H164*I$136</f>
        <v>24.398399999999999</v>
      </c>
      <c r="J164" s="114">
        <f>'2016 Proposed'!$C$29</f>
        <v>4.7999999999999996E-3</v>
      </c>
      <c r="K164" s="7">
        <f>J164*K$136</f>
        <v>25.034399999999998</v>
      </c>
      <c r="L164" s="85"/>
      <c r="M164" s="59">
        <f>'2015 Approved'!$U$27</f>
        <v>5.0000000000000001E-3</v>
      </c>
      <c r="N164" s="42">
        <f>M164*N$136</f>
        <v>26.655000000000001</v>
      </c>
      <c r="O164" s="114">
        <f>'2016 Proposed'!$C$29</f>
        <v>4.7999999999999996E-3</v>
      </c>
      <c r="P164" s="7">
        <f>O164*P$136</f>
        <v>25.034399999999998</v>
      </c>
      <c r="Q164" s="85"/>
      <c r="R164" s="59">
        <f>'2015 Approved'!$Y$27</f>
        <v>3.2187423851534214E-3</v>
      </c>
      <c r="S164" s="42">
        <f>R164*S$136</f>
        <v>17.0271472174616</v>
      </c>
      <c r="T164" s="114">
        <f>'2016 Proposed'!$C$29</f>
        <v>4.7999999999999996E-3</v>
      </c>
      <c r="U164" s="7">
        <f>T164*U$136</f>
        <v>25.034399999999998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58.396799999999999</v>
      </c>
      <c r="E165" s="110"/>
      <c r="F165" s="95">
        <f>SUM(F163:F164)</f>
        <v>58.413600000000002</v>
      </c>
      <c r="G165" s="127">
        <f>F165-D165</f>
        <v>1.6800000000003479E-2</v>
      </c>
      <c r="H165" s="126"/>
      <c r="I165" s="96">
        <f>SUM(I163:I164)</f>
        <v>58.874399999999994</v>
      </c>
      <c r="J165" s="110"/>
      <c r="K165" s="95">
        <f>SUM(K163:K164)</f>
        <v>58.413600000000002</v>
      </c>
      <c r="L165" s="127">
        <f>K165-I165</f>
        <v>-0.46079999999999188</v>
      </c>
      <c r="M165" s="126"/>
      <c r="N165" s="96">
        <f>SUM(N163:N164)</f>
        <v>64.505099999999999</v>
      </c>
      <c r="O165" s="110"/>
      <c r="P165" s="95">
        <f>SUM(P163:P164)</f>
        <v>58.413600000000002</v>
      </c>
      <c r="Q165" s="127">
        <f>P165-N165</f>
        <v>-6.0914999999999964</v>
      </c>
      <c r="R165" s="126"/>
      <c r="S165" s="96">
        <f>SUM(S163:S164)</f>
        <v>53.089683824723195</v>
      </c>
      <c r="T165" s="110"/>
      <c r="U165" s="95">
        <f>SUM(U163:U164)</f>
        <v>58.413600000000002</v>
      </c>
      <c r="V165" s="127">
        <f>U165-S165</f>
        <v>5.3239161752768069</v>
      </c>
    </row>
    <row r="166" spans="1:22" x14ac:dyDescent="0.25">
      <c r="A166" s="144">
        <f t="shared" si="36"/>
        <v>34</v>
      </c>
      <c r="B166" s="145" t="s">
        <v>118</v>
      </c>
      <c r="C166" s="128"/>
      <c r="D166" s="120"/>
      <c r="E166" s="111"/>
      <c r="F166" s="97"/>
      <c r="G166" s="129">
        <f>G165/D165</f>
        <v>2.8768699654781562E-4</v>
      </c>
      <c r="H166" s="128"/>
      <c r="I166" s="120"/>
      <c r="J166" s="111"/>
      <c r="K166" s="97"/>
      <c r="L166" s="129">
        <f>L165/I165</f>
        <v>-7.8268313562429841E-3</v>
      </c>
      <c r="M166" s="128"/>
      <c r="N166" s="120"/>
      <c r="O166" s="111"/>
      <c r="P166" s="97"/>
      <c r="Q166" s="129">
        <f>Q165/N165</f>
        <v>-9.4434393559578958E-2</v>
      </c>
      <c r="R166" s="128"/>
      <c r="S166" s="120"/>
      <c r="T166" s="111"/>
      <c r="U166" s="97"/>
      <c r="V166" s="129">
        <f>V165/S165</f>
        <v>0.10028155738982808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66</v>
      </c>
      <c r="C168" s="59">
        <f>WMSR+RRRP</f>
        <v>5.7000000000000002E-3</v>
      </c>
      <c r="D168" s="42">
        <f>C168*D136</f>
        <v>29.719799999999999</v>
      </c>
      <c r="E168" s="114">
        <f>WMSR+RRRP</f>
        <v>5.7000000000000002E-3</v>
      </c>
      <c r="F168" s="7">
        <f>E168*F136</f>
        <v>29.728350000000002</v>
      </c>
      <c r="G168" s="85"/>
      <c r="H168" s="59">
        <f>WMSR+RRRP</f>
        <v>5.7000000000000002E-3</v>
      </c>
      <c r="I168" s="42">
        <f>H168*I136</f>
        <v>30.232800000000001</v>
      </c>
      <c r="J168" s="114">
        <f>WMSR+RRRP</f>
        <v>5.7000000000000002E-3</v>
      </c>
      <c r="K168" s="7">
        <f>J168*K136</f>
        <v>29.728350000000002</v>
      </c>
      <c r="L168" s="85"/>
      <c r="M168" s="59">
        <f>WMSR+RRRP</f>
        <v>5.7000000000000002E-3</v>
      </c>
      <c r="N168" s="42">
        <f>M168*N136</f>
        <v>30.386700000000001</v>
      </c>
      <c r="O168" s="114">
        <f>WMSR+RRRP</f>
        <v>5.7000000000000002E-3</v>
      </c>
      <c r="P168" s="7">
        <f>O168*P136</f>
        <v>29.728350000000002</v>
      </c>
      <c r="Q168" s="85"/>
      <c r="R168" s="59">
        <f>WMSR+RRRP</f>
        <v>5.7000000000000002E-3</v>
      </c>
      <c r="S168" s="42">
        <f>R168*S136</f>
        <v>30.153000000000002</v>
      </c>
      <c r="T168" s="114">
        <f>WMSR+RRRP</f>
        <v>5.7000000000000002E-3</v>
      </c>
      <c r="U168" s="7">
        <f>T168*U136</f>
        <v>29.728350000000002</v>
      </c>
      <c r="V168" s="85"/>
    </row>
    <row r="169" spans="1:22" x14ac:dyDescent="0.25">
      <c r="A169" s="139">
        <f t="shared" si="36"/>
        <v>37</v>
      </c>
      <c r="B169" s="85" t="s">
        <v>67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35</v>
      </c>
      <c r="E170" s="114">
        <v>7.0000000000000001E-3</v>
      </c>
      <c r="F170" s="7">
        <f>E170*F133</f>
        <v>35</v>
      </c>
      <c r="G170" s="85"/>
      <c r="H170" s="59">
        <v>7.0000000000000001E-3</v>
      </c>
      <c r="I170" s="42">
        <f>H170*I133</f>
        <v>35</v>
      </c>
      <c r="J170" s="114">
        <v>7.0000000000000001E-3</v>
      </c>
      <c r="K170" s="7">
        <f>J170*K133</f>
        <v>35</v>
      </c>
      <c r="L170" s="85"/>
      <c r="M170" s="59">
        <v>7.0000000000000001E-3</v>
      </c>
      <c r="N170" s="42">
        <f>M170*N133</f>
        <v>35</v>
      </c>
      <c r="O170" s="114">
        <v>7.0000000000000001E-3</v>
      </c>
      <c r="P170" s="7">
        <f>O170*P133</f>
        <v>35</v>
      </c>
      <c r="Q170" s="85"/>
      <c r="R170" s="59">
        <v>7.0000000000000001E-3</v>
      </c>
      <c r="S170" s="42">
        <f>R170*S133</f>
        <v>35</v>
      </c>
      <c r="T170" s="114">
        <v>7.0000000000000001E-3</v>
      </c>
      <c r="U170" s="7">
        <f>T170*U133</f>
        <v>35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64.969799999999992</v>
      </c>
      <c r="E172" s="110"/>
      <c r="F172" s="95">
        <f>SUM(F168:F171)</f>
        <v>64.978350000000006</v>
      </c>
      <c r="G172" s="127">
        <f>F172-D172</f>
        <v>8.5500000000138243E-3</v>
      </c>
      <c r="H172" s="126"/>
      <c r="I172" s="96">
        <f>SUM(I168:I171)</f>
        <v>65.482799999999997</v>
      </c>
      <c r="J172" s="110"/>
      <c r="K172" s="95">
        <f>SUM(K168:K171)</f>
        <v>64.978350000000006</v>
      </c>
      <c r="L172" s="127">
        <f>K172-I172</f>
        <v>-0.50444999999999141</v>
      </c>
      <c r="M172" s="126"/>
      <c r="N172" s="96">
        <f>SUM(N168:N171)</f>
        <v>65.636700000000005</v>
      </c>
      <c r="O172" s="110"/>
      <c r="P172" s="95">
        <f>SUM(P168:P171)</f>
        <v>64.978350000000006</v>
      </c>
      <c r="Q172" s="127">
        <f>P172-N172</f>
        <v>-0.65834999999999866</v>
      </c>
      <c r="R172" s="126"/>
      <c r="S172" s="96">
        <f>SUM(S168:S171)</f>
        <v>65.403000000000006</v>
      </c>
      <c r="T172" s="110"/>
      <c r="U172" s="95">
        <f>SUM(U168:U171)</f>
        <v>64.978350000000006</v>
      </c>
      <c r="V172" s="127">
        <f>U172-S172</f>
        <v>-0.42464999999999975</v>
      </c>
    </row>
    <row r="173" spans="1:22" x14ac:dyDescent="0.25">
      <c r="A173" s="144">
        <f t="shared" si="36"/>
        <v>41</v>
      </c>
      <c r="B173" s="145" t="s">
        <v>118</v>
      </c>
      <c r="C173" s="128"/>
      <c r="D173" s="120"/>
      <c r="E173" s="111"/>
      <c r="F173" s="97"/>
      <c r="G173" s="129">
        <f>G172/D172</f>
        <v>1.3159960473964558E-4</v>
      </c>
      <c r="H173" s="128"/>
      <c r="I173" s="120"/>
      <c r="J173" s="111"/>
      <c r="K173" s="97"/>
      <c r="L173" s="129">
        <f>L172/I172</f>
        <v>-7.7035496344076831E-3</v>
      </c>
      <c r="M173" s="128"/>
      <c r="N173" s="120"/>
      <c r="O173" s="111"/>
      <c r="P173" s="97"/>
      <c r="Q173" s="129">
        <f>Q172/N172</f>
        <v>-1.0030211756532528E-2</v>
      </c>
      <c r="R173" s="128"/>
      <c r="S173" s="120"/>
      <c r="T173" s="111"/>
      <c r="U173" s="97"/>
      <c r="V173" s="129">
        <f>V172/S172</f>
        <v>-6.492821430209619E-3</v>
      </c>
    </row>
    <row r="174" spans="1:22" x14ac:dyDescent="0.25">
      <c r="A174" s="147">
        <f t="shared" si="36"/>
        <v>42</v>
      </c>
      <c r="B174" s="133" t="s">
        <v>129</v>
      </c>
      <c r="C174" s="132"/>
      <c r="D174" s="122">
        <f>D141+D160+D165+D172</f>
        <v>768.56456000000003</v>
      </c>
      <c r="E174" s="115"/>
      <c r="F174" s="102">
        <f>F141+F160+F165+F172</f>
        <v>748.47311999999999</v>
      </c>
      <c r="G174" s="133"/>
      <c r="H174" s="132"/>
      <c r="I174" s="122">
        <f>I141+I160+I165+I172</f>
        <v>726.30776000000003</v>
      </c>
      <c r="J174" s="115"/>
      <c r="K174" s="102">
        <f>K141+K160+K165+K172</f>
        <v>748.47311999999999</v>
      </c>
      <c r="L174" s="133"/>
      <c r="M174" s="132"/>
      <c r="N174" s="122">
        <f>N141+N160+N165+N172</f>
        <v>752.10014000000001</v>
      </c>
      <c r="O174" s="115"/>
      <c r="P174" s="102">
        <f>P141+P160+P165+P172</f>
        <v>750.47311999999999</v>
      </c>
      <c r="Q174" s="133"/>
      <c r="R174" s="132"/>
      <c r="S174" s="122">
        <f>S141+S160+S165+S172</f>
        <v>809.74328382472333</v>
      </c>
      <c r="T174" s="115"/>
      <c r="U174" s="102">
        <f>U141+U160+U165+U172</f>
        <v>759.97311999999999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99.913392800000011</v>
      </c>
      <c r="E175" s="116"/>
      <c r="F175" s="99">
        <f>F174*0.13</f>
        <v>97.301505599999999</v>
      </c>
      <c r="G175" s="134"/>
      <c r="H175" s="87"/>
      <c r="I175" s="43">
        <f>I174*0.13</f>
        <v>94.420008800000005</v>
      </c>
      <c r="J175" s="116"/>
      <c r="K175" s="99">
        <f>K174*0.13</f>
        <v>97.301505599999999</v>
      </c>
      <c r="L175" s="134"/>
      <c r="M175" s="87"/>
      <c r="N175" s="43">
        <f>N174*0.13</f>
        <v>97.77301820000001</v>
      </c>
      <c r="O175" s="116"/>
      <c r="P175" s="99">
        <f>P174*0.13</f>
        <v>97.561505600000004</v>
      </c>
      <c r="Q175" s="134"/>
      <c r="R175" s="87"/>
      <c r="S175" s="43">
        <f>S174*0.13</f>
        <v>105.26662689721404</v>
      </c>
      <c r="T175" s="116"/>
      <c r="U175" s="99">
        <f>U174*0.13</f>
        <v>98.796505600000003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-86.847795280000014</v>
      </c>
      <c r="E176" s="117"/>
      <c r="F176" s="70">
        <f>SUM(F174:F175)*-0.1</f>
        <v>-84.577462560000015</v>
      </c>
      <c r="G176" s="125"/>
      <c r="H176" s="88"/>
      <c r="I176" s="69">
        <f>SUM(I174:I175)*-0.1</f>
        <v>-82.072776880000006</v>
      </c>
      <c r="J176" s="117"/>
      <c r="K176" s="70">
        <f>SUM(K174:K175)*-0.1</f>
        <v>-84.577462560000015</v>
      </c>
      <c r="L176" s="125"/>
      <c r="M176" s="88"/>
      <c r="N176" s="69">
        <f>SUM(N174:N175)*-0.1</f>
        <v>-84.987315820000006</v>
      </c>
      <c r="O176" s="117"/>
      <c r="P176" s="70">
        <f>SUM(P174:P175)*-0.1</f>
        <v>-84.803462560000014</v>
      </c>
      <c r="Q176" s="125"/>
      <c r="R176" s="88"/>
      <c r="S176" s="69">
        <f>SUM(S174:S175)*-0.1</f>
        <v>-91.500991072193742</v>
      </c>
      <c r="T176" s="117"/>
      <c r="U176" s="70">
        <f>SUM(U174:U175)*-0.1</f>
        <v>-85.87696256000001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781.63015752000001</v>
      </c>
      <c r="E177" s="118"/>
      <c r="F177" s="103">
        <f>SUM(F174:F176)</f>
        <v>761.19716304000008</v>
      </c>
      <c r="G177" s="136">
        <f>F177-D177</f>
        <v>-20.432994479999934</v>
      </c>
      <c r="H177" s="135"/>
      <c r="I177" s="104">
        <f>SUM(I174:I176)</f>
        <v>738.65499192000004</v>
      </c>
      <c r="J177" s="118"/>
      <c r="K177" s="103">
        <f>SUM(K174:K176)</f>
        <v>761.19716304000008</v>
      </c>
      <c r="L177" s="136">
        <f>K177-I177</f>
        <v>22.542171120000035</v>
      </c>
      <c r="M177" s="135"/>
      <c r="N177" s="104">
        <f>SUM(N174:N176)</f>
        <v>764.88584237999999</v>
      </c>
      <c r="O177" s="118"/>
      <c r="P177" s="103">
        <f>SUM(P174:P176)</f>
        <v>763.23116303999996</v>
      </c>
      <c r="Q177" s="136">
        <f>P177-N177</f>
        <v>-1.6546793400000297</v>
      </c>
      <c r="R177" s="135"/>
      <c r="S177" s="104">
        <f>SUM(S174:S176)</f>
        <v>823.50891964974358</v>
      </c>
      <c r="T177" s="118"/>
      <c r="U177" s="103">
        <f>SUM(U174:U176)</f>
        <v>772.89266304</v>
      </c>
      <c r="V177" s="136">
        <f>U177-S177</f>
        <v>-50.616256609743573</v>
      </c>
    </row>
    <row r="178" spans="1:22" x14ac:dyDescent="0.25">
      <c r="A178" s="151">
        <f t="shared" si="36"/>
        <v>46</v>
      </c>
      <c r="B178" s="152" t="s">
        <v>118</v>
      </c>
      <c r="C178" s="137"/>
      <c r="D178" s="123"/>
      <c r="E178" s="119"/>
      <c r="F178" s="105"/>
      <c r="G178" s="138">
        <f>G177/D177</f>
        <v>-2.6141512431954884E-2</v>
      </c>
      <c r="H178" s="137"/>
      <c r="I178" s="123"/>
      <c r="J178" s="119"/>
      <c r="K178" s="105"/>
      <c r="L178" s="138">
        <f>L177/I177</f>
        <v>3.0517862014857219E-2</v>
      </c>
      <c r="M178" s="137"/>
      <c r="N178" s="123"/>
      <c r="O178" s="119"/>
      <c r="P178" s="105"/>
      <c r="Q178" s="138">
        <f>Q177/N177</f>
        <v>-2.1633023496047074E-3</v>
      </c>
      <c r="R178" s="137"/>
      <c r="S178" s="123"/>
      <c r="T178" s="119"/>
      <c r="U178" s="105"/>
      <c r="V178" s="138">
        <f>V177/S177</f>
        <v>-6.146412674105798E-2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127</v>
      </c>
      <c r="C180" s="202">
        <f>'2015 Approved'!$C$23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Approved'!$N$23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Approved'!$Y$23</f>
        <v>3.0999999999999999E-3</v>
      </c>
      <c r="S180" s="43">
        <f>R180*S133</f>
        <v>15.5</v>
      </c>
      <c r="T180" s="203">
        <f>R180</f>
        <v>3.0999999999999999E-3</v>
      </c>
      <c r="U180" s="7">
        <f>T180*U133</f>
        <v>15.5</v>
      </c>
      <c r="V180" s="134"/>
    </row>
    <row r="181" spans="1:22" x14ac:dyDescent="0.25">
      <c r="A181" s="148">
        <f>A180+1</f>
        <v>49</v>
      </c>
      <c r="B181" s="85" t="s">
        <v>128</v>
      </c>
      <c r="C181" s="59">
        <f>'2015 Approved'!$C$24</f>
        <v>4.7000000000000002E-3</v>
      </c>
      <c r="D181" s="42">
        <f>C181*D133</f>
        <v>23.5</v>
      </c>
      <c r="E181" s="203">
        <f>'2016 Proposed'!$C$26</f>
        <v>3.5999999999999999E-3</v>
      </c>
      <c r="F181" s="7">
        <f>E181*F133</f>
        <v>18</v>
      </c>
      <c r="G181" s="85"/>
      <c r="H181" s="59">
        <f>'2015 Approved'!$N$24</f>
        <v>-8.0000000000000004E-4</v>
      </c>
      <c r="I181" s="42">
        <f>H181*I133</f>
        <v>-4</v>
      </c>
      <c r="J181" s="114">
        <f>'2016 Proposed'!$C$26</f>
        <v>3.5999999999999999E-3</v>
      </c>
      <c r="K181" s="7">
        <f>J181*K133</f>
        <v>18</v>
      </c>
      <c r="L181" s="85"/>
      <c r="M181" s="59">
        <f>'2015 Approved'!$U$24</f>
        <v>-4.0000000000000002E-4</v>
      </c>
      <c r="N181" s="42">
        <f>M181*N133</f>
        <v>-2</v>
      </c>
      <c r="O181" s="114">
        <f>'2016 Proposed'!$C$26</f>
        <v>3.5999999999999999E-3</v>
      </c>
      <c r="P181" s="7">
        <f>O181*P133</f>
        <v>18</v>
      </c>
      <c r="Q181" s="85"/>
      <c r="R181" s="59">
        <f>'2015 Approved'!$Y$24</f>
        <v>-2.9999999999999997E-4</v>
      </c>
      <c r="S181" s="42">
        <f>R181*S133</f>
        <v>-1.4999999999999998</v>
      </c>
      <c r="T181" s="114">
        <f>'2016 Proposed'!$C$26</f>
        <v>3.5999999999999999E-3</v>
      </c>
      <c r="U181" s="7">
        <f>T181*U133</f>
        <v>18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792.06456000000003</v>
      </c>
      <c r="E182" s="106"/>
      <c r="F182" s="7">
        <f>F174+SUM(F180:F181)</f>
        <v>766.47311999999999</v>
      </c>
      <c r="G182" s="85"/>
      <c r="H182" s="86"/>
      <c r="I182" s="42">
        <f>I174+I181+I180</f>
        <v>722.30776000000003</v>
      </c>
      <c r="J182" s="106"/>
      <c r="K182" s="7">
        <f>K174+K181+K180</f>
        <v>766.47311999999999</v>
      </c>
      <c r="L182" s="85"/>
      <c r="M182" s="86"/>
      <c r="N182" s="42">
        <f>N174+N181+N180</f>
        <v>750.10014000000001</v>
      </c>
      <c r="O182" s="106"/>
      <c r="P182" s="7">
        <f>P174+P181+P180</f>
        <v>768.47311999999999</v>
      </c>
      <c r="Q182" s="85"/>
      <c r="R182" s="86"/>
      <c r="S182" s="42">
        <f>S174+S181+S180</f>
        <v>823.74328382472333</v>
      </c>
      <c r="T182" s="106"/>
      <c r="U182" s="7">
        <f>U174+U181+U180</f>
        <v>793.47311999999999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102.9683928</v>
      </c>
      <c r="E183" s="106"/>
      <c r="F183" s="7">
        <f>F182*0.13</f>
        <v>99.641505600000002</v>
      </c>
      <c r="G183" s="85"/>
      <c r="H183" s="86"/>
      <c r="I183" s="42">
        <f>I182*0.13</f>
        <v>93.900008800000009</v>
      </c>
      <c r="J183" s="106"/>
      <c r="K183" s="7">
        <f>K182*0.13</f>
        <v>99.641505600000002</v>
      </c>
      <c r="L183" s="85"/>
      <c r="M183" s="86"/>
      <c r="N183" s="42">
        <f>N182*0.13</f>
        <v>97.513018200000005</v>
      </c>
      <c r="O183" s="106"/>
      <c r="P183" s="7">
        <f>P182*0.13</f>
        <v>99.901505600000007</v>
      </c>
      <c r="Q183" s="85"/>
      <c r="R183" s="86"/>
      <c r="S183" s="42">
        <f>S182*0.13</f>
        <v>107.08662689721403</v>
      </c>
      <c r="T183" s="106"/>
      <c r="U183" s="7">
        <f>U182*0.13</f>
        <v>103.15150560000001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-89.503295280000003</v>
      </c>
      <c r="E184" s="106"/>
      <c r="F184" s="7">
        <f>SUM(F182:F183)*-0.1</f>
        <v>-86.611462560000007</v>
      </c>
      <c r="G184" s="85"/>
      <c r="H184" s="86"/>
      <c r="I184" s="42">
        <f>SUM(I182:I183)*-0.1</f>
        <v>-81.620776880000008</v>
      </c>
      <c r="J184" s="106"/>
      <c r="K184" s="7">
        <f>SUM(K182:K183)*-0.1</f>
        <v>-86.611462560000007</v>
      </c>
      <c r="L184" s="85"/>
      <c r="M184" s="86"/>
      <c r="N184" s="42">
        <f>SUM(N182:N183)*-0.1</f>
        <v>-84.761315820000007</v>
      </c>
      <c r="O184" s="106"/>
      <c r="P184" s="7">
        <f>SUM(P182:P183)*-0.1</f>
        <v>-86.837462560000006</v>
      </c>
      <c r="Q184" s="85"/>
      <c r="R184" s="86"/>
      <c r="S184" s="42">
        <f>SUM(S182:S183)*-0.1</f>
        <v>-93.082991072193749</v>
      </c>
      <c r="T184" s="106"/>
      <c r="U184" s="7">
        <f>SUM(U182:U183)*-0.1</f>
        <v>-89.662462559999994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805.52965752</v>
      </c>
      <c r="E185" s="181"/>
      <c r="F185" s="182">
        <f>SUM(F182:F184)</f>
        <v>779.50316303999989</v>
      </c>
      <c r="G185" s="183">
        <f>F185-D185</f>
        <v>-26.02649448000011</v>
      </c>
      <c r="H185" s="179"/>
      <c r="I185" s="180">
        <f>SUM(I182:I184)</f>
        <v>734.58699192000006</v>
      </c>
      <c r="J185" s="181"/>
      <c r="K185" s="182">
        <f>SUM(K182:K184)</f>
        <v>779.50316303999989</v>
      </c>
      <c r="L185" s="183">
        <f>K185-I185</f>
        <v>44.916171119999831</v>
      </c>
      <c r="M185" s="179"/>
      <c r="N185" s="180">
        <f>SUM(N182:N184)</f>
        <v>762.85184237999999</v>
      </c>
      <c r="O185" s="181"/>
      <c r="P185" s="182">
        <f>SUM(P182:P184)</f>
        <v>781.53716304</v>
      </c>
      <c r="Q185" s="183">
        <f>P185-N185</f>
        <v>18.685320660000002</v>
      </c>
      <c r="R185" s="179"/>
      <c r="S185" s="180">
        <f>SUM(S182:S184)</f>
        <v>837.74691964974363</v>
      </c>
      <c r="T185" s="181"/>
      <c r="U185" s="182">
        <f>SUM(U182:U184)</f>
        <v>806.96216303999995</v>
      </c>
      <c r="V185" s="183">
        <f>U185-S185</f>
        <v>-30.784756609743681</v>
      </c>
    </row>
    <row r="186" spans="1:22" ht="15.75" thickBot="1" x14ac:dyDescent="0.3">
      <c r="A186" s="184">
        <f>A185+1</f>
        <v>54</v>
      </c>
      <c r="B186" s="185" t="s">
        <v>118</v>
      </c>
      <c r="C186" s="186"/>
      <c r="D186" s="187"/>
      <c r="E186" s="188"/>
      <c r="F186" s="189"/>
      <c r="G186" s="190">
        <f>G185/D185</f>
        <v>-3.2309790504955943E-2</v>
      </c>
      <c r="H186" s="186"/>
      <c r="I186" s="187"/>
      <c r="J186" s="188"/>
      <c r="K186" s="189"/>
      <c r="L186" s="190">
        <f>L185/I185</f>
        <v>6.1144795121680307E-2</v>
      </c>
      <c r="M186" s="186"/>
      <c r="N186" s="187"/>
      <c r="O186" s="188"/>
      <c r="P186" s="189"/>
      <c r="Q186" s="190">
        <f>Q185/N185</f>
        <v>2.4494036222950183E-2</v>
      </c>
      <c r="R186" s="186"/>
      <c r="S186" s="187"/>
      <c r="T186" s="188"/>
      <c r="U186" s="189"/>
      <c r="V186" s="190">
        <f>V185/S185</f>
        <v>-3.6747084218005342E-2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120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103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103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103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103</v>
      </c>
    </row>
    <row r="189" spans="1:22" x14ac:dyDescent="0.25">
      <c r="A189" s="139">
        <f>A188+1</f>
        <v>56</v>
      </c>
      <c r="B189" s="85" t="s">
        <v>119</v>
      </c>
      <c r="C189" s="86"/>
      <c r="D189" s="42">
        <f>SUM(D144:D147)+D150+D159</f>
        <v>96.85</v>
      </c>
      <c r="E189" s="106"/>
      <c r="F189" s="7">
        <f>SUM(F144:F147)+F150+F159</f>
        <v>69.08</v>
      </c>
      <c r="G189" s="56">
        <f>F189-D189</f>
        <v>-27.769999999999996</v>
      </c>
      <c r="H189" s="86"/>
      <c r="I189" s="42">
        <f>SUM(I144:I147)+I150+I159</f>
        <v>49.910000000000004</v>
      </c>
      <c r="J189" s="106"/>
      <c r="K189" s="7">
        <f>SUM(K144:K147)+K150+K159</f>
        <v>69.08</v>
      </c>
      <c r="L189" s="56">
        <f>K189-I189</f>
        <v>19.169999999999995</v>
      </c>
      <c r="M189" s="86"/>
      <c r="N189" s="42">
        <f>SUM(N144:N147)+N150+N159</f>
        <v>60.160000000000004</v>
      </c>
      <c r="O189" s="106"/>
      <c r="P189" s="7">
        <f>SUM(P144:P147)+P150+P159</f>
        <v>69.08</v>
      </c>
      <c r="Q189" s="56">
        <f>P189-N189</f>
        <v>8.9199999999999946</v>
      </c>
      <c r="R189" s="86"/>
      <c r="S189" s="42">
        <f>SUM(S144:S147)+S150+S159</f>
        <v>81.14</v>
      </c>
      <c r="T189" s="106"/>
      <c r="U189" s="7">
        <f>SUM(U144:U147)+U150+U159</f>
        <v>69.08</v>
      </c>
      <c r="V189" s="56">
        <f>U189-S189</f>
        <v>-12.060000000000002</v>
      </c>
    </row>
    <row r="190" spans="1:22" x14ac:dyDescent="0.25">
      <c r="A190" s="164">
        <f t="shared" ref="A190:A192" si="53">A189+1</f>
        <v>57</v>
      </c>
      <c r="B190" s="165" t="s">
        <v>118</v>
      </c>
      <c r="C190" s="166"/>
      <c r="D190" s="167"/>
      <c r="E190" s="168"/>
      <c r="F190" s="93"/>
      <c r="G190" s="169">
        <f>G189/SUM(D189:D192)</f>
        <v>-0.2064715330998329</v>
      </c>
      <c r="H190" s="166"/>
      <c r="I190" s="167"/>
      <c r="J190" s="168"/>
      <c r="K190" s="93"/>
      <c r="L190" s="169">
        <f>L189/SUM(I189:I192)</f>
        <v>0.21008090251720091</v>
      </c>
      <c r="M190" s="166"/>
      <c r="N190" s="167"/>
      <c r="O190" s="168"/>
      <c r="P190" s="93"/>
      <c r="Q190" s="169">
        <f>Q189/SUM(N189:N192)</f>
        <v>8.0173764951013957E-2</v>
      </c>
      <c r="R190" s="166"/>
      <c r="S190" s="167"/>
      <c r="T190" s="168"/>
      <c r="U190" s="93"/>
      <c r="V190" s="169">
        <f>V189/SUM(S189:S192)</f>
        <v>-6.6795679438340277E-2</v>
      </c>
    </row>
    <row r="191" spans="1:22" x14ac:dyDescent="0.25">
      <c r="A191" s="139">
        <f t="shared" si="53"/>
        <v>58</v>
      </c>
      <c r="B191" s="85" t="s">
        <v>121</v>
      </c>
      <c r="C191" s="86"/>
      <c r="D191" s="42">
        <f>D148+SUM(D151:D158)+D149</f>
        <v>37.647959999999998</v>
      </c>
      <c r="E191" s="106"/>
      <c r="F191" s="7">
        <f>F148+SUM(F151:F158)+F149</f>
        <v>45.301169999999999</v>
      </c>
      <c r="G191" s="56">
        <f>F191-D191</f>
        <v>7.6532100000000014</v>
      </c>
      <c r="H191" s="86"/>
      <c r="I191" s="42">
        <f>I148+SUM(I151:I158)+I149</f>
        <v>41.340560000000004</v>
      </c>
      <c r="J191" s="106"/>
      <c r="K191" s="7">
        <f>K148+SUM(K151:K158)+K149</f>
        <v>45.301169999999999</v>
      </c>
      <c r="L191" s="56">
        <f>K191-I191</f>
        <v>3.9606099999999955</v>
      </c>
      <c r="M191" s="86"/>
      <c r="N191" s="42">
        <f>N148+SUM(N151:N158)+N149</f>
        <v>51.09834</v>
      </c>
      <c r="O191" s="106"/>
      <c r="P191" s="7">
        <f>P148+SUM(P151:P158)+P149</f>
        <v>47.301169999999999</v>
      </c>
      <c r="Q191" s="56">
        <f>P191-N191</f>
        <v>-3.7971700000000013</v>
      </c>
      <c r="R191" s="86"/>
      <c r="S191" s="42">
        <f>S148+SUM(S151:S158)+S149</f>
        <v>99.410600000000017</v>
      </c>
      <c r="T191" s="106"/>
      <c r="U191" s="7">
        <f>U148+SUM(U151:U158)+U149</f>
        <v>56.801169999999999</v>
      </c>
      <c r="V191" s="56">
        <f>U191-S191</f>
        <v>-42.609430000000017</v>
      </c>
    </row>
    <row r="192" spans="1:22" ht="15.75" thickBot="1" x14ac:dyDescent="0.3">
      <c r="A192" s="170">
        <f t="shared" si="53"/>
        <v>59</v>
      </c>
      <c r="B192" s="171" t="s">
        <v>118</v>
      </c>
      <c r="C192" s="172"/>
      <c r="D192" s="173"/>
      <c r="E192" s="174"/>
      <c r="F192" s="175"/>
      <c r="G192" s="176">
        <f>G191/SUM(D189:D192)</f>
        <v>5.6902052640798437E-2</v>
      </c>
      <c r="H192" s="172"/>
      <c r="I192" s="173"/>
      <c r="J192" s="174"/>
      <c r="K192" s="175"/>
      <c r="L192" s="176">
        <f>L191/SUM(I189:I192)</f>
        <v>4.3403678837696941E-2</v>
      </c>
      <c r="M192" s="172"/>
      <c r="N192" s="173"/>
      <c r="O192" s="174"/>
      <c r="P192" s="175"/>
      <c r="Q192" s="176">
        <f>Q191/SUM(N189:N192)</f>
        <v>-3.412930662096883E-2</v>
      </c>
      <c r="R192" s="172"/>
      <c r="S192" s="173"/>
      <c r="T192" s="174"/>
      <c r="U192" s="175"/>
      <c r="V192" s="176">
        <f>V191/SUM(S189:S192)</f>
        <v>-0.2359971664453068</v>
      </c>
    </row>
    <row r="193" spans="1:22" ht="15.75" thickBot="1" x14ac:dyDescent="0.3"/>
    <row r="194" spans="1:22" x14ac:dyDescent="0.25">
      <c r="A194" s="331" t="s">
        <v>111</v>
      </c>
      <c r="B194" s="333" t="s">
        <v>0</v>
      </c>
      <c r="C194" s="329" t="s">
        <v>115</v>
      </c>
      <c r="D194" s="330"/>
      <c r="E194" s="327" t="s">
        <v>116</v>
      </c>
      <c r="F194" s="327"/>
      <c r="G194" s="328"/>
      <c r="H194" s="329" t="s">
        <v>117</v>
      </c>
      <c r="I194" s="330"/>
      <c r="J194" s="327" t="s">
        <v>116</v>
      </c>
      <c r="K194" s="327"/>
      <c r="L194" s="328"/>
      <c r="M194" s="329" t="s">
        <v>124</v>
      </c>
      <c r="N194" s="330"/>
      <c r="O194" s="327" t="s">
        <v>116</v>
      </c>
      <c r="P194" s="327"/>
      <c r="Q194" s="328"/>
      <c r="R194" s="329" t="s">
        <v>123</v>
      </c>
      <c r="S194" s="330"/>
      <c r="T194" s="327" t="s">
        <v>116</v>
      </c>
      <c r="U194" s="327"/>
      <c r="V194" s="328"/>
    </row>
    <row r="195" spans="1:22" x14ac:dyDescent="0.25">
      <c r="A195" s="332"/>
      <c r="B195" s="334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103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103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103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103</v>
      </c>
    </row>
    <row r="196" spans="1:22" x14ac:dyDescent="0.25">
      <c r="A196" s="139">
        <v>1</v>
      </c>
      <c r="B196" s="85" t="s">
        <v>91</v>
      </c>
      <c r="C196" s="86"/>
      <c r="D196" s="252">
        <v>10000</v>
      </c>
      <c r="E196" s="106"/>
      <c r="F196" s="1">
        <f>D196</f>
        <v>10000</v>
      </c>
      <c r="G196" s="85"/>
      <c r="H196" s="86"/>
      <c r="I196" s="40">
        <f>D196</f>
        <v>10000</v>
      </c>
      <c r="J196" s="106"/>
      <c r="K196" s="1">
        <f>I196</f>
        <v>10000</v>
      </c>
      <c r="L196" s="85"/>
      <c r="M196" s="86"/>
      <c r="N196" s="40">
        <f>D196</f>
        <v>10000</v>
      </c>
      <c r="O196" s="106"/>
      <c r="P196" s="1">
        <f>N196</f>
        <v>10000</v>
      </c>
      <c r="Q196" s="85"/>
      <c r="R196" s="86"/>
      <c r="S196" s="40">
        <f>D196</f>
        <v>10000</v>
      </c>
      <c r="T196" s="106"/>
      <c r="U196" s="1">
        <f>S196</f>
        <v>10000</v>
      </c>
      <c r="V196" s="85"/>
    </row>
    <row r="197" spans="1:22" x14ac:dyDescent="0.25">
      <c r="A197" s="139">
        <f>A196+1</f>
        <v>2</v>
      </c>
      <c r="B197" s="85" t="s">
        <v>92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93</v>
      </c>
      <c r="C199" s="86"/>
      <c r="D199" s="40">
        <f>D196*D198</f>
        <v>10428</v>
      </c>
      <c r="E199" s="106"/>
      <c r="F199" s="1">
        <f>F196*F198</f>
        <v>10431</v>
      </c>
      <c r="G199" s="85"/>
      <c r="H199" s="86"/>
      <c r="I199" s="40">
        <f>I196*I198</f>
        <v>10608</v>
      </c>
      <c r="J199" s="106"/>
      <c r="K199" s="1">
        <f>K196*K198</f>
        <v>10431</v>
      </c>
      <c r="L199" s="85"/>
      <c r="M199" s="86"/>
      <c r="N199" s="40">
        <f>N196*N198</f>
        <v>10662</v>
      </c>
      <c r="O199" s="106"/>
      <c r="P199" s="1">
        <f>P196*P198</f>
        <v>10431</v>
      </c>
      <c r="Q199" s="85"/>
      <c r="R199" s="86"/>
      <c r="S199" s="40">
        <f>S196*S198</f>
        <v>10580</v>
      </c>
      <c r="T199" s="106"/>
      <c r="U199" s="1">
        <f>U196*U198</f>
        <v>10431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512</v>
      </c>
      <c r="E201" s="108">
        <f>'General Input'!$B$11</f>
        <v>0.08</v>
      </c>
      <c r="F201" s="7">
        <f>F$196*E201*TOU_OFF</f>
        <v>512</v>
      </c>
      <c r="G201" s="85"/>
      <c r="H201" s="84">
        <f>'General Input'!$B$11</f>
        <v>0.08</v>
      </c>
      <c r="I201" s="42">
        <f>I$196*H201*TOU_OFF</f>
        <v>512</v>
      </c>
      <c r="J201" s="108">
        <f>'General Input'!$B$11</f>
        <v>0.08</v>
      </c>
      <c r="K201" s="7">
        <f>K$196*J201*TOU_OFF</f>
        <v>512</v>
      </c>
      <c r="L201" s="85"/>
      <c r="M201" s="84">
        <f>'General Input'!$B$11</f>
        <v>0.08</v>
      </c>
      <c r="N201" s="42">
        <f>N$196*M201*TOU_OFF</f>
        <v>512</v>
      </c>
      <c r="O201" s="108">
        <f>'General Input'!$B$11</f>
        <v>0.08</v>
      </c>
      <c r="P201" s="7">
        <f>P$196*O201*TOU_OFF</f>
        <v>512</v>
      </c>
      <c r="Q201" s="85"/>
      <c r="R201" s="84">
        <f>'General Input'!$B$11</f>
        <v>0.08</v>
      </c>
      <c r="S201" s="42">
        <f>S$196*R201*TOU_OFF</f>
        <v>512</v>
      </c>
      <c r="T201" s="108">
        <f>'General Input'!$B$11</f>
        <v>0.08</v>
      </c>
      <c r="U201" s="7">
        <f>U$196*T201*TOU_OFF</f>
        <v>512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219.6</v>
      </c>
      <c r="E202" s="108">
        <f>'General Input'!$B$12</f>
        <v>0.122</v>
      </c>
      <c r="F202" s="7">
        <f>F$196*E202*TOU_MID</f>
        <v>219.6</v>
      </c>
      <c r="G202" s="85"/>
      <c r="H202" s="84">
        <f>'General Input'!$B$12</f>
        <v>0.122</v>
      </c>
      <c r="I202" s="42">
        <f>I$196*H202*TOU_MID</f>
        <v>219.6</v>
      </c>
      <c r="J202" s="108">
        <f>'General Input'!$B$12</f>
        <v>0.122</v>
      </c>
      <c r="K202" s="7">
        <f>K$196*J202*TOU_MID</f>
        <v>219.6</v>
      </c>
      <c r="L202" s="85"/>
      <c r="M202" s="84">
        <f>'General Input'!$B$12</f>
        <v>0.122</v>
      </c>
      <c r="N202" s="42">
        <f>N$196*M202*TOU_MID</f>
        <v>219.6</v>
      </c>
      <c r="O202" s="108">
        <f>'General Input'!$B$12</f>
        <v>0.122</v>
      </c>
      <c r="P202" s="7">
        <f>P$196*O202*TOU_MID</f>
        <v>219.6</v>
      </c>
      <c r="Q202" s="85"/>
      <c r="R202" s="84">
        <f>'General Input'!$B$12</f>
        <v>0.122</v>
      </c>
      <c r="S202" s="42">
        <f>S$196*R202*TOU_MID</f>
        <v>219.6</v>
      </c>
      <c r="T202" s="108">
        <f>'General Input'!$B$12</f>
        <v>0.122</v>
      </c>
      <c r="U202" s="7">
        <f>U$196*T202*TOU_MID</f>
        <v>219.6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289.8</v>
      </c>
      <c r="E203" s="109">
        <f>'General Input'!$B$13</f>
        <v>0.161</v>
      </c>
      <c r="F203" s="70">
        <f>F$196*E203*TOU_ON</f>
        <v>289.8</v>
      </c>
      <c r="G203" s="125"/>
      <c r="H203" s="124">
        <f>'General Input'!$B$13</f>
        <v>0.161</v>
      </c>
      <c r="I203" s="69">
        <f>I$196*H203*TOU_ON</f>
        <v>289.8</v>
      </c>
      <c r="J203" s="109">
        <f>'General Input'!$B$13</f>
        <v>0.161</v>
      </c>
      <c r="K203" s="70">
        <f>K$196*J203*TOU_ON</f>
        <v>289.8</v>
      </c>
      <c r="L203" s="125"/>
      <c r="M203" s="124">
        <f>'General Input'!$B$13</f>
        <v>0.161</v>
      </c>
      <c r="N203" s="69">
        <f>N$196*M203*TOU_ON</f>
        <v>289.8</v>
      </c>
      <c r="O203" s="109">
        <f>'General Input'!$B$13</f>
        <v>0.161</v>
      </c>
      <c r="P203" s="70">
        <f>P$196*O203*TOU_ON</f>
        <v>289.8</v>
      </c>
      <c r="Q203" s="125"/>
      <c r="R203" s="124">
        <f>'General Input'!$B$13</f>
        <v>0.161</v>
      </c>
      <c r="S203" s="69">
        <f>S$196*R203*TOU_ON</f>
        <v>289.8</v>
      </c>
      <c r="T203" s="109">
        <f>'General Input'!$B$13</f>
        <v>0.161</v>
      </c>
      <c r="U203" s="70">
        <f>U$196*T203*TOU_ON</f>
        <v>289.8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1021.4000000000001</v>
      </c>
      <c r="E204" s="110"/>
      <c r="F204" s="95">
        <f>SUM(F201:F203)</f>
        <v>1021.4000000000001</v>
      </c>
      <c r="G204" s="127">
        <f>D204-F204</f>
        <v>0</v>
      </c>
      <c r="H204" s="126"/>
      <c r="I204" s="96">
        <f>SUM(I201:I203)</f>
        <v>1021.4000000000001</v>
      </c>
      <c r="J204" s="110"/>
      <c r="K204" s="95">
        <f>SUM(K201:K203)</f>
        <v>1021.4000000000001</v>
      </c>
      <c r="L204" s="127">
        <f>I204-K204</f>
        <v>0</v>
      </c>
      <c r="M204" s="126"/>
      <c r="N204" s="96">
        <f>SUM(N201:N203)</f>
        <v>1021.4000000000001</v>
      </c>
      <c r="O204" s="110"/>
      <c r="P204" s="95">
        <f>SUM(P201:P203)</f>
        <v>1021.4000000000001</v>
      </c>
      <c r="Q204" s="127">
        <f>N204-P204</f>
        <v>0</v>
      </c>
      <c r="R204" s="126"/>
      <c r="S204" s="96">
        <f>SUM(S201:S203)</f>
        <v>1021.4000000000001</v>
      </c>
      <c r="T204" s="110"/>
      <c r="U204" s="95">
        <f>SUM(U201:U203)</f>
        <v>1021.4000000000001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118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Approved'!$C$4</f>
        <v>34.840000000000003</v>
      </c>
      <c r="D207" s="42">
        <f>C207</f>
        <v>34.840000000000003</v>
      </c>
      <c r="E207" s="113">
        <f>'2016 Proposed'!$C$3</f>
        <v>30.08</v>
      </c>
      <c r="F207" s="7">
        <f>E207</f>
        <v>30.08</v>
      </c>
      <c r="G207" s="85"/>
      <c r="H207" s="55">
        <f>'2015 Approved'!$N$4</f>
        <v>19.059999999999999</v>
      </c>
      <c r="I207" s="42">
        <f>H207</f>
        <v>19.059999999999999</v>
      </c>
      <c r="J207" s="113">
        <f>'2016 Proposed'!$C$3</f>
        <v>30.08</v>
      </c>
      <c r="K207" s="7">
        <f>J207</f>
        <v>30.08</v>
      </c>
      <c r="L207" s="85"/>
      <c r="M207" s="55">
        <f>'2015 Approved'!$U$4</f>
        <v>27.45</v>
      </c>
      <c r="N207" s="42">
        <f>M207</f>
        <v>27.45</v>
      </c>
      <c r="O207" s="113">
        <f>'2016 Proposed'!$C$3</f>
        <v>30.08</v>
      </c>
      <c r="P207" s="7">
        <f>O207</f>
        <v>30.08</v>
      </c>
      <c r="Q207" s="85"/>
      <c r="R207" s="55">
        <f>'2015 Approved'!$Y$4</f>
        <v>22.91</v>
      </c>
      <c r="S207" s="42">
        <f>R207</f>
        <v>22.91</v>
      </c>
      <c r="T207" s="113">
        <f>'2016 Proposed'!$C$3</f>
        <v>30.08</v>
      </c>
      <c r="U207" s="7">
        <f>T207</f>
        <v>30.08</v>
      </c>
      <c r="V207" s="85"/>
    </row>
    <row r="208" spans="1:22" x14ac:dyDescent="0.25">
      <c r="A208" s="139">
        <f t="shared" si="54"/>
        <v>13</v>
      </c>
      <c r="B208" s="85" t="s">
        <v>86</v>
      </c>
      <c r="C208" s="55">
        <f>'2015 Approved'!$C$5</f>
        <v>3.01</v>
      </c>
      <c r="D208" s="42">
        <f t="shared" ref="D208:D211" si="55">C208</f>
        <v>3.01</v>
      </c>
      <c r="E208" s="113">
        <f>'2016 Proposed'!$C$5</f>
        <v>0</v>
      </c>
      <c r="F208" s="7">
        <f t="shared" ref="F208:F211" si="56">E208</f>
        <v>0</v>
      </c>
      <c r="G208" s="85"/>
      <c r="H208" s="55">
        <f>'2015 Approved'!$N$5</f>
        <v>1.23</v>
      </c>
      <c r="I208" s="42">
        <f t="shared" ref="I208:I211" si="57">H208</f>
        <v>1.23</v>
      </c>
      <c r="J208" s="113">
        <f>'2016 Proposed'!$C$5</f>
        <v>0</v>
      </c>
      <c r="K208" s="7">
        <f t="shared" ref="K208:K211" si="58">J208</f>
        <v>0</v>
      </c>
      <c r="L208" s="85"/>
      <c r="M208" s="55">
        <f>'2015 Approved'!$U$5</f>
        <v>2.21</v>
      </c>
      <c r="N208" s="42">
        <f t="shared" ref="N208:N211" si="59">M208</f>
        <v>2.21</v>
      </c>
      <c r="O208" s="113">
        <f>'2016 Proposed'!$C$5</f>
        <v>0</v>
      </c>
      <c r="P208" s="7">
        <f t="shared" ref="P208:P211" si="60">O208</f>
        <v>0</v>
      </c>
      <c r="Q208" s="85"/>
      <c r="R208" s="55">
        <f>'2015 Approved'!$Y$5</f>
        <v>1.23</v>
      </c>
      <c r="S208" s="42">
        <f t="shared" ref="S208:S211" si="61">R208</f>
        <v>1.23</v>
      </c>
      <c r="T208" s="113">
        <f>'2016 Proposed'!$C$5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86</v>
      </c>
      <c r="C209" s="55">
        <f>'2015 Approved'!$C$6</f>
        <v>0</v>
      </c>
      <c r="D209" s="42">
        <f t="shared" si="55"/>
        <v>0</v>
      </c>
      <c r="E209" s="113">
        <f>'2016 Proposed'!$C$6</f>
        <v>0</v>
      </c>
      <c r="F209" s="7">
        <f t="shared" si="56"/>
        <v>0</v>
      </c>
      <c r="G209" s="85"/>
      <c r="H209" s="55">
        <f>'2015 Approved'!$N$6</f>
        <v>4.12</v>
      </c>
      <c r="I209" s="42">
        <f t="shared" si="57"/>
        <v>4.12</v>
      </c>
      <c r="J209" s="113">
        <f>'2016 Proposed'!$C$6</f>
        <v>0</v>
      </c>
      <c r="K209" s="7">
        <f t="shared" si="58"/>
        <v>0</v>
      </c>
      <c r="L209" s="85"/>
      <c r="M209" s="55">
        <f>'2015 Approved'!$U$6</f>
        <v>0</v>
      </c>
      <c r="N209" s="42">
        <f t="shared" si="59"/>
        <v>0</v>
      </c>
      <c r="O209" s="113">
        <f>'2016 Proposed'!$C$6</f>
        <v>0</v>
      </c>
      <c r="P209" s="7">
        <f t="shared" si="60"/>
        <v>0</v>
      </c>
      <c r="Q209" s="85"/>
      <c r="R209" s="55">
        <f>'2015 Approved'!$Y$6</f>
        <v>0</v>
      </c>
      <c r="S209" s="42">
        <f t="shared" si="61"/>
        <v>0</v>
      </c>
      <c r="T209" s="113">
        <f>'2016 Proposed'!$C$6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Approved'!$C$196</f>
        <v>0</v>
      </c>
      <c r="D210" s="42">
        <f t="shared" si="55"/>
        <v>0</v>
      </c>
      <c r="E210" s="113">
        <f>'2016 Proposed'!$C$196</f>
        <v>0</v>
      </c>
      <c r="F210" s="7">
        <f t="shared" si="56"/>
        <v>0</v>
      </c>
      <c r="G210" s="85"/>
      <c r="H210" s="55">
        <f>'2015 Approved'!$N$196</f>
        <v>0</v>
      </c>
      <c r="I210" s="42">
        <f t="shared" si="57"/>
        <v>0</v>
      </c>
      <c r="J210" s="113">
        <f>'2016 Proposed'!$C$196</f>
        <v>0</v>
      </c>
      <c r="K210" s="7">
        <f t="shared" si="58"/>
        <v>0</v>
      </c>
      <c r="L210" s="85"/>
      <c r="M210" s="55">
        <f>'2015 Approved'!$U$196</f>
        <v>0</v>
      </c>
      <c r="N210" s="42">
        <f t="shared" si="59"/>
        <v>0</v>
      </c>
      <c r="O210" s="113">
        <f>'2016 Proposed'!$C$196</f>
        <v>0</v>
      </c>
      <c r="P210" s="7">
        <f t="shared" si="60"/>
        <v>0</v>
      </c>
      <c r="Q210" s="85"/>
      <c r="R210" s="55">
        <f>'2015 Approved'!$Y$196</f>
        <v>0</v>
      </c>
      <c r="S210" s="42">
        <f t="shared" si="61"/>
        <v>0</v>
      </c>
      <c r="T210" s="113">
        <f>'2016 Proposed'!$C$196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95</v>
      </c>
      <c r="C211" s="55">
        <f>'2015 Approved'!$C$8</f>
        <v>0.79</v>
      </c>
      <c r="D211" s="42">
        <f t="shared" si="55"/>
        <v>0.79</v>
      </c>
      <c r="E211" s="113">
        <f>'2016 Proposed'!$C$8</f>
        <v>0.79</v>
      </c>
      <c r="F211" s="7">
        <f t="shared" si="56"/>
        <v>0.79</v>
      </c>
      <c r="G211" s="85"/>
      <c r="H211" s="55">
        <f>'2015 Approved'!$N$8</f>
        <v>0.79</v>
      </c>
      <c r="I211" s="42">
        <f t="shared" si="57"/>
        <v>0.79</v>
      </c>
      <c r="J211" s="113">
        <f>'2016 Proposed'!$C$8</f>
        <v>0.79</v>
      </c>
      <c r="K211" s="7">
        <f t="shared" si="58"/>
        <v>0.79</v>
      </c>
      <c r="L211" s="85"/>
      <c r="M211" s="55">
        <f>'2015 Approved'!$U$8</f>
        <v>0.79</v>
      </c>
      <c r="N211" s="42">
        <f t="shared" si="59"/>
        <v>0.79</v>
      </c>
      <c r="O211" s="113">
        <f>'2016 Proposed'!$C$8</f>
        <v>0.79</v>
      </c>
      <c r="P211" s="7">
        <f t="shared" si="60"/>
        <v>0.79</v>
      </c>
      <c r="Q211" s="85"/>
      <c r="R211" s="55">
        <f>'2015 Approved'!$Y$8</f>
        <v>0.79</v>
      </c>
      <c r="S211" s="42">
        <f t="shared" si="61"/>
        <v>0.79</v>
      </c>
      <c r="T211" s="113">
        <f>'2016 Proposed'!$C$8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0.10214000000000001</v>
      </c>
      <c r="D212" s="42">
        <f>(D199-D196)*C212</f>
        <v>43.715920000000004</v>
      </c>
      <c r="E212" s="114">
        <f>F204/$F$196</f>
        <v>0.10214000000000001</v>
      </c>
      <c r="F212" s="7">
        <f>(F199-F196)*E212</f>
        <v>44.022340000000007</v>
      </c>
      <c r="G212" s="85"/>
      <c r="H212" s="59">
        <f>I204/I196</f>
        <v>0.10214000000000001</v>
      </c>
      <c r="I212" s="42">
        <f>(I199-I196)*H212</f>
        <v>62.101120000000009</v>
      </c>
      <c r="J212" s="114">
        <f>K204/$F$196</f>
        <v>0.10214000000000001</v>
      </c>
      <c r="K212" s="7">
        <f>(K199-K196)*J212</f>
        <v>44.022340000000007</v>
      </c>
      <c r="L212" s="85"/>
      <c r="M212" s="59">
        <f>N204/N196</f>
        <v>0.10214000000000001</v>
      </c>
      <c r="N212" s="42">
        <f>(N199-N196)*M212</f>
        <v>67.616680000000002</v>
      </c>
      <c r="O212" s="114">
        <f>P204/$F$196</f>
        <v>0.10214000000000001</v>
      </c>
      <c r="P212" s="7">
        <f>(P199-P196)*O212</f>
        <v>44.022340000000007</v>
      </c>
      <c r="Q212" s="85"/>
      <c r="R212" s="59">
        <f>S204/S196</f>
        <v>0.10214000000000001</v>
      </c>
      <c r="S212" s="42">
        <f>(S199-S196)*R212</f>
        <v>59.241200000000006</v>
      </c>
      <c r="T212" s="114">
        <f>U204/$F$196</f>
        <v>0.10214000000000001</v>
      </c>
      <c r="U212" s="7">
        <f>(U199-U196)*T212</f>
        <v>44.022340000000007</v>
      </c>
      <c r="V212" s="85"/>
    </row>
    <row r="213" spans="1:22" x14ac:dyDescent="0.25">
      <c r="A213" s="139">
        <f t="shared" si="54"/>
        <v>18</v>
      </c>
      <c r="B213" s="85" t="s">
        <v>90</v>
      </c>
      <c r="C213" s="59">
        <f>'2015 Approved'!$C$11</f>
        <v>1.18E-2</v>
      </c>
      <c r="D213" s="42">
        <f t="shared" ref="D213:D222" si="63">C213*D$196</f>
        <v>118</v>
      </c>
      <c r="E213" s="114">
        <f>'2016 Proposed'!$C$11</f>
        <v>0.01</v>
      </c>
      <c r="F213" s="7">
        <f t="shared" ref="F213:F222" si="64">E213*F$196</f>
        <v>100</v>
      </c>
      <c r="G213" s="85"/>
      <c r="H213" s="59">
        <f>'2015 Approved'!$N$11</f>
        <v>5.1000000000000004E-3</v>
      </c>
      <c r="I213" s="42">
        <f t="shared" ref="I213:I222" si="65">H213*I$196</f>
        <v>51.000000000000007</v>
      </c>
      <c r="J213" s="114">
        <f>'2016 Proposed'!$C$11</f>
        <v>0.01</v>
      </c>
      <c r="K213" s="7">
        <f t="shared" ref="K213:K222" si="66">J213*K$196</f>
        <v>100</v>
      </c>
      <c r="L213" s="85"/>
      <c r="M213" s="59">
        <f>'2015 Approved'!$U$11</f>
        <v>6.1000000000000004E-3</v>
      </c>
      <c r="N213" s="42">
        <f t="shared" ref="N213:N222" si="67">M213*N$196</f>
        <v>61.000000000000007</v>
      </c>
      <c r="O213" s="114">
        <f>'2016 Proposed'!$C$11</f>
        <v>0.01</v>
      </c>
      <c r="P213" s="7">
        <f t="shared" ref="P213:P222" si="68">O213*P$196</f>
        <v>100</v>
      </c>
      <c r="Q213" s="85"/>
      <c r="R213" s="59">
        <f>'2015 Approved'!$Y$11</f>
        <v>1.14E-2</v>
      </c>
      <c r="S213" s="42">
        <f t="shared" ref="S213:S222" si="69">R213*S$196</f>
        <v>114</v>
      </c>
      <c r="T213" s="114">
        <f>'2016 Proposed'!$C$11</f>
        <v>0.01</v>
      </c>
      <c r="U213" s="7">
        <f t="shared" ref="U213:U222" si="70">T213*U$196</f>
        <v>100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Approved'!$C$12</f>
        <v>2.9999999999999997E-4</v>
      </c>
      <c r="D214" s="42">
        <f t="shared" si="63"/>
        <v>2.9999999999999996</v>
      </c>
      <c r="E214" s="114">
        <f>'2016 Proposed'!$C$13</f>
        <v>1.6000000000000001E-3</v>
      </c>
      <c r="F214" s="7">
        <f t="shared" si="64"/>
        <v>16</v>
      </c>
      <c r="G214" s="85"/>
      <c r="H214" s="59">
        <f>'2015 Approved'!$N$12</f>
        <v>2.0000000000000001E-4</v>
      </c>
      <c r="I214" s="42">
        <f t="shared" si="65"/>
        <v>2</v>
      </c>
      <c r="J214" s="114">
        <f>'2016 Proposed'!$C$13</f>
        <v>1.6000000000000001E-3</v>
      </c>
      <c r="K214" s="7">
        <f t="shared" si="66"/>
        <v>16</v>
      </c>
      <c r="L214" s="85"/>
      <c r="M214" s="59">
        <f>'2015 Approved'!$U$12</f>
        <v>1.2999999999999999E-3</v>
      </c>
      <c r="N214" s="42">
        <f t="shared" si="67"/>
        <v>13</v>
      </c>
      <c r="O214" s="114">
        <f>'2016 Proposed'!$C$13</f>
        <v>1.6000000000000001E-3</v>
      </c>
      <c r="P214" s="7">
        <f t="shared" si="68"/>
        <v>16</v>
      </c>
      <c r="Q214" s="85"/>
      <c r="R214" s="59">
        <f>'2015 Approved'!$Y$12</f>
        <v>5.5999999999999999E-3</v>
      </c>
      <c r="S214" s="42">
        <f t="shared" si="69"/>
        <v>56</v>
      </c>
      <c r="T214" s="114">
        <f>'2016 Proposed'!$C$13</f>
        <v>1.6000000000000001E-3</v>
      </c>
      <c r="U214" s="7">
        <f t="shared" si="70"/>
        <v>16</v>
      </c>
      <c r="V214" s="85"/>
    </row>
    <row r="215" spans="1:22" x14ac:dyDescent="0.25">
      <c r="A215" s="139">
        <f t="shared" si="54"/>
        <v>20</v>
      </c>
      <c r="B215" s="85" t="s">
        <v>87</v>
      </c>
      <c r="C215" s="59">
        <f>'2015 Approved'!$C$13</f>
        <v>0</v>
      </c>
      <c r="D215" s="42">
        <f t="shared" si="63"/>
        <v>0</v>
      </c>
      <c r="E215" s="114">
        <f>'2016 Proposed'!$C$14</f>
        <v>0</v>
      </c>
      <c r="F215" s="7">
        <f t="shared" si="64"/>
        <v>0</v>
      </c>
      <c r="G215" s="85"/>
      <c r="H215" s="59">
        <f>'2015 Approved'!$N$13</f>
        <v>2.0000000000000001E-4</v>
      </c>
      <c r="I215" s="42">
        <f t="shared" si="65"/>
        <v>2</v>
      </c>
      <c r="J215" s="114">
        <f>'2016 Proposed'!$C$14</f>
        <v>0</v>
      </c>
      <c r="K215" s="7">
        <f t="shared" si="66"/>
        <v>0</v>
      </c>
      <c r="L215" s="85"/>
      <c r="M215" s="59">
        <f>'2015 Approved'!$U$13</f>
        <v>0</v>
      </c>
      <c r="N215" s="42">
        <f t="shared" si="67"/>
        <v>0</v>
      </c>
      <c r="O215" s="114">
        <f>'2016 Proposed'!$C$14</f>
        <v>0</v>
      </c>
      <c r="P215" s="7">
        <f t="shared" si="68"/>
        <v>0</v>
      </c>
      <c r="Q215" s="85"/>
      <c r="R215" s="59">
        <f>'2015 Approved'!$Y$13</f>
        <v>0</v>
      </c>
      <c r="S215" s="42">
        <f t="shared" si="69"/>
        <v>0</v>
      </c>
      <c r="T215" s="114">
        <f>'2016 Proposed'!$C$14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Approved'!$C$14</f>
        <v>5.9999999999999995E-4</v>
      </c>
      <c r="D216" s="42">
        <f t="shared" si="63"/>
        <v>5.9999999999999991</v>
      </c>
      <c r="E216" s="114">
        <f>'2016 Proposed'!$C$15</f>
        <v>6.9999999999999999E-4</v>
      </c>
      <c r="F216" s="7">
        <f t="shared" si="64"/>
        <v>7</v>
      </c>
      <c r="G216" s="85"/>
      <c r="H216" s="59">
        <f>'2015 Approved'!$N$14</f>
        <v>2.0000000000000001E-4</v>
      </c>
      <c r="I216" s="42">
        <f t="shared" si="65"/>
        <v>2</v>
      </c>
      <c r="J216" s="114">
        <f>'2016 Proposed'!$C$15</f>
        <v>6.9999999999999999E-4</v>
      </c>
      <c r="K216" s="7">
        <f t="shared" si="66"/>
        <v>7</v>
      </c>
      <c r="L216" s="85"/>
      <c r="M216" s="59">
        <f>'2015 Approved'!$U$14</f>
        <v>0</v>
      </c>
      <c r="N216" s="42">
        <f t="shared" si="67"/>
        <v>0</v>
      </c>
      <c r="O216" s="114">
        <f>'2016 Proposed'!$C$15</f>
        <v>6.9999999999999999E-4</v>
      </c>
      <c r="P216" s="7">
        <f t="shared" si="68"/>
        <v>7</v>
      </c>
      <c r="Q216" s="85"/>
      <c r="R216" s="59">
        <f>'2015 Approved'!$Y$14</f>
        <v>0</v>
      </c>
      <c r="S216" s="42">
        <f t="shared" si="69"/>
        <v>0</v>
      </c>
      <c r="T216" s="114">
        <f>'2016 Proposed'!$C$15</f>
        <v>6.9999999999999999E-4</v>
      </c>
      <c r="U216" s="7">
        <f t="shared" si="70"/>
        <v>7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Approved'!$C$15</f>
        <v>-1E-4</v>
      </c>
      <c r="D217" s="42">
        <f t="shared" si="63"/>
        <v>-1</v>
      </c>
      <c r="E217" s="114">
        <f>'2016 Proposed'!$C$16</f>
        <v>0</v>
      </c>
      <c r="F217" s="7">
        <f t="shared" si="64"/>
        <v>0</v>
      </c>
      <c r="G217" s="85"/>
      <c r="H217" s="59">
        <f>'2015 Approved'!$N$15</f>
        <v>-1E-4</v>
      </c>
      <c r="I217" s="42">
        <f t="shared" si="65"/>
        <v>-1</v>
      </c>
      <c r="J217" s="114">
        <f>'2016 Proposed'!$C$16</f>
        <v>0</v>
      </c>
      <c r="K217" s="7">
        <f t="shared" si="66"/>
        <v>0</v>
      </c>
      <c r="L217" s="85"/>
      <c r="M217" s="59">
        <f>'2015 Approved'!$U$15</f>
        <v>0</v>
      </c>
      <c r="N217" s="42">
        <f t="shared" si="67"/>
        <v>0</v>
      </c>
      <c r="O217" s="114">
        <f>'2016 Proposed'!$C$16</f>
        <v>0</v>
      </c>
      <c r="P217" s="7">
        <f t="shared" si="68"/>
        <v>0</v>
      </c>
      <c r="Q217" s="85"/>
      <c r="R217" s="59">
        <f>'2015 Approved'!$Y$15</f>
        <v>0</v>
      </c>
      <c r="S217" s="42">
        <f t="shared" si="69"/>
        <v>0</v>
      </c>
      <c r="T217" s="114">
        <f>'2016 Proposed'!$C$16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101</v>
      </c>
      <c r="C218" s="59">
        <f>'2015 Approved'!$C$16</f>
        <v>0</v>
      </c>
      <c r="D218" s="42">
        <f t="shared" si="63"/>
        <v>0</v>
      </c>
      <c r="E218" s="114">
        <f>'2016 Proposed'!$C$17</f>
        <v>0</v>
      </c>
      <c r="F218" s="7">
        <f t="shared" si="64"/>
        <v>0</v>
      </c>
      <c r="G218" s="85"/>
      <c r="H218" s="59">
        <f>'2015 Approved'!$N$16</f>
        <v>0</v>
      </c>
      <c r="I218" s="42">
        <f t="shared" si="65"/>
        <v>0</v>
      </c>
      <c r="J218" s="114">
        <f>'2016 Proposed'!$C$17</f>
        <v>0</v>
      </c>
      <c r="K218" s="7">
        <f t="shared" si="66"/>
        <v>0</v>
      </c>
      <c r="L218" s="85"/>
      <c r="M218" s="59">
        <f>'2015 Approved'!$U$16</f>
        <v>4.0000000000000002E-4</v>
      </c>
      <c r="N218" s="42">
        <f t="shared" si="67"/>
        <v>4</v>
      </c>
      <c r="O218" s="114">
        <f>M218</f>
        <v>4.0000000000000002E-4</v>
      </c>
      <c r="P218" s="7">
        <f t="shared" si="68"/>
        <v>4</v>
      </c>
      <c r="Q218" s="85"/>
      <c r="R218" s="59">
        <f>'2015 Approved'!$Y$16</f>
        <v>2.3E-3</v>
      </c>
      <c r="S218" s="42">
        <f t="shared" si="69"/>
        <v>23</v>
      </c>
      <c r="T218" s="114">
        <f>R218</f>
        <v>2.3E-3</v>
      </c>
      <c r="U218" s="7">
        <f t="shared" si="70"/>
        <v>23</v>
      </c>
      <c r="V218" s="85"/>
    </row>
    <row r="219" spans="1:22" x14ac:dyDescent="0.25">
      <c r="A219" s="139">
        <f t="shared" si="54"/>
        <v>24</v>
      </c>
      <c r="B219" s="85" t="s">
        <v>112</v>
      </c>
      <c r="C219" s="59">
        <f>'2015 Approved'!$C$17</f>
        <v>2.2000000000000001E-3</v>
      </c>
      <c r="D219" s="42">
        <f t="shared" si="63"/>
        <v>22</v>
      </c>
      <c r="E219" s="114">
        <f>'2016 Proposed'!$C$18</f>
        <v>0</v>
      </c>
      <c r="F219" s="7">
        <f t="shared" si="64"/>
        <v>0</v>
      </c>
      <c r="G219" s="85"/>
      <c r="H219" s="59">
        <f>'2015 Approved'!$N$17</f>
        <v>1.4E-3</v>
      </c>
      <c r="I219" s="42">
        <f t="shared" si="65"/>
        <v>14</v>
      </c>
      <c r="J219" s="114">
        <f>'2016 Proposed'!$C$18</f>
        <v>0</v>
      </c>
      <c r="K219" s="7">
        <f t="shared" si="66"/>
        <v>0</v>
      </c>
      <c r="L219" s="85"/>
      <c r="M219" s="59">
        <f>'2015 Approved'!$U$17</f>
        <v>1.6000000000000001E-3</v>
      </c>
      <c r="N219" s="42">
        <f t="shared" si="67"/>
        <v>16</v>
      </c>
      <c r="O219" s="114">
        <f>'2016 Proposed'!$C$18</f>
        <v>0</v>
      </c>
      <c r="P219" s="7">
        <f t="shared" si="68"/>
        <v>0</v>
      </c>
      <c r="Q219" s="85"/>
      <c r="R219" s="59">
        <f>'2015 Approved'!$Y$17</f>
        <v>5.8999999999999999E-3</v>
      </c>
      <c r="S219" s="42">
        <f t="shared" si="69"/>
        <v>59</v>
      </c>
      <c r="T219" s="114">
        <f>'2016 Proposed'!$C$18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102</v>
      </c>
      <c r="C220" s="59">
        <f>'2015 Approved'!$C$18</f>
        <v>0</v>
      </c>
      <c r="D220" s="42">
        <f t="shared" si="63"/>
        <v>0</v>
      </c>
      <c r="E220" s="114">
        <f>'2016 Proposed'!$C$19</f>
        <v>1.5E-3</v>
      </c>
      <c r="F220" s="7">
        <f t="shared" si="64"/>
        <v>15</v>
      </c>
      <c r="G220" s="85"/>
      <c r="H220" s="59">
        <f>'2015 Approved'!$N$18</f>
        <v>0</v>
      </c>
      <c r="I220" s="42">
        <f t="shared" si="65"/>
        <v>0</v>
      </c>
      <c r="J220" s="114">
        <f>'2016 Proposed'!$C$19</f>
        <v>1.5E-3</v>
      </c>
      <c r="K220" s="7">
        <f t="shared" si="66"/>
        <v>15</v>
      </c>
      <c r="L220" s="85"/>
      <c r="M220" s="59">
        <f>'2015 Approved'!$U$18</f>
        <v>0</v>
      </c>
      <c r="N220" s="42">
        <f t="shared" si="67"/>
        <v>0</v>
      </c>
      <c r="O220" s="114">
        <f>'2016 Proposed'!$C$19</f>
        <v>1.5E-3</v>
      </c>
      <c r="P220" s="7">
        <f t="shared" si="68"/>
        <v>15</v>
      </c>
      <c r="Q220" s="85"/>
      <c r="R220" s="59">
        <f>'2015 Approved'!$Y$18</f>
        <v>0</v>
      </c>
      <c r="S220" s="42">
        <f t="shared" si="69"/>
        <v>0</v>
      </c>
      <c r="T220" s="114">
        <f>'2016 Proposed'!$C$19</f>
        <v>1.5E-3</v>
      </c>
      <c r="U220" s="7">
        <f t="shared" si="70"/>
        <v>15</v>
      </c>
      <c r="V220" s="85"/>
    </row>
    <row r="221" spans="1:22" x14ac:dyDescent="0.25">
      <c r="A221" s="139">
        <f t="shared" si="54"/>
        <v>26</v>
      </c>
      <c r="B221" s="85" t="s">
        <v>94</v>
      </c>
      <c r="C221" s="59">
        <f>'2015 Approved'!$C$19</f>
        <v>0</v>
      </c>
      <c r="D221" s="42">
        <f t="shared" si="63"/>
        <v>0</v>
      </c>
      <c r="E221" s="114">
        <f>'2016 Proposed'!$C$20</f>
        <v>6.9999999999999999E-4</v>
      </c>
      <c r="F221" s="7">
        <f t="shared" si="64"/>
        <v>7</v>
      </c>
      <c r="G221" s="85"/>
      <c r="H221" s="59">
        <f>'2015 Approved'!$N$19</f>
        <v>0</v>
      </c>
      <c r="I221" s="42">
        <f t="shared" si="65"/>
        <v>0</v>
      </c>
      <c r="J221" s="114">
        <f>'2016 Proposed'!$C$20</f>
        <v>6.9999999999999999E-4</v>
      </c>
      <c r="K221" s="7">
        <f t="shared" si="66"/>
        <v>7</v>
      </c>
      <c r="L221" s="85"/>
      <c r="M221" s="59">
        <f>'2015 Approved'!$U$19</f>
        <v>0</v>
      </c>
      <c r="N221" s="42">
        <f t="shared" si="67"/>
        <v>0</v>
      </c>
      <c r="O221" s="114">
        <f>'2016 Proposed'!$C$20</f>
        <v>6.9999999999999999E-4</v>
      </c>
      <c r="P221" s="7">
        <f t="shared" si="68"/>
        <v>7</v>
      </c>
      <c r="Q221" s="85"/>
      <c r="R221" s="59">
        <f>'2015 Approved'!$Y$19</f>
        <v>0</v>
      </c>
      <c r="S221" s="42">
        <f t="shared" si="69"/>
        <v>0</v>
      </c>
      <c r="T221" s="114">
        <f>'2016 Proposed'!$C$20</f>
        <v>6.9999999999999999E-4</v>
      </c>
      <c r="U221" s="7">
        <f t="shared" si="70"/>
        <v>7</v>
      </c>
      <c r="V221" s="85"/>
    </row>
    <row r="222" spans="1:22" x14ac:dyDescent="0.25">
      <c r="A222" s="139">
        <f t="shared" si="54"/>
        <v>27</v>
      </c>
      <c r="B222" s="85" t="s">
        <v>104</v>
      </c>
      <c r="C222" s="59">
        <f>'2015 Approved'!$C$20</f>
        <v>0</v>
      </c>
      <c r="D222" s="42">
        <f t="shared" si="63"/>
        <v>0</v>
      </c>
      <c r="E222" s="114">
        <f>'2016 Proposed'!$C$21</f>
        <v>-2.2000000000000001E-3</v>
      </c>
      <c r="F222" s="7">
        <f t="shared" si="64"/>
        <v>-22</v>
      </c>
      <c r="G222" s="85"/>
      <c r="H222" s="59">
        <f>'2015 Approved'!$N$20</f>
        <v>0</v>
      </c>
      <c r="I222" s="42">
        <f t="shared" si="65"/>
        <v>0</v>
      </c>
      <c r="J222" s="114">
        <f>'2016 Proposed'!$C$21</f>
        <v>-2.2000000000000001E-3</v>
      </c>
      <c r="K222" s="7">
        <f t="shared" si="66"/>
        <v>-22</v>
      </c>
      <c r="L222" s="85"/>
      <c r="M222" s="59">
        <f>'2015 Approved'!$U$20</f>
        <v>0</v>
      </c>
      <c r="N222" s="42">
        <f t="shared" si="67"/>
        <v>0</v>
      </c>
      <c r="O222" s="114">
        <f>'2016 Proposed'!$C$21</f>
        <v>-2.2000000000000001E-3</v>
      </c>
      <c r="P222" s="7">
        <f t="shared" si="68"/>
        <v>-22</v>
      </c>
      <c r="Q222" s="85"/>
      <c r="R222" s="59">
        <f>'2015 Approved'!$Y$20</f>
        <v>0</v>
      </c>
      <c r="S222" s="42">
        <f t="shared" si="69"/>
        <v>0</v>
      </c>
      <c r="T222" s="114">
        <f>'2016 Proposed'!$C$21</f>
        <v>-2.2000000000000001E-3</v>
      </c>
      <c r="U222" s="7">
        <f t="shared" si="70"/>
        <v>-22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230.35592</v>
      </c>
      <c r="E223" s="110"/>
      <c r="F223" s="95">
        <f>SUM(F207:F222)</f>
        <v>197.89233999999999</v>
      </c>
      <c r="G223" s="127">
        <f>F223-D223</f>
        <v>-32.463580000000007</v>
      </c>
      <c r="H223" s="126"/>
      <c r="I223" s="96">
        <f>SUM(I207:I222)</f>
        <v>157.30112000000003</v>
      </c>
      <c r="J223" s="110"/>
      <c r="K223" s="95">
        <f>SUM(K207:K222)</f>
        <v>197.89233999999999</v>
      </c>
      <c r="L223" s="127">
        <f>K223-I223</f>
        <v>40.591219999999964</v>
      </c>
      <c r="M223" s="126"/>
      <c r="N223" s="96">
        <f>SUM(N207:N222)</f>
        <v>192.06668000000002</v>
      </c>
      <c r="O223" s="110"/>
      <c r="P223" s="95">
        <f>SUM(P207:P222)</f>
        <v>201.89233999999999</v>
      </c>
      <c r="Q223" s="127">
        <f>P223-N223</f>
        <v>9.8256599999999708</v>
      </c>
      <c r="R223" s="126"/>
      <c r="S223" s="96">
        <f>SUM(S207:S222)</f>
        <v>336.1712</v>
      </c>
      <c r="T223" s="110"/>
      <c r="U223" s="95">
        <f>SUM(U207:U222)</f>
        <v>220.89233999999999</v>
      </c>
      <c r="V223" s="127">
        <f>U223-S223</f>
        <v>-115.27886000000001</v>
      </c>
    </row>
    <row r="224" spans="1:22" x14ac:dyDescent="0.25">
      <c r="A224" s="144">
        <f t="shared" si="54"/>
        <v>29</v>
      </c>
      <c r="B224" s="145" t="s">
        <v>118</v>
      </c>
      <c r="C224" s="128"/>
      <c r="D224" s="120"/>
      <c r="E224" s="111"/>
      <c r="F224" s="97"/>
      <c r="G224" s="129">
        <f>G223/D223</f>
        <v>-0.14092791711191971</v>
      </c>
      <c r="H224" s="128"/>
      <c r="I224" s="120"/>
      <c r="J224" s="111"/>
      <c r="K224" s="97"/>
      <c r="L224" s="129">
        <f>L223/I223</f>
        <v>0.25804787658218808</v>
      </c>
      <c r="M224" s="128"/>
      <c r="N224" s="120"/>
      <c r="O224" s="111"/>
      <c r="P224" s="97"/>
      <c r="Q224" s="129">
        <f>Q223/N223</f>
        <v>5.1157545910617969E-2</v>
      </c>
      <c r="R224" s="128"/>
      <c r="S224" s="120"/>
      <c r="T224" s="111"/>
      <c r="U224" s="97"/>
      <c r="V224" s="129">
        <f>V223/S223</f>
        <v>-0.34291712080035414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68</v>
      </c>
      <c r="C226" s="59">
        <f>'2015 Approved'!$C$26</f>
        <v>6.4999999999999997E-3</v>
      </c>
      <c r="D226" s="42">
        <f>C226*D$199</f>
        <v>67.781999999999996</v>
      </c>
      <c r="E226" s="114">
        <f>'2016 Proposed'!$C$28</f>
        <v>6.4000000000000003E-3</v>
      </c>
      <c r="F226" s="7">
        <f>E226*F$199</f>
        <v>66.758400000000009</v>
      </c>
      <c r="G226" s="85"/>
      <c r="H226" s="59">
        <f>'2015 Approved'!$N$26</f>
        <v>6.4999999999999997E-3</v>
      </c>
      <c r="I226" s="42">
        <f>H226*I$199</f>
        <v>68.951999999999998</v>
      </c>
      <c r="J226" s="114">
        <f>'2016 Proposed'!$C$28</f>
        <v>6.4000000000000003E-3</v>
      </c>
      <c r="K226" s="7">
        <f>J226*K$199</f>
        <v>66.758400000000009</v>
      </c>
      <c r="L226" s="85"/>
      <c r="M226" s="59">
        <f>'2015 Approved'!$U$26</f>
        <v>7.1000000000000004E-3</v>
      </c>
      <c r="N226" s="42">
        <f>M226*N$199</f>
        <v>75.700200000000009</v>
      </c>
      <c r="O226" s="114">
        <f>'2016 Proposed'!$C$28</f>
        <v>6.4000000000000003E-3</v>
      </c>
      <c r="P226" s="7">
        <f>O226*P$199</f>
        <v>66.758400000000009</v>
      </c>
      <c r="Q226" s="85"/>
      <c r="R226" s="59">
        <f>'2015 Approved'!$Y$26</f>
        <v>6.817114670559849E-3</v>
      </c>
      <c r="S226" s="42">
        <f>R226*S$199</f>
        <v>72.125073214523198</v>
      </c>
      <c r="T226" s="114">
        <f>'2016 Proposed'!$C$28</f>
        <v>6.4000000000000003E-3</v>
      </c>
      <c r="U226" s="7">
        <f>T226*U$199</f>
        <v>66.758400000000009</v>
      </c>
      <c r="V226" s="85"/>
    </row>
    <row r="227" spans="1:22" x14ac:dyDescent="0.25">
      <c r="A227" s="139">
        <f t="shared" si="54"/>
        <v>32</v>
      </c>
      <c r="B227" s="85" t="s">
        <v>69</v>
      </c>
      <c r="C227" s="59">
        <f>'2015 Approved'!$C$27</f>
        <v>4.7000000000000002E-3</v>
      </c>
      <c r="D227" s="42">
        <f>C227*D$199</f>
        <v>49.011600000000001</v>
      </c>
      <c r="E227" s="114">
        <f>'2016 Proposed'!$C$29</f>
        <v>4.7999999999999996E-3</v>
      </c>
      <c r="F227" s="7">
        <f>E227*F$199</f>
        <v>50.068799999999996</v>
      </c>
      <c r="G227" s="85"/>
      <c r="H227" s="59">
        <f>'2015 Approved'!$N$27</f>
        <v>4.5999999999999999E-3</v>
      </c>
      <c r="I227" s="42">
        <f>H227*I$199</f>
        <v>48.796799999999998</v>
      </c>
      <c r="J227" s="114">
        <f>'2016 Proposed'!$C$29</f>
        <v>4.7999999999999996E-3</v>
      </c>
      <c r="K227" s="7">
        <f>J227*K$199</f>
        <v>50.068799999999996</v>
      </c>
      <c r="L227" s="85"/>
      <c r="M227" s="59">
        <f>'2015 Approved'!$U$27</f>
        <v>5.0000000000000001E-3</v>
      </c>
      <c r="N227" s="42">
        <f>M227*N$199</f>
        <v>53.31</v>
      </c>
      <c r="O227" s="114">
        <f>'2016 Proposed'!$C$29</f>
        <v>4.7999999999999996E-3</v>
      </c>
      <c r="P227" s="7">
        <f>O227*P$199</f>
        <v>50.068799999999996</v>
      </c>
      <c r="Q227" s="85"/>
      <c r="R227" s="59">
        <f>'2015 Approved'!$Y$27</f>
        <v>3.2187423851534214E-3</v>
      </c>
      <c r="S227" s="42">
        <f>R227*S$199</f>
        <v>34.0542944349232</v>
      </c>
      <c r="T227" s="114">
        <f>'2016 Proposed'!$C$29</f>
        <v>4.7999999999999996E-3</v>
      </c>
      <c r="U227" s="7">
        <f>T227*U$199</f>
        <v>50.068799999999996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116.7936</v>
      </c>
      <c r="E228" s="110"/>
      <c r="F228" s="95">
        <f>SUM(F226:F227)</f>
        <v>116.8272</v>
      </c>
      <c r="G228" s="127">
        <f>F228-D228</f>
        <v>3.3600000000006958E-2</v>
      </c>
      <c r="H228" s="126"/>
      <c r="I228" s="96">
        <f>SUM(I226:I227)</f>
        <v>117.74879999999999</v>
      </c>
      <c r="J228" s="110"/>
      <c r="K228" s="95">
        <f>SUM(K226:K227)</f>
        <v>116.8272</v>
      </c>
      <c r="L228" s="127">
        <f>K228-I228</f>
        <v>-0.92159999999998377</v>
      </c>
      <c r="M228" s="126"/>
      <c r="N228" s="96">
        <f>SUM(N226:N227)</f>
        <v>129.0102</v>
      </c>
      <c r="O228" s="110"/>
      <c r="P228" s="95">
        <f>SUM(P226:P227)</f>
        <v>116.8272</v>
      </c>
      <c r="Q228" s="127">
        <f>P228-N228</f>
        <v>-12.182999999999993</v>
      </c>
      <c r="R228" s="126"/>
      <c r="S228" s="96">
        <f>SUM(S226:S227)</f>
        <v>106.17936764944639</v>
      </c>
      <c r="T228" s="110"/>
      <c r="U228" s="95">
        <f>SUM(U226:U227)</f>
        <v>116.8272</v>
      </c>
      <c r="V228" s="127">
        <f>U228-S228</f>
        <v>10.647832350553614</v>
      </c>
    </row>
    <row r="229" spans="1:22" x14ac:dyDescent="0.25">
      <c r="A229" s="144">
        <f t="shared" si="54"/>
        <v>34</v>
      </c>
      <c r="B229" s="145" t="s">
        <v>118</v>
      </c>
      <c r="C229" s="128"/>
      <c r="D229" s="120"/>
      <c r="E229" s="111"/>
      <c r="F229" s="97"/>
      <c r="G229" s="129">
        <f>G228/D228</f>
        <v>2.8768699654781562E-4</v>
      </c>
      <c r="H229" s="128"/>
      <c r="I229" s="120"/>
      <c r="J229" s="111"/>
      <c r="K229" s="97"/>
      <c r="L229" s="129">
        <f>L228/I228</f>
        <v>-7.8268313562429841E-3</v>
      </c>
      <c r="M229" s="128"/>
      <c r="N229" s="120"/>
      <c r="O229" s="111"/>
      <c r="P229" s="97"/>
      <c r="Q229" s="129">
        <f>Q228/N228</f>
        <v>-9.4434393559578958E-2</v>
      </c>
      <c r="R229" s="128"/>
      <c r="S229" s="120"/>
      <c r="T229" s="111"/>
      <c r="U229" s="97"/>
      <c r="V229" s="129">
        <f>V228/S228</f>
        <v>0.10028155738982808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66</v>
      </c>
      <c r="C231" s="59">
        <f>WMSR+RRRP</f>
        <v>5.7000000000000002E-3</v>
      </c>
      <c r="D231" s="42">
        <f>C231*D199</f>
        <v>59.439599999999999</v>
      </c>
      <c r="E231" s="114">
        <f>WMSR+RRRP</f>
        <v>5.7000000000000002E-3</v>
      </c>
      <c r="F231" s="7">
        <f>E231*F199</f>
        <v>59.456700000000005</v>
      </c>
      <c r="G231" s="85"/>
      <c r="H231" s="59">
        <f>WMSR+RRRP</f>
        <v>5.7000000000000002E-3</v>
      </c>
      <c r="I231" s="42">
        <f>H231*I199</f>
        <v>60.465600000000002</v>
      </c>
      <c r="J231" s="114">
        <f>WMSR+RRRP</f>
        <v>5.7000000000000002E-3</v>
      </c>
      <c r="K231" s="7">
        <f>J231*K199</f>
        <v>59.456700000000005</v>
      </c>
      <c r="L231" s="85"/>
      <c r="M231" s="59">
        <f>WMSR+RRRP</f>
        <v>5.7000000000000002E-3</v>
      </c>
      <c r="N231" s="42">
        <f>M231*N199</f>
        <v>60.773400000000002</v>
      </c>
      <c r="O231" s="114">
        <f>WMSR+RRRP</f>
        <v>5.7000000000000002E-3</v>
      </c>
      <c r="P231" s="7">
        <f>O231*P199</f>
        <v>59.456700000000005</v>
      </c>
      <c r="Q231" s="85"/>
      <c r="R231" s="59">
        <f>WMSR+RRRP</f>
        <v>5.7000000000000002E-3</v>
      </c>
      <c r="S231" s="42">
        <f>R231*S199</f>
        <v>60.306000000000004</v>
      </c>
      <c r="T231" s="114">
        <f>WMSR+RRRP</f>
        <v>5.7000000000000002E-3</v>
      </c>
      <c r="U231" s="7">
        <f>T231*U199</f>
        <v>59.456700000000005</v>
      </c>
      <c r="V231" s="85"/>
    </row>
    <row r="232" spans="1:22" x14ac:dyDescent="0.25">
      <c r="A232" s="139">
        <f t="shared" si="54"/>
        <v>37</v>
      </c>
      <c r="B232" s="85" t="s">
        <v>67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70</v>
      </c>
      <c r="E233" s="114">
        <v>7.0000000000000001E-3</v>
      </c>
      <c r="F233" s="7">
        <f>E233*F196</f>
        <v>70</v>
      </c>
      <c r="G233" s="85"/>
      <c r="H233" s="59">
        <v>7.0000000000000001E-3</v>
      </c>
      <c r="I233" s="42">
        <f>H233*I196</f>
        <v>70</v>
      </c>
      <c r="J233" s="114">
        <v>7.0000000000000001E-3</v>
      </c>
      <c r="K233" s="7">
        <f>J233*K196</f>
        <v>70</v>
      </c>
      <c r="L233" s="85"/>
      <c r="M233" s="59">
        <v>7.0000000000000001E-3</v>
      </c>
      <c r="N233" s="42">
        <f>M233*N196</f>
        <v>70</v>
      </c>
      <c r="O233" s="114">
        <v>7.0000000000000001E-3</v>
      </c>
      <c r="P233" s="7">
        <f>O233*P196</f>
        <v>70</v>
      </c>
      <c r="Q233" s="85"/>
      <c r="R233" s="59">
        <v>7.0000000000000001E-3</v>
      </c>
      <c r="S233" s="42">
        <f>R233*S196</f>
        <v>70</v>
      </c>
      <c r="T233" s="114">
        <v>7.0000000000000001E-3</v>
      </c>
      <c r="U233" s="7">
        <f>T233*U196</f>
        <v>70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129.68959999999998</v>
      </c>
      <c r="E235" s="110"/>
      <c r="F235" s="95">
        <f>SUM(F231:F234)</f>
        <v>129.70670000000001</v>
      </c>
      <c r="G235" s="127">
        <f>F235-D235</f>
        <v>1.7100000000027649E-2</v>
      </c>
      <c r="H235" s="126"/>
      <c r="I235" s="96">
        <f>SUM(I231:I234)</f>
        <v>130.71559999999999</v>
      </c>
      <c r="J235" s="110"/>
      <c r="K235" s="95">
        <f>SUM(K231:K234)</f>
        <v>129.70670000000001</v>
      </c>
      <c r="L235" s="127">
        <f>K235-I235</f>
        <v>-1.0088999999999828</v>
      </c>
      <c r="M235" s="126"/>
      <c r="N235" s="96">
        <f>SUM(N231:N234)</f>
        <v>131.02340000000001</v>
      </c>
      <c r="O235" s="110"/>
      <c r="P235" s="95">
        <f>SUM(P231:P234)</f>
        <v>129.70670000000001</v>
      </c>
      <c r="Q235" s="127">
        <f>P235-N235</f>
        <v>-1.3166999999999973</v>
      </c>
      <c r="R235" s="126"/>
      <c r="S235" s="96">
        <f>SUM(S231:S234)</f>
        <v>130.55600000000001</v>
      </c>
      <c r="T235" s="110"/>
      <c r="U235" s="95">
        <f>SUM(U231:U234)</f>
        <v>129.70670000000001</v>
      </c>
      <c r="V235" s="127">
        <f>U235-S235</f>
        <v>-0.8492999999999995</v>
      </c>
    </row>
    <row r="236" spans="1:22" x14ac:dyDescent="0.25">
      <c r="A236" s="144">
        <f t="shared" si="54"/>
        <v>41</v>
      </c>
      <c r="B236" s="145" t="s">
        <v>118</v>
      </c>
      <c r="C236" s="128"/>
      <c r="D236" s="120"/>
      <c r="E236" s="111"/>
      <c r="F236" s="97"/>
      <c r="G236" s="129">
        <f>G235/D235</f>
        <v>1.318532866168733E-4</v>
      </c>
      <c r="H236" s="128"/>
      <c r="I236" s="120"/>
      <c r="J236" s="111"/>
      <c r="K236" s="97"/>
      <c r="L236" s="129">
        <f>L235/I235</f>
        <v>-7.7182830511429608E-3</v>
      </c>
      <c r="M236" s="128"/>
      <c r="N236" s="120"/>
      <c r="O236" s="111"/>
      <c r="P236" s="97"/>
      <c r="Q236" s="129">
        <f>Q235/N235</f>
        <v>-1.0049349963441624E-2</v>
      </c>
      <c r="R236" s="128"/>
      <c r="S236" s="120"/>
      <c r="T236" s="111"/>
      <c r="U236" s="97"/>
      <c r="V236" s="129">
        <f>V235/S235</f>
        <v>-6.5052544501976121E-3</v>
      </c>
    </row>
    <row r="237" spans="1:22" x14ac:dyDescent="0.25">
      <c r="A237" s="147">
        <f t="shared" si="54"/>
        <v>42</v>
      </c>
      <c r="B237" s="133" t="s">
        <v>129</v>
      </c>
      <c r="C237" s="132"/>
      <c r="D237" s="122">
        <f>D204+D223+D228+D235</f>
        <v>1498.23912</v>
      </c>
      <c r="E237" s="115"/>
      <c r="F237" s="102">
        <f>F204+F223+F228+F235</f>
        <v>1465.8262399999999</v>
      </c>
      <c r="G237" s="133"/>
      <c r="H237" s="132"/>
      <c r="I237" s="122">
        <f>I204+I223+I228+I235</f>
        <v>1427.1655200000002</v>
      </c>
      <c r="J237" s="115"/>
      <c r="K237" s="102">
        <f>K204+K223+K228+K235</f>
        <v>1465.8262399999999</v>
      </c>
      <c r="L237" s="133"/>
      <c r="M237" s="132"/>
      <c r="N237" s="122">
        <f>N204+N223+N228+N235</f>
        <v>1473.50028</v>
      </c>
      <c r="O237" s="115"/>
      <c r="P237" s="102">
        <f>P204+P223+P228+P235</f>
        <v>1469.8262399999999</v>
      </c>
      <c r="Q237" s="133"/>
      <c r="R237" s="132"/>
      <c r="S237" s="122">
        <f>S204+S223+S228+S235</f>
        <v>1594.3065676494466</v>
      </c>
      <c r="T237" s="115"/>
      <c r="U237" s="102">
        <f>U204+U223+U228+U235</f>
        <v>1488.8262399999999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194.77108559999999</v>
      </c>
      <c r="E238" s="116"/>
      <c r="F238" s="99">
        <f>F237*0.13</f>
        <v>190.55741119999999</v>
      </c>
      <c r="G238" s="134"/>
      <c r="H238" s="87"/>
      <c r="I238" s="43">
        <f>I237*0.13</f>
        <v>185.53151760000003</v>
      </c>
      <c r="J238" s="116"/>
      <c r="K238" s="99">
        <f>K237*0.13</f>
        <v>190.55741119999999</v>
      </c>
      <c r="L238" s="134"/>
      <c r="M238" s="87"/>
      <c r="N238" s="43">
        <f>N237*0.13</f>
        <v>191.55503640000001</v>
      </c>
      <c r="O238" s="116"/>
      <c r="P238" s="99">
        <f>P237*0.13</f>
        <v>191.0774112</v>
      </c>
      <c r="Q238" s="134"/>
      <c r="R238" s="87"/>
      <c r="S238" s="43">
        <f>S237*0.13</f>
        <v>207.25985379442807</v>
      </c>
      <c r="T238" s="116"/>
      <c r="U238" s="99">
        <f>U237*0.13</f>
        <v>193.5474112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-169.30102056000001</v>
      </c>
      <c r="E239" s="117"/>
      <c r="F239" s="70">
        <f>SUM(F237:F238)*-0.1</f>
        <v>-165.63836512</v>
      </c>
      <c r="G239" s="125"/>
      <c r="H239" s="88"/>
      <c r="I239" s="69">
        <f>SUM(I237:I238)*-0.1</f>
        <v>-161.26970376000006</v>
      </c>
      <c r="J239" s="117"/>
      <c r="K239" s="70">
        <f>SUM(K237:K238)*-0.1</f>
        <v>-165.63836512</v>
      </c>
      <c r="L239" s="125"/>
      <c r="M239" s="88"/>
      <c r="N239" s="69">
        <f>SUM(N237:N238)*-0.1</f>
        <v>-166.50553164000002</v>
      </c>
      <c r="O239" s="117"/>
      <c r="P239" s="70">
        <f>SUM(P237:P238)*-0.1</f>
        <v>-166.09036512</v>
      </c>
      <c r="Q239" s="125"/>
      <c r="R239" s="88"/>
      <c r="S239" s="69">
        <f>SUM(S237:S238)*-0.1</f>
        <v>-180.15664214438749</v>
      </c>
      <c r="T239" s="117"/>
      <c r="U239" s="70">
        <f>SUM(U237:U238)*-0.1</f>
        <v>-168.23736511999999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1523.70918504</v>
      </c>
      <c r="E240" s="118"/>
      <c r="F240" s="103">
        <f>SUM(F237:F239)</f>
        <v>1490.7452860799999</v>
      </c>
      <c r="G240" s="136">
        <f>F240-D240</f>
        <v>-32.963898960000051</v>
      </c>
      <c r="H240" s="135"/>
      <c r="I240" s="104">
        <f>SUM(I237:I239)</f>
        <v>1451.4273338400003</v>
      </c>
      <c r="J240" s="118"/>
      <c r="K240" s="103">
        <f>SUM(K237:K239)</f>
        <v>1490.7452860799999</v>
      </c>
      <c r="L240" s="136">
        <f>K240-I240</f>
        <v>39.317952239999613</v>
      </c>
      <c r="M240" s="135"/>
      <c r="N240" s="104">
        <f>SUM(N237:N239)</f>
        <v>1498.54978476</v>
      </c>
      <c r="O240" s="118"/>
      <c r="P240" s="103">
        <f>SUM(P237:P239)</f>
        <v>1494.8132860799997</v>
      </c>
      <c r="Q240" s="136">
        <f>P240-N240</f>
        <v>-3.7364986800002953</v>
      </c>
      <c r="R240" s="135"/>
      <c r="S240" s="104">
        <f>SUM(S237:S239)</f>
        <v>1621.4097792994874</v>
      </c>
      <c r="T240" s="118"/>
      <c r="U240" s="103">
        <f>SUM(U237:U239)</f>
        <v>1514.1362860799998</v>
      </c>
      <c r="V240" s="136">
        <f>U240-S240</f>
        <v>-107.27349321948759</v>
      </c>
    </row>
    <row r="241" spans="1:22" x14ac:dyDescent="0.25">
      <c r="A241" s="151">
        <f t="shared" si="54"/>
        <v>46</v>
      </c>
      <c r="B241" s="152" t="s">
        <v>118</v>
      </c>
      <c r="C241" s="137"/>
      <c r="D241" s="123"/>
      <c r="E241" s="119"/>
      <c r="F241" s="105"/>
      <c r="G241" s="138">
        <f>G240/D240</f>
        <v>-2.1633983232262718E-2</v>
      </c>
      <c r="H241" s="137"/>
      <c r="I241" s="123"/>
      <c r="J241" s="119"/>
      <c r="K241" s="105"/>
      <c r="L241" s="138">
        <f>L240/I240</f>
        <v>2.708916342093215E-2</v>
      </c>
      <c r="M241" s="137"/>
      <c r="N241" s="123"/>
      <c r="O241" s="119"/>
      <c r="P241" s="105"/>
      <c r="Q241" s="138">
        <f>Q240/N240</f>
        <v>-2.4934097739026492E-3</v>
      </c>
      <c r="R241" s="137"/>
      <c r="S241" s="123"/>
      <c r="T241" s="119"/>
      <c r="U241" s="105"/>
      <c r="V241" s="138">
        <f>V240/S240</f>
        <v>-6.6160630451997118E-2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127</v>
      </c>
      <c r="C243" s="202">
        <f>'2015 Approved'!$C$23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Approved'!$N$23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Approved'!$Y$23</f>
        <v>3.0999999999999999E-3</v>
      </c>
      <c r="S243" s="43">
        <f>R243*S196</f>
        <v>31</v>
      </c>
      <c r="T243" s="203">
        <f>R243</f>
        <v>3.0999999999999999E-3</v>
      </c>
      <c r="U243" s="7">
        <f>T243*U196</f>
        <v>31</v>
      </c>
      <c r="V243" s="134"/>
    </row>
    <row r="244" spans="1:22" x14ac:dyDescent="0.25">
      <c r="A244" s="148">
        <f>A243+1</f>
        <v>49</v>
      </c>
      <c r="B244" s="85" t="s">
        <v>128</v>
      </c>
      <c r="C244" s="59">
        <f>'2015 Approved'!$C$24</f>
        <v>4.7000000000000002E-3</v>
      </c>
      <c r="D244" s="42">
        <f>C244*D196</f>
        <v>47</v>
      </c>
      <c r="E244" s="203">
        <f>'2016 Proposed'!$C$26</f>
        <v>3.5999999999999999E-3</v>
      </c>
      <c r="F244" s="7">
        <f>E244*F196</f>
        <v>36</v>
      </c>
      <c r="G244" s="85"/>
      <c r="H244" s="59">
        <f>'2015 Approved'!$N$24</f>
        <v>-8.0000000000000004E-4</v>
      </c>
      <c r="I244" s="42">
        <f>H244*I196</f>
        <v>-8</v>
      </c>
      <c r="J244" s="114">
        <f>'2016 Proposed'!$C$26</f>
        <v>3.5999999999999999E-3</v>
      </c>
      <c r="K244" s="7">
        <f>J244*K196</f>
        <v>36</v>
      </c>
      <c r="L244" s="85"/>
      <c r="M244" s="59">
        <f>'2015 Approved'!$U$24</f>
        <v>-4.0000000000000002E-4</v>
      </c>
      <c r="N244" s="42">
        <f>M244*N196</f>
        <v>-4</v>
      </c>
      <c r="O244" s="114">
        <f>'2016 Proposed'!$C$26</f>
        <v>3.5999999999999999E-3</v>
      </c>
      <c r="P244" s="7">
        <f>O244*P196</f>
        <v>36</v>
      </c>
      <c r="Q244" s="85"/>
      <c r="R244" s="59">
        <f>'2015 Approved'!$Y$24</f>
        <v>-2.9999999999999997E-4</v>
      </c>
      <c r="S244" s="42">
        <f>R244*S196</f>
        <v>-2.9999999999999996</v>
      </c>
      <c r="T244" s="114">
        <f>'2016 Proposed'!$C$26</f>
        <v>3.5999999999999999E-3</v>
      </c>
      <c r="U244" s="7">
        <f>T244*U196</f>
        <v>36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1545.23912</v>
      </c>
      <c r="E245" s="106"/>
      <c r="F245" s="7">
        <f>F237+SUM(F243:F244)</f>
        <v>1501.8262399999999</v>
      </c>
      <c r="G245" s="85"/>
      <c r="H245" s="86"/>
      <c r="I245" s="42">
        <f>I237+I244+I243</f>
        <v>1419.1655200000002</v>
      </c>
      <c r="J245" s="106"/>
      <c r="K245" s="7">
        <f>K237+K244+K243</f>
        <v>1501.8262399999999</v>
      </c>
      <c r="L245" s="85"/>
      <c r="M245" s="86"/>
      <c r="N245" s="42">
        <f>N237+N244+N243</f>
        <v>1469.50028</v>
      </c>
      <c r="O245" s="106"/>
      <c r="P245" s="7">
        <f>P237+P244+P243</f>
        <v>1505.8262399999999</v>
      </c>
      <c r="Q245" s="85"/>
      <c r="R245" s="86"/>
      <c r="S245" s="42">
        <f>S237+S244+S243</f>
        <v>1622.3065676494466</v>
      </c>
      <c r="T245" s="106"/>
      <c r="U245" s="7">
        <f>U237+U244+U243</f>
        <v>1555.8262399999999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200.88108560000001</v>
      </c>
      <c r="E246" s="106"/>
      <c r="F246" s="7">
        <f>F245*0.13</f>
        <v>195.2374112</v>
      </c>
      <c r="G246" s="85"/>
      <c r="H246" s="86"/>
      <c r="I246" s="42">
        <f>I245*0.13</f>
        <v>184.49151760000004</v>
      </c>
      <c r="J246" s="106"/>
      <c r="K246" s="7">
        <f>K245*0.13</f>
        <v>195.2374112</v>
      </c>
      <c r="L246" s="85"/>
      <c r="M246" s="86"/>
      <c r="N246" s="42">
        <f>N245*0.13</f>
        <v>191.0350364</v>
      </c>
      <c r="O246" s="106"/>
      <c r="P246" s="7">
        <f>P245*0.13</f>
        <v>195.75741119999998</v>
      </c>
      <c r="Q246" s="85"/>
      <c r="R246" s="86"/>
      <c r="S246" s="42">
        <f>S245*0.13</f>
        <v>210.89985379442805</v>
      </c>
      <c r="T246" s="106"/>
      <c r="U246" s="7">
        <f>U245*0.13</f>
        <v>202.25741119999998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-174.61202056000002</v>
      </c>
      <c r="E247" s="106"/>
      <c r="F247" s="7">
        <f>SUM(F245:F246)*-0.1</f>
        <v>-169.70636511999999</v>
      </c>
      <c r="G247" s="85"/>
      <c r="H247" s="86"/>
      <c r="I247" s="42">
        <f>SUM(I245:I246)*-0.1</f>
        <v>-160.36570376000003</v>
      </c>
      <c r="J247" s="106"/>
      <c r="K247" s="7">
        <f>SUM(K245:K246)*-0.1</f>
        <v>-169.70636511999999</v>
      </c>
      <c r="L247" s="85"/>
      <c r="M247" s="86"/>
      <c r="N247" s="42">
        <f>SUM(N245:N246)*-0.1</f>
        <v>-166.05353164000002</v>
      </c>
      <c r="O247" s="106"/>
      <c r="P247" s="7">
        <f>SUM(P245:P246)*-0.1</f>
        <v>-170.15836511999998</v>
      </c>
      <c r="Q247" s="85"/>
      <c r="R247" s="86"/>
      <c r="S247" s="42">
        <f>SUM(S245:S246)*-0.1</f>
        <v>-183.32064214438748</v>
      </c>
      <c r="T247" s="106"/>
      <c r="U247" s="7">
        <f>SUM(U245:U246)*-0.1</f>
        <v>-175.80836511999999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1571.5081850399999</v>
      </c>
      <c r="E248" s="181"/>
      <c r="F248" s="182">
        <f>SUM(F245:F247)</f>
        <v>1527.35728608</v>
      </c>
      <c r="G248" s="183">
        <f>F248-D248</f>
        <v>-44.15089895999995</v>
      </c>
      <c r="H248" s="179"/>
      <c r="I248" s="180">
        <f>SUM(I245:I247)</f>
        <v>1443.2913338400001</v>
      </c>
      <c r="J248" s="181"/>
      <c r="K248" s="182">
        <f>SUM(K245:K247)</f>
        <v>1527.35728608</v>
      </c>
      <c r="L248" s="183">
        <f>K248-I248</f>
        <v>84.065952239999888</v>
      </c>
      <c r="M248" s="179"/>
      <c r="N248" s="180">
        <f>SUM(N245:N247)</f>
        <v>1494.48178476</v>
      </c>
      <c r="O248" s="181"/>
      <c r="P248" s="182">
        <f>SUM(P245:P247)</f>
        <v>1531.4252860799998</v>
      </c>
      <c r="Q248" s="183">
        <f>P248-N248</f>
        <v>36.943501319999768</v>
      </c>
      <c r="R248" s="179"/>
      <c r="S248" s="180">
        <f>SUM(S245:S247)</f>
        <v>1649.8857792994872</v>
      </c>
      <c r="T248" s="181"/>
      <c r="U248" s="182">
        <f>SUM(U245:U247)</f>
        <v>1582.2752860799999</v>
      </c>
      <c r="V248" s="183">
        <f>U248-S248</f>
        <v>-67.610493219487353</v>
      </c>
    </row>
    <row r="249" spans="1:22" ht="15.75" thickBot="1" x14ac:dyDescent="0.3">
      <c r="A249" s="184">
        <f>A248+1</f>
        <v>54</v>
      </c>
      <c r="B249" s="185" t="s">
        <v>118</v>
      </c>
      <c r="C249" s="186"/>
      <c r="D249" s="187"/>
      <c r="E249" s="188"/>
      <c r="F249" s="189"/>
      <c r="G249" s="190">
        <f>G248/D248</f>
        <v>-2.8094603248201452E-2</v>
      </c>
      <c r="H249" s="186"/>
      <c r="I249" s="187"/>
      <c r="J249" s="188"/>
      <c r="K249" s="189"/>
      <c r="L249" s="190">
        <f>L248/I248</f>
        <v>5.8246003609219513E-2</v>
      </c>
      <c r="M249" s="186"/>
      <c r="N249" s="187"/>
      <c r="O249" s="188"/>
      <c r="P249" s="189"/>
      <c r="Q249" s="190">
        <f>Q248/N248</f>
        <v>2.4719940849551775E-2</v>
      </c>
      <c r="R249" s="186"/>
      <c r="S249" s="187"/>
      <c r="T249" s="188"/>
      <c r="U249" s="189"/>
      <c r="V249" s="190">
        <f>V248/S248</f>
        <v>-4.0978893246897123E-2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120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103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103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103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103</v>
      </c>
    </row>
    <row r="252" spans="1:22" x14ac:dyDescent="0.25">
      <c r="A252" s="139">
        <f>A251+1</f>
        <v>56</v>
      </c>
      <c r="B252" s="85" t="s">
        <v>119</v>
      </c>
      <c r="C252" s="86"/>
      <c r="D252" s="42">
        <f>SUM(D207:D210)+D213+D222</f>
        <v>155.85</v>
      </c>
      <c r="E252" s="106"/>
      <c r="F252" s="7">
        <f>SUM(F207:F210)+F213+F222</f>
        <v>108.07999999999998</v>
      </c>
      <c r="G252" s="56">
        <f>F252-D252</f>
        <v>-47.77000000000001</v>
      </c>
      <c r="H252" s="86"/>
      <c r="I252" s="42">
        <f>SUM(I207:I210)+I213+I222</f>
        <v>75.410000000000011</v>
      </c>
      <c r="J252" s="106"/>
      <c r="K252" s="7">
        <f>SUM(K207:K210)+K213+K222</f>
        <v>108.07999999999998</v>
      </c>
      <c r="L252" s="56">
        <f>K252-I252</f>
        <v>32.669999999999973</v>
      </c>
      <c r="M252" s="86"/>
      <c r="N252" s="42">
        <f>SUM(N207:N210)+N213+N222</f>
        <v>90.660000000000011</v>
      </c>
      <c r="O252" s="106"/>
      <c r="P252" s="7">
        <f>SUM(P207:P210)+P213+P222</f>
        <v>108.07999999999998</v>
      </c>
      <c r="Q252" s="56">
        <f>P252-N252</f>
        <v>17.419999999999973</v>
      </c>
      <c r="R252" s="86"/>
      <c r="S252" s="42">
        <f>SUM(S207:S210)+S213+S222</f>
        <v>138.13999999999999</v>
      </c>
      <c r="T252" s="106"/>
      <c r="U252" s="7">
        <f>SUM(U207:U210)+U213+U222</f>
        <v>108.07999999999998</v>
      </c>
      <c r="V252" s="56">
        <f>U252-S252</f>
        <v>-30.060000000000002</v>
      </c>
    </row>
    <row r="253" spans="1:22" x14ac:dyDescent="0.25">
      <c r="A253" s="164">
        <f t="shared" ref="A253:A255" si="71">A252+1</f>
        <v>57</v>
      </c>
      <c r="B253" s="165" t="s">
        <v>118</v>
      </c>
      <c r="C253" s="166"/>
      <c r="D253" s="167"/>
      <c r="E253" s="168"/>
      <c r="F253" s="93"/>
      <c r="G253" s="169">
        <f>G252/SUM(D252:D255)</f>
        <v>-0.20737474426530914</v>
      </c>
      <c r="H253" s="166"/>
      <c r="I253" s="167"/>
      <c r="J253" s="168"/>
      <c r="K253" s="93"/>
      <c r="L253" s="169">
        <f>L252/SUM(I252:I255)</f>
        <v>0.20769082890191734</v>
      </c>
      <c r="M253" s="166"/>
      <c r="N253" s="167"/>
      <c r="O253" s="168"/>
      <c r="P253" s="93"/>
      <c r="Q253" s="169">
        <f>Q252/SUM(N252:N255)</f>
        <v>9.0697668122341535E-2</v>
      </c>
      <c r="R253" s="166"/>
      <c r="S253" s="167"/>
      <c r="T253" s="168"/>
      <c r="U253" s="93"/>
      <c r="V253" s="169">
        <f>V252/SUM(S252:S255)</f>
        <v>-8.9418724745010877E-2</v>
      </c>
    </row>
    <row r="254" spans="1:22" x14ac:dyDescent="0.25">
      <c r="A254" s="139">
        <f t="shared" si="71"/>
        <v>58</v>
      </c>
      <c r="B254" s="85" t="s">
        <v>121</v>
      </c>
      <c r="C254" s="86"/>
      <c r="D254" s="42">
        <f>D211+SUM(D214:D221)+D212</f>
        <v>74.505920000000003</v>
      </c>
      <c r="E254" s="106"/>
      <c r="F254" s="7">
        <f>F211+SUM(F214:F221)+F212</f>
        <v>89.812340000000006</v>
      </c>
      <c r="G254" s="56">
        <f>F254-D254</f>
        <v>15.306420000000003</v>
      </c>
      <c r="H254" s="86"/>
      <c r="I254" s="42">
        <f>I211+SUM(I214:I221)+I212</f>
        <v>81.891120000000001</v>
      </c>
      <c r="J254" s="106"/>
      <c r="K254" s="7">
        <f>K211+SUM(K214:K221)+K212</f>
        <v>89.812340000000006</v>
      </c>
      <c r="L254" s="56">
        <f>K254-I254</f>
        <v>7.9212200000000053</v>
      </c>
      <c r="M254" s="86"/>
      <c r="N254" s="42">
        <f>N211+SUM(N214:N221)+N212</f>
        <v>101.40667999999999</v>
      </c>
      <c r="O254" s="106"/>
      <c r="P254" s="7">
        <f>P211+SUM(P214:P221)+P212</f>
        <v>93.812340000000006</v>
      </c>
      <c r="Q254" s="56">
        <f>P254-N254</f>
        <v>-7.5943399999999883</v>
      </c>
      <c r="R254" s="86"/>
      <c r="S254" s="42">
        <f>S211+SUM(S214:S221)+S212</f>
        <v>198.03120000000001</v>
      </c>
      <c r="T254" s="106"/>
      <c r="U254" s="7">
        <f>U211+SUM(U214:U221)+U212</f>
        <v>112.81234000000001</v>
      </c>
      <c r="V254" s="56">
        <f>U254-S254</f>
        <v>-85.218860000000006</v>
      </c>
    </row>
    <row r="255" spans="1:22" ht="15.75" thickBot="1" x14ac:dyDescent="0.3">
      <c r="A255" s="170">
        <f t="shared" si="71"/>
        <v>59</v>
      </c>
      <c r="B255" s="171" t="s">
        <v>118</v>
      </c>
      <c r="C255" s="172"/>
      <c r="D255" s="173"/>
      <c r="E255" s="174"/>
      <c r="F255" s="175"/>
      <c r="G255" s="176">
        <f>G254/SUM(D252:D255)</f>
        <v>6.6446827153389426E-2</v>
      </c>
      <c r="H255" s="172"/>
      <c r="I255" s="173"/>
      <c r="J255" s="174"/>
      <c r="K255" s="175"/>
      <c r="L255" s="176">
        <f>L254/SUM(I252:I255)</f>
        <v>5.0357047680270835E-2</v>
      </c>
      <c r="M255" s="172"/>
      <c r="N255" s="173"/>
      <c r="O255" s="174"/>
      <c r="P255" s="175"/>
      <c r="Q255" s="176">
        <f>Q254/SUM(N252:N255)</f>
        <v>-3.954012221172349E-2</v>
      </c>
      <c r="R255" s="172"/>
      <c r="S255" s="173"/>
      <c r="T255" s="174"/>
      <c r="U255" s="175"/>
      <c r="V255" s="176">
        <f>V254/SUM(S252:S255)</f>
        <v>-0.25349839605534324</v>
      </c>
    </row>
    <row r="256" spans="1:22" ht="15.75" thickBot="1" x14ac:dyDescent="0.3"/>
    <row r="257" spans="1:22" x14ac:dyDescent="0.25">
      <c r="A257" s="331" t="s">
        <v>111</v>
      </c>
      <c r="B257" s="333" t="s">
        <v>0</v>
      </c>
      <c r="C257" s="329" t="s">
        <v>115</v>
      </c>
      <c r="D257" s="330"/>
      <c r="E257" s="327" t="s">
        <v>116</v>
      </c>
      <c r="F257" s="327"/>
      <c r="G257" s="328"/>
      <c r="H257" s="329" t="s">
        <v>117</v>
      </c>
      <c r="I257" s="330"/>
      <c r="J257" s="327" t="s">
        <v>116</v>
      </c>
      <c r="K257" s="327"/>
      <c r="L257" s="328"/>
      <c r="M257" s="329" t="s">
        <v>124</v>
      </c>
      <c r="N257" s="330"/>
      <c r="O257" s="327" t="s">
        <v>116</v>
      </c>
      <c r="P257" s="327"/>
      <c r="Q257" s="328"/>
      <c r="R257" s="329" t="s">
        <v>123</v>
      </c>
      <c r="S257" s="330"/>
      <c r="T257" s="327" t="s">
        <v>116</v>
      </c>
      <c r="U257" s="327"/>
      <c r="V257" s="328"/>
    </row>
    <row r="258" spans="1:22" x14ac:dyDescent="0.25">
      <c r="A258" s="332"/>
      <c r="B258" s="334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103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103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103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103</v>
      </c>
    </row>
    <row r="259" spans="1:22" x14ac:dyDescent="0.25">
      <c r="A259" s="139">
        <v>1</v>
      </c>
      <c r="B259" s="85" t="s">
        <v>91</v>
      </c>
      <c r="C259" s="86"/>
      <c r="D259" s="252">
        <v>15000</v>
      </c>
      <c r="E259" s="106"/>
      <c r="F259" s="1">
        <f>D259</f>
        <v>15000</v>
      </c>
      <c r="G259" s="85"/>
      <c r="H259" s="86"/>
      <c r="I259" s="40">
        <f>D259</f>
        <v>15000</v>
      </c>
      <c r="J259" s="106"/>
      <c r="K259" s="1">
        <f>I259</f>
        <v>15000</v>
      </c>
      <c r="L259" s="85"/>
      <c r="M259" s="86"/>
      <c r="N259" s="40">
        <f>D259</f>
        <v>15000</v>
      </c>
      <c r="O259" s="106"/>
      <c r="P259" s="1">
        <f>N259</f>
        <v>15000</v>
      </c>
      <c r="Q259" s="85"/>
      <c r="R259" s="86"/>
      <c r="S259" s="40">
        <f>D259</f>
        <v>15000</v>
      </c>
      <c r="T259" s="106"/>
      <c r="U259" s="1">
        <f>S259</f>
        <v>15000</v>
      </c>
      <c r="V259" s="85"/>
    </row>
    <row r="260" spans="1:22" x14ac:dyDescent="0.25">
      <c r="A260" s="139">
        <f>A259+1</f>
        <v>2</v>
      </c>
      <c r="B260" s="85" t="s">
        <v>92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93</v>
      </c>
      <c r="C262" s="86"/>
      <c r="D262" s="40">
        <f>D259*D261</f>
        <v>15642</v>
      </c>
      <c r="E262" s="106"/>
      <c r="F262" s="1">
        <f>F259*F261</f>
        <v>15646.499999999998</v>
      </c>
      <c r="G262" s="85"/>
      <c r="H262" s="86"/>
      <c r="I262" s="40">
        <f>I259*I261</f>
        <v>15912</v>
      </c>
      <c r="J262" s="106"/>
      <c r="K262" s="1">
        <f>K259*K261</f>
        <v>15646.499999999998</v>
      </c>
      <c r="L262" s="85"/>
      <c r="M262" s="86"/>
      <c r="N262" s="40">
        <f>N259*N261</f>
        <v>15993</v>
      </c>
      <c r="O262" s="106"/>
      <c r="P262" s="1">
        <f>P259*P261</f>
        <v>15646.499999999998</v>
      </c>
      <c r="Q262" s="85"/>
      <c r="R262" s="86"/>
      <c r="S262" s="40">
        <f>S259*S261</f>
        <v>15870</v>
      </c>
      <c r="T262" s="106"/>
      <c r="U262" s="1">
        <f>U259*U261</f>
        <v>15646.499999999998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768</v>
      </c>
      <c r="E264" s="108">
        <f>'General Input'!$B$11</f>
        <v>0.08</v>
      </c>
      <c r="F264" s="7">
        <f>F$259*E264*TOU_OFF</f>
        <v>768</v>
      </c>
      <c r="G264" s="85"/>
      <c r="H264" s="84">
        <f>'General Input'!$B$11</f>
        <v>0.08</v>
      </c>
      <c r="I264" s="42">
        <f>I$259*H264*TOU_OFF</f>
        <v>768</v>
      </c>
      <c r="J264" s="108">
        <f>'General Input'!$B$11</f>
        <v>0.08</v>
      </c>
      <c r="K264" s="7">
        <f>K$259*J264*TOU_OFF</f>
        <v>768</v>
      </c>
      <c r="L264" s="85"/>
      <c r="M264" s="84">
        <f>'General Input'!$B$11</f>
        <v>0.08</v>
      </c>
      <c r="N264" s="42">
        <f>N$259*M264*TOU_OFF</f>
        <v>768</v>
      </c>
      <c r="O264" s="108">
        <f>'General Input'!$B$11</f>
        <v>0.08</v>
      </c>
      <c r="P264" s="7">
        <f>P$259*O264*TOU_OFF</f>
        <v>768</v>
      </c>
      <c r="Q264" s="85"/>
      <c r="R264" s="84">
        <f>'General Input'!$B$11</f>
        <v>0.08</v>
      </c>
      <c r="S264" s="42">
        <f>S$259*R264*TOU_OFF</f>
        <v>768</v>
      </c>
      <c r="T264" s="108">
        <f>'General Input'!$B$11</f>
        <v>0.08</v>
      </c>
      <c r="U264" s="7">
        <f>U$259*T264*TOU_OFF</f>
        <v>768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329.4</v>
      </c>
      <c r="E265" s="108">
        <f>'General Input'!$B$12</f>
        <v>0.122</v>
      </c>
      <c r="F265" s="7">
        <f>F$259*E265*TOU_MID</f>
        <v>329.4</v>
      </c>
      <c r="G265" s="85"/>
      <c r="H265" s="84">
        <f>'General Input'!$B$12</f>
        <v>0.122</v>
      </c>
      <c r="I265" s="42">
        <f>I$259*H265*TOU_MID</f>
        <v>329.4</v>
      </c>
      <c r="J265" s="108">
        <f>'General Input'!$B$12</f>
        <v>0.122</v>
      </c>
      <c r="K265" s="7">
        <f>K$259*J265*TOU_MID</f>
        <v>329.4</v>
      </c>
      <c r="L265" s="85"/>
      <c r="M265" s="84">
        <f>'General Input'!$B$12</f>
        <v>0.122</v>
      </c>
      <c r="N265" s="42">
        <f>N$259*M265*TOU_MID</f>
        <v>329.4</v>
      </c>
      <c r="O265" s="108">
        <f>'General Input'!$B$12</f>
        <v>0.122</v>
      </c>
      <c r="P265" s="7">
        <f>P$259*O265*TOU_MID</f>
        <v>329.4</v>
      </c>
      <c r="Q265" s="85"/>
      <c r="R265" s="84">
        <f>'General Input'!$B$12</f>
        <v>0.122</v>
      </c>
      <c r="S265" s="42">
        <f>S$259*R265*TOU_MID</f>
        <v>329.4</v>
      </c>
      <c r="T265" s="108">
        <f>'General Input'!$B$12</f>
        <v>0.122</v>
      </c>
      <c r="U265" s="7">
        <f>U$259*T265*TOU_MID</f>
        <v>329.4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434.7</v>
      </c>
      <c r="E266" s="109">
        <f>'General Input'!$B$13</f>
        <v>0.161</v>
      </c>
      <c r="F266" s="70">
        <f>F$259*E266*TOU_ON</f>
        <v>434.7</v>
      </c>
      <c r="G266" s="125"/>
      <c r="H266" s="124">
        <f>'General Input'!$B$13</f>
        <v>0.161</v>
      </c>
      <c r="I266" s="69">
        <f>I$259*H266*TOU_ON</f>
        <v>434.7</v>
      </c>
      <c r="J266" s="109">
        <f>'General Input'!$B$13</f>
        <v>0.161</v>
      </c>
      <c r="K266" s="70">
        <f>K$259*J266*TOU_ON</f>
        <v>434.7</v>
      </c>
      <c r="L266" s="125"/>
      <c r="M266" s="124">
        <f>'General Input'!$B$13</f>
        <v>0.161</v>
      </c>
      <c r="N266" s="69">
        <f>N$259*M266*TOU_ON</f>
        <v>434.7</v>
      </c>
      <c r="O266" s="109">
        <f>'General Input'!$B$13</f>
        <v>0.161</v>
      </c>
      <c r="P266" s="70">
        <f>P$259*O266*TOU_ON</f>
        <v>434.7</v>
      </c>
      <c r="Q266" s="125"/>
      <c r="R266" s="124">
        <f>'General Input'!$B$13</f>
        <v>0.161</v>
      </c>
      <c r="S266" s="69">
        <f>S$259*R266*TOU_ON</f>
        <v>434.7</v>
      </c>
      <c r="T266" s="109">
        <f>'General Input'!$B$13</f>
        <v>0.161</v>
      </c>
      <c r="U266" s="70">
        <f>U$259*T266*TOU_ON</f>
        <v>434.7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1532.1000000000001</v>
      </c>
      <c r="E267" s="110"/>
      <c r="F267" s="95">
        <f>SUM(F264:F266)</f>
        <v>1532.1000000000001</v>
      </c>
      <c r="G267" s="127">
        <f>D267-F267</f>
        <v>0</v>
      </c>
      <c r="H267" s="126"/>
      <c r="I267" s="96">
        <f>SUM(I264:I266)</f>
        <v>1532.1000000000001</v>
      </c>
      <c r="J267" s="110"/>
      <c r="K267" s="95">
        <f>SUM(K264:K266)</f>
        <v>1532.1000000000001</v>
      </c>
      <c r="L267" s="127">
        <f>I267-K267</f>
        <v>0</v>
      </c>
      <c r="M267" s="126"/>
      <c r="N267" s="96">
        <f>SUM(N264:N266)</f>
        <v>1532.1000000000001</v>
      </c>
      <c r="O267" s="110"/>
      <c r="P267" s="95">
        <f>SUM(P264:P266)</f>
        <v>1532.1000000000001</v>
      </c>
      <c r="Q267" s="127">
        <f>N267-P267</f>
        <v>0</v>
      </c>
      <c r="R267" s="126"/>
      <c r="S267" s="96">
        <f>SUM(S264:S266)</f>
        <v>1532.1000000000001</v>
      </c>
      <c r="T267" s="110"/>
      <c r="U267" s="95">
        <f>SUM(U264:U266)</f>
        <v>1532.1000000000001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118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Approved'!$C$4</f>
        <v>34.840000000000003</v>
      </c>
      <c r="D270" s="42">
        <f>C270</f>
        <v>34.840000000000003</v>
      </c>
      <c r="E270" s="113">
        <f>'2016 Proposed'!$C$3</f>
        <v>30.08</v>
      </c>
      <c r="F270" s="7">
        <f>E270</f>
        <v>30.08</v>
      </c>
      <c r="G270" s="85"/>
      <c r="H270" s="55">
        <f>'2015 Approved'!$N$4</f>
        <v>19.059999999999999</v>
      </c>
      <c r="I270" s="42">
        <f>H270</f>
        <v>19.059999999999999</v>
      </c>
      <c r="J270" s="113">
        <f>'2016 Proposed'!$C$3</f>
        <v>30.08</v>
      </c>
      <c r="K270" s="7">
        <f>J270</f>
        <v>30.08</v>
      </c>
      <c r="L270" s="85"/>
      <c r="M270" s="55">
        <f>'2015 Approved'!$U$4</f>
        <v>27.45</v>
      </c>
      <c r="N270" s="42">
        <f>M270</f>
        <v>27.45</v>
      </c>
      <c r="O270" s="113">
        <f>'2016 Proposed'!$C$3</f>
        <v>30.08</v>
      </c>
      <c r="P270" s="7">
        <f>O270</f>
        <v>30.08</v>
      </c>
      <c r="Q270" s="85"/>
      <c r="R270" s="55">
        <f>'2015 Approved'!$Y$4</f>
        <v>22.91</v>
      </c>
      <c r="S270" s="42">
        <f>R270</f>
        <v>22.91</v>
      </c>
      <c r="T270" s="113">
        <f>'2016 Proposed'!$C$3</f>
        <v>30.08</v>
      </c>
      <c r="U270" s="7">
        <f>T270</f>
        <v>30.08</v>
      </c>
      <c r="V270" s="85"/>
    </row>
    <row r="271" spans="1:22" x14ac:dyDescent="0.25">
      <c r="A271" s="139">
        <f t="shared" si="72"/>
        <v>13</v>
      </c>
      <c r="B271" s="85" t="s">
        <v>86</v>
      </c>
      <c r="C271" s="55">
        <f>'2015 Approved'!$C$5</f>
        <v>3.01</v>
      </c>
      <c r="D271" s="42">
        <f t="shared" ref="D271:D274" si="73">C271</f>
        <v>3.01</v>
      </c>
      <c r="E271" s="113">
        <f>'2016 Proposed'!$C$5</f>
        <v>0</v>
      </c>
      <c r="F271" s="7">
        <f t="shared" ref="F271:F274" si="74">E271</f>
        <v>0</v>
      </c>
      <c r="G271" s="85"/>
      <c r="H271" s="55">
        <f>'2015 Approved'!$N$5</f>
        <v>1.23</v>
      </c>
      <c r="I271" s="42">
        <f t="shared" ref="I271:I274" si="75">H271</f>
        <v>1.23</v>
      </c>
      <c r="J271" s="113">
        <f>'2016 Proposed'!$C$5</f>
        <v>0</v>
      </c>
      <c r="K271" s="7">
        <f t="shared" ref="K271:K274" si="76">J271</f>
        <v>0</v>
      </c>
      <c r="L271" s="85"/>
      <c r="M271" s="55">
        <f>'2015 Approved'!$U$5</f>
        <v>2.21</v>
      </c>
      <c r="N271" s="42">
        <f t="shared" ref="N271:N274" si="77">M271</f>
        <v>2.21</v>
      </c>
      <c r="O271" s="113">
        <f>'2016 Proposed'!$C$5</f>
        <v>0</v>
      </c>
      <c r="P271" s="7">
        <f t="shared" ref="P271:P274" si="78">O271</f>
        <v>0</v>
      </c>
      <c r="Q271" s="85"/>
      <c r="R271" s="55">
        <f>'2015 Approved'!$Y$5</f>
        <v>1.23</v>
      </c>
      <c r="S271" s="42">
        <f t="shared" ref="S271:S274" si="79">R271</f>
        <v>1.23</v>
      </c>
      <c r="T271" s="113">
        <f>'2016 Proposed'!$C$5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86</v>
      </c>
      <c r="C272" s="55">
        <f>'2015 Approved'!$C$6</f>
        <v>0</v>
      </c>
      <c r="D272" s="42">
        <f t="shared" si="73"/>
        <v>0</v>
      </c>
      <c r="E272" s="113">
        <f>'2016 Proposed'!$C$6</f>
        <v>0</v>
      </c>
      <c r="F272" s="7">
        <f t="shared" si="74"/>
        <v>0</v>
      </c>
      <c r="G272" s="85"/>
      <c r="H272" s="55">
        <f>'2015 Approved'!$N$6</f>
        <v>4.12</v>
      </c>
      <c r="I272" s="42">
        <f t="shared" si="75"/>
        <v>4.12</v>
      </c>
      <c r="J272" s="113">
        <f>'2016 Proposed'!$C$6</f>
        <v>0</v>
      </c>
      <c r="K272" s="7">
        <f t="shared" si="76"/>
        <v>0</v>
      </c>
      <c r="L272" s="85"/>
      <c r="M272" s="55">
        <f>'2015 Approved'!$U$6</f>
        <v>0</v>
      </c>
      <c r="N272" s="42">
        <f t="shared" si="77"/>
        <v>0</v>
      </c>
      <c r="O272" s="113">
        <f>'2016 Proposed'!$C$6</f>
        <v>0</v>
      </c>
      <c r="P272" s="7">
        <f t="shared" si="78"/>
        <v>0</v>
      </c>
      <c r="Q272" s="85"/>
      <c r="R272" s="55">
        <f>'2015 Approved'!$Y$6</f>
        <v>0</v>
      </c>
      <c r="S272" s="42">
        <f t="shared" si="79"/>
        <v>0</v>
      </c>
      <c r="T272" s="113">
        <f>'2016 Proposed'!$C$6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Approved'!$C$259</f>
        <v>0</v>
      </c>
      <c r="D273" s="42">
        <f t="shared" si="73"/>
        <v>0</v>
      </c>
      <c r="E273" s="113">
        <f>'2016 Proposed'!$C$259</f>
        <v>0</v>
      </c>
      <c r="F273" s="7">
        <f t="shared" si="74"/>
        <v>0</v>
      </c>
      <c r="G273" s="85"/>
      <c r="H273" s="55">
        <f>'2015 Approved'!$N$259</f>
        <v>0</v>
      </c>
      <c r="I273" s="42">
        <f t="shared" si="75"/>
        <v>0</v>
      </c>
      <c r="J273" s="113">
        <f>'2016 Proposed'!$C$259</f>
        <v>0</v>
      </c>
      <c r="K273" s="7">
        <f t="shared" si="76"/>
        <v>0</v>
      </c>
      <c r="L273" s="85"/>
      <c r="M273" s="55">
        <f>'2015 Approved'!$U$259</f>
        <v>0</v>
      </c>
      <c r="N273" s="42">
        <f t="shared" si="77"/>
        <v>0</v>
      </c>
      <c r="O273" s="113">
        <f>'2016 Proposed'!$C$259</f>
        <v>0</v>
      </c>
      <c r="P273" s="7">
        <f t="shared" si="78"/>
        <v>0</v>
      </c>
      <c r="Q273" s="85"/>
      <c r="R273" s="55">
        <f>'2015 Approved'!$Y$259</f>
        <v>0</v>
      </c>
      <c r="S273" s="42">
        <f t="shared" si="79"/>
        <v>0</v>
      </c>
      <c r="T273" s="113">
        <f>'2016 Proposed'!$C$259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95</v>
      </c>
      <c r="C274" s="55">
        <f>'2015 Approved'!$C$8</f>
        <v>0.79</v>
      </c>
      <c r="D274" s="42">
        <f t="shared" si="73"/>
        <v>0.79</v>
      </c>
      <c r="E274" s="113">
        <f>'2016 Proposed'!$C$8</f>
        <v>0.79</v>
      </c>
      <c r="F274" s="7">
        <f t="shared" si="74"/>
        <v>0.79</v>
      </c>
      <c r="G274" s="85"/>
      <c r="H274" s="55">
        <f>'2015 Approved'!$N$8</f>
        <v>0.79</v>
      </c>
      <c r="I274" s="42">
        <f t="shared" si="75"/>
        <v>0.79</v>
      </c>
      <c r="J274" s="113">
        <f>'2016 Proposed'!$C$8</f>
        <v>0.79</v>
      </c>
      <c r="K274" s="7">
        <f t="shared" si="76"/>
        <v>0.79</v>
      </c>
      <c r="L274" s="85"/>
      <c r="M274" s="55">
        <f>'2015 Approved'!$U$8</f>
        <v>0.79</v>
      </c>
      <c r="N274" s="42">
        <f t="shared" si="77"/>
        <v>0.79</v>
      </c>
      <c r="O274" s="113">
        <f>'2016 Proposed'!$C$8</f>
        <v>0.79</v>
      </c>
      <c r="P274" s="7">
        <f t="shared" si="78"/>
        <v>0.79</v>
      </c>
      <c r="Q274" s="85"/>
      <c r="R274" s="55">
        <f>'2015 Approved'!$Y$8</f>
        <v>0.79</v>
      </c>
      <c r="S274" s="42">
        <f t="shared" si="79"/>
        <v>0.79</v>
      </c>
      <c r="T274" s="113">
        <f>'2016 Proposed'!$C$8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0.10214000000000001</v>
      </c>
      <c r="D275" s="42">
        <f>(D262-D259)*C275</f>
        <v>65.573880000000003</v>
      </c>
      <c r="E275" s="114">
        <f>F267/$F$259</f>
        <v>0.10214000000000001</v>
      </c>
      <c r="F275" s="7">
        <f>(F262-F259)*E275</f>
        <v>66.033509999999822</v>
      </c>
      <c r="G275" s="85"/>
      <c r="H275" s="59">
        <f>I267/I259</f>
        <v>0.10214000000000001</v>
      </c>
      <c r="I275" s="42">
        <f>(I262-I259)*H275</f>
        <v>93.151680000000013</v>
      </c>
      <c r="J275" s="114">
        <f>K267/$F$259</f>
        <v>0.10214000000000001</v>
      </c>
      <c r="K275" s="7">
        <f>(K262-K259)*J275</f>
        <v>66.033509999999822</v>
      </c>
      <c r="L275" s="85"/>
      <c r="M275" s="59">
        <f>N267/N259</f>
        <v>0.10214000000000001</v>
      </c>
      <c r="N275" s="42">
        <f>(N262-N259)*M275</f>
        <v>101.42502</v>
      </c>
      <c r="O275" s="114">
        <f>P267/$F$259</f>
        <v>0.10214000000000001</v>
      </c>
      <c r="P275" s="7">
        <f>(P262-P259)*O275</f>
        <v>66.033509999999822</v>
      </c>
      <c r="Q275" s="85"/>
      <c r="R275" s="59">
        <f>S267/S259</f>
        <v>0.10214000000000001</v>
      </c>
      <c r="S275" s="42">
        <f>(S262-S259)*R275</f>
        <v>88.861800000000002</v>
      </c>
      <c r="T275" s="114">
        <f>U267/$F$259</f>
        <v>0.10214000000000001</v>
      </c>
      <c r="U275" s="7">
        <f>(U262-U259)*T275</f>
        <v>66.033509999999822</v>
      </c>
      <c r="V275" s="85"/>
    </row>
    <row r="276" spans="1:22" x14ac:dyDescent="0.25">
      <c r="A276" s="139">
        <f t="shared" si="72"/>
        <v>18</v>
      </c>
      <c r="B276" s="85" t="s">
        <v>90</v>
      </c>
      <c r="C276" s="59">
        <f>'2015 Approved'!$C$11</f>
        <v>1.18E-2</v>
      </c>
      <c r="D276" s="42">
        <f t="shared" ref="D276:D285" si="81">C276*D$259</f>
        <v>177</v>
      </c>
      <c r="E276" s="114">
        <f>'2016 Proposed'!$C$11</f>
        <v>0.01</v>
      </c>
      <c r="F276" s="7">
        <f t="shared" ref="F276:F285" si="82">E276*F$259</f>
        <v>150</v>
      </c>
      <c r="G276" s="85"/>
      <c r="H276" s="59">
        <f>'2015 Approved'!$N$11</f>
        <v>5.1000000000000004E-3</v>
      </c>
      <c r="I276" s="42">
        <f t="shared" ref="I276:I285" si="83">H276*I$259</f>
        <v>76.5</v>
      </c>
      <c r="J276" s="114">
        <f>'2016 Proposed'!$C$11</f>
        <v>0.01</v>
      </c>
      <c r="K276" s="7">
        <f t="shared" ref="K276:K285" si="84">J276*K$259</f>
        <v>150</v>
      </c>
      <c r="L276" s="85"/>
      <c r="M276" s="59">
        <f>'2015 Approved'!$U$11</f>
        <v>6.1000000000000004E-3</v>
      </c>
      <c r="N276" s="42">
        <f t="shared" ref="N276:N285" si="85">M276*N$259</f>
        <v>91.5</v>
      </c>
      <c r="O276" s="114">
        <f>'2016 Proposed'!$C$11</f>
        <v>0.01</v>
      </c>
      <c r="P276" s="7">
        <f t="shared" ref="P276:P285" si="86">O276*P$259</f>
        <v>150</v>
      </c>
      <c r="Q276" s="85"/>
      <c r="R276" s="59">
        <f>'2015 Approved'!$Y$11</f>
        <v>1.14E-2</v>
      </c>
      <c r="S276" s="42">
        <f t="shared" ref="S276:S285" si="87">R276*S$259</f>
        <v>171</v>
      </c>
      <c r="T276" s="114">
        <f>'2016 Proposed'!$C$11</f>
        <v>0.01</v>
      </c>
      <c r="U276" s="7">
        <f t="shared" ref="U276:U285" si="88">T276*U$259</f>
        <v>150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Approved'!$C$12</f>
        <v>2.9999999999999997E-4</v>
      </c>
      <c r="D277" s="42">
        <f t="shared" si="81"/>
        <v>4.5</v>
      </c>
      <c r="E277" s="114">
        <f>'2016 Proposed'!$C$13</f>
        <v>1.6000000000000001E-3</v>
      </c>
      <c r="F277" s="7">
        <f t="shared" si="82"/>
        <v>24</v>
      </c>
      <c r="G277" s="85"/>
      <c r="H277" s="59">
        <f>'2015 Approved'!$N$12</f>
        <v>2.0000000000000001E-4</v>
      </c>
      <c r="I277" s="42">
        <f t="shared" si="83"/>
        <v>3</v>
      </c>
      <c r="J277" s="114">
        <f>'2016 Proposed'!$C$13</f>
        <v>1.6000000000000001E-3</v>
      </c>
      <c r="K277" s="7">
        <f t="shared" si="84"/>
        <v>24</v>
      </c>
      <c r="L277" s="85"/>
      <c r="M277" s="59">
        <f>'2015 Approved'!$U$12</f>
        <v>1.2999999999999999E-3</v>
      </c>
      <c r="N277" s="42">
        <f t="shared" si="85"/>
        <v>19.5</v>
      </c>
      <c r="O277" s="114">
        <f>'2016 Proposed'!$C$13</f>
        <v>1.6000000000000001E-3</v>
      </c>
      <c r="P277" s="7">
        <f t="shared" si="86"/>
        <v>24</v>
      </c>
      <c r="Q277" s="85"/>
      <c r="R277" s="59">
        <f>'2015 Approved'!$Y$12</f>
        <v>5.5999999999999999E-3</v>
      </c>
      <c r="S277" s="42">
        <f t="shared" si="87"/>
        <v>84</v>
      </c>
      <c r="T277" s="114">
        <f>'2016 Proposed'!$C$13</f>
        <v>1.6000000000000001E-3</v>
      </c>
      <c r="U277" s="7">
        <f t="shared" si="88"/>
        <v>24</v>
      </c>
      <c r="V277" s="85"/>
    </row>
    <row r="278" spans="1:22" x14ac:dyDescent="0.25">
      <c r="A278" s="139">
        <f t="shared" si="72"/>
        <v>20</v>
      </c>
      <c r="B278" s="85" t="s">
        <v>87</v>
      </c>
      <c r="C278" s="59">
        <f>'2015 Approved'!$C$13</f>
        <v>0</v>
      </c>
      <c r="D278" s="42">
        <f t="shared" si="81"/>
        <v>0</v>
      </c>
      <c r="E278" s="114">
        <f>'2016 Proposed'!$C$14</f>
        <v>0</v>
      </c>
      <c r="F278" s="7">
        <f t="shared" si="82"/>
        <v>0</v>
      </c>
      <c r="G278" s="85"/>
      <c r="H278" s="59">
        <f>'2015 Approved'!$N$13</f>
        <v>2.0000000000000001E-4</v>
      </c>
      <c r="I278" s="42">
        <f t="shared" si="83"/>
        <v>3</v>
      </c>
      <c r="J278" s="114">
        <f>'2016 Proposed'!$C$14</f>
        <v>0</v>
      </c>
      <c r="K278" s="7">
        <f t="shared" si="84"/>
        <v>0</v>
      </c>
      <c r="L278" s="85"/>
      <c r="M278" s="59">
        <f>'2015 Approved'!$U$13</f>
        <v>0</v>
      </c>
      <c r="N278" s="42">
        <f t="shared" si="85"/>
        <v>0</v>
      </c>
      <c r="O278" s="114">
        <f>'2016 Proposed'!$C$14</f>
        <v>0</v>
      </c>
      <c r="P278" s="7">
        <f t="shared" si="86"/>
        <v>0</v>
      </c>
      <c r="Q278" s="85"/>
      <c r="R278" s="59">
        <f>'2015 Approved'!$Y$13</f>
        <v>0</v>
      </c>
      <c r="S278" s="42">
        <f t="shared" si="87"/>
        <v>0</v>
      </c>
      <c r="T278" s="114">
        <f>'2016 Proposed'!$C$14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Approved'!$C$14</f>
        <v>5.9999999999999995E-4</v>
      </c>
      <c r="D279" s="42">
        <f t="shared" si="81"/>
        <v>9</v>
      </c>
      <c r="E279" s="114">
        <f>'2016 Proposed'!$C$15</f>
        <v>6.9999999999999999E-4</v>
      </c>
      <c r="F279" s="7">
        <f t="shared" si="82"/>
        <v>10.5</v>
      </c>
      <c r="G279" s="85"/>
      <c r="H279" s="59">
        <f>'2015 Approved'!$N$14</f>
        <v>2.0000000000000001E-4</v>
      </c>
      <c r="I279" s="42">
        <f t="shared" si="83"/>
        <v>3</v>
      </c>
      <c r="J279" s="114">
        <f>'2016 Proposed'!$C$15</f>
        <v>6.9999999999999999E-4</v>
      </c>
      <c r="K279" s="7">
        <f t="shared" si="84"/>
        <v>10.5</v>
      </c>
      <c r="L279" s="85"/>
      <c r="M279" s="59">
        <f>'2015 Approved'!$U$14</f>
        <v>0</v>
      </c>
      <c r="N279" s="42">
        <f t="shared" si="85"/>
        <v>0</v>
      </c>
      <c r="O279" s="114">
        <f>'2016 Proposed'!$C$15</f>
        <v>6.9999999999999999E-4</v>
      </c>
      <c r="P279" s="7">
        <f t="shared" si="86"/>
        <v>10.5</v>
      </c>
      <c r="Q279" s="85"/>
      <c r="R279" s="59">
        <f>'2015 Approved'!$Y$14</f>
        <v>0</v>
      </c>
      <c r="S279" s="42">
        <f t="shared" si="87"/>
        <v>0</v>
      </c>
      <c r="T279" s="114">
        <f>'2016 Proposed'!$C$15</f>
        <v>6.9999999999999999E-4</v>
      </c>
      <c r="U279" s="7">
        <f t="shared" si="88"/>
        <v>10.5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Approved'!$C$15</f>
        <v>-1E-4</v>
      </c>
      <c r="D280" s="42">
        <f t="shared" si="81"/>
        <v>-1.5</v>
      </c>
      <c r="E280" s="114">
        <f>'2016 Proposed'!$C$16</f>
        <v>0</v>
      </c>
      <c r="F280" s="7">
        <f t="shared" si="82"/>
        <v>0</v>
      </c>
      <c r="G280" s="85"/>
      <c r="H280" s="59">
        <f>'2015 Approved'!$N$15</f>
        <v>-1E-4</v>
      </c>
      <c r="I280" s="42">
        <f t="shared" si="83"/>
        <v>-1.5</v>
      </c>
      <c r="J280" s="114">
        <f>'2016 Proposed'!$C$16</f>
        <v>0</v>
      </c>
      <c r="K280" s="7">
        <f t="shared" si="84"/>
        <v>0</v>
      </c>
      <c r="L280" s="85"/>
      <c r="M280" s="59">
        <f>'2015 Approved'!$U$15</f>
        <v>0</v>
      </c>
      <c r="N280" s="42">
        <f t="shared" si="85"/>
        <v>0</v>
      </c>
      <c r="O280" s="114">
        <f>'2016 Proposed'!$C$16</f>
        <v>0</v>
      </c>
      <c r="P280" s="7">
        <f t="shared" si="86"/>
        <v>0</v>
      </c>
      <c r="Q280" s="85"/>
      <c r="R280" s="59">
        <f>'2015 Approved'!$Y$15</f>
        <v>0</v>
      </c>
      <c r="S280" s="42">
        <f t="shared" si="87"/>
        <v>0</v>
      </c>
      <c r="T280" s="114">
        <f>'2016 Proposed'!$C$16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101</v>
      </c>
      <c r="C281" s="59">
        <f>'2015 Approved'!$C$16</f>
        <v>0</v>
      </c>
      <c r="D281" s="42">
        <f t="shared" si="81"/>
        <v>0</v>
      </c>
      <c r="E281" s="114">
        <f>'2016 Proposed'!$C$17</f>
        <v>0</v>
      </c>
      <c r="F281" s="7">
        <f t="shared" si="82"/>
        <v>0</v>
      </c>
      <c r="G281" s="85"/>
      <c r="H281" s="59">
        <f>'2015 Approved'!$N$16</f>
        <v>0</v>
      </c>
      <c r="I281" s="42">
        <f t="shared" si="83"/>
        <v>0</v>
      </c>
      <c r="J281" s="114">
        <f>'2016 Proposed'!$C$17</f>
        <v>0</v>
      </c>
      <c r="K281" s="7">
        <f t="shared" si="84"/>
        <v>0</v>
      </c>
      <c r="L281" s="85"/>
      <c r="M281" s="59">
        <f>'2015 Approved'!$U$16</f>
        <v>4.0000000000000002E-4</v>
      </c>
      <c r="N281" s="42">
        <f t="shared" si="85"/>
        <v>6</v>
      </c>
      <c r="O281" s="114">
        <f>M281</f>
        <v>4.0000000000000002E-4</v>
      </c>
      <c r="P281" s="7">
        <f t="shared" si="86"/>
        <v>6</v>
      </c>
      <c r="Q281" s="85"/>
      <c r="R281" s="59">
        <f>'2015 Approved'!$Y$16</f>
        <v>2.3E-3</v>
      </c>
      <c r="S281" s="42">
        <f t="shared" si="87"/>
        <v>34.5</v>
      </c>
      <c r="T281" s="114">
        <f>R281</f>
        <v>2.3E-3</v>
      </c>
      <c r="U281" s="7">
        <f t="shared" si="88"/>
        <v>34.5</v>
      </c>
      <c r="V281" s="85"/>
    </row>
    <row r="282" spans="1:22" x14ac:dyDescent="0.25">
      <c r="A282" s="139">
        <f t="shared" si="72"/>
        <v>24</v>
      </c>
      <c r="B282" s="85" t="s">
        <v>112</v>
      </c>
      <c r="C282" s="59">
        <f>'2015 Approved'!$C$17</f>
        <v>2.2000000000000001E-3</v>
      </c>
      <c r="D282" s="42">
        <f t="shared" si="81"/>
        <v>33</v>
      </c>
      <c r="E282" s="114">
        <f>'2016 Proposed'!$C$18</f>
        <v>0</v>
      </c>
      <c r="F282" s="7">
        <f t="shared" si="82"/>
        <v>0</v>
      </c>
      <c r="G282" s="85"/>
      <c r="H282" s="59">
        <f>'2015 Approved'!$N$17</f>
        <v>1.4E-3</v>
      </c>
      <c r="I282" s="42">
        <f t="shared" si="83"/>
        <v>21</v>
      </c>
      <c r="J282" s="114">
        <f>'2016 Proposed'!$C$18</f>
        <v>0</v>
      </c>
      <c r="K282" s="7">
        <f t="shared" si="84"/>
        <v>0</v>
      </c>
      <c r="L282" s="85"/>
      <c r="M282" s="59">
        <f>'2015 Approved'!$U$17</f>
        <v>1.6000000000000001E-3</v>
      </c>
      <c r="N282" s="42">
        <f t="shared" si="85"/>
        <v>24</v>
      </c>
      <c r="O282" s="114">
        <f>'2016 Proposed'!$C$18</f>
        <v>0</v>
      </c>
      <c r="P282" s="7">
        <f t="shared" si="86"/>
        <v>0</v>
      </c>
      <c r="Q282" s="85"/>
      <c r="R282" s="59">
        <f>'2015 Approved'!$Y$17</f>
        <v>5.8999999999999999E-3</v>
      </c>
      <c r="S282" s="42">
        <f t="shared" si="87"/>
        <v>88.5</v>
      </c>
      <c r="T282" s="114">
        <f>'2016 Proposed'!$C$18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102</v>
      </c>
      <c r="C283" s="59">
        <f>'2015 Approved'!$C$18</f>
        <v>0</v>
      </c>
      <c r="D283" s="42">
        <f t="shared" si="81"/>
        <v>0</v>
      </c>
      <c r="E283" s="114">
        <f>'2016 Proposed'!$C$19</f>
        <v>1.5E-3</v>
      </c>
      <c r="F283" s="7">
        <f t="shared" si="82"/>
        <v>22.5</v>
      </c>
      <c r="G283" s="85"/>
      <c r="H283" s="59">
        <f>'2015 Approved'!$N$18</f>
        <v>0</v>
      </c>
      <c r="I283" s="42">
        <f t="shared" si="83"/>
        <v>0</v>
      </c>
      <c r="J283" s="114">
        <f>'2016 Proposed'!$C$19</f>
        <v>1.5E-3</v>
      </c>
      <c r="K283" s="7">
        <f t="shared" si="84"/>
        <v>22.5</v>
      </c>
      <c r="L283" s="85"/>
      <c r="M283" s="59">
        <f>'2015 Approved'!$U$18</f>
        <v>0</v>
      </c>
      <c r="N283" s="42">
        <f t="shared" si="85"/>
        <v>0</v>
      </c>
      <c r="O283" s="114">
        <f>'2016 Proposed'!$C$19</f>
        <v>1.5E-3</v>
      </c>
      <c r="P283" s="7">
        <f t="shared" si="86"/>
        <v>22.5</v>
      </c>
      <c r="Q283" s="85"/>
      <c r="R283" s="59">
        <f>'2015 Approved'!$Y$18</f>
        <v>0</v>
      </c>
      <c r="S283" s="42">
        <f t="shared" si="87"/>
        <v>0</v>
      </c>
      <c r="T283" s="114">
        <f>'2016 Proposed'!$C$19</f>
        <v>1.5E-3</v>
      </c>
      <c r="U283" s="7">
        <f t="shared" si="88"/>
        <v>22.5</v>
      </c>
      <c r="V283" s="85"/>
    </row>
    <row r="284" spans="1:22" x14ac:dyDescent="0.25">
      <c r="A284" s="139">
        <f t="shared" si="72"/>
        <v>26</v>
      </c>
      <c r="B284" s="85" t="s">
        <v>94</v>
      </c>
      <c r="C284" s="59">
        <f>'2015 Approved'!$C$19</f>
        <v>0</v>
      </c>
      <c r="D284" s="42">
        <f t="shared" si="81"/>
        <v>0</v>
      </c>
      <c r="E284" s="114">
        <f>'2016 Proposed'!$C$20</f>
        <v>6.9999999999999999E-4</v>
      </c>
      <c r="F284" s="7">
        <f t="shared" si="82"/>
        <v>10.5</v>
      </c>
      <c r="G284" s="85"/>
      <c r="H284" s="59">
        <f>'2015 Approved'!$N$19</f>
        <v>0</v>
      </c>
      <c r="I284" s="42">
        <f t="shared" si="83"/>
        <v>0</v>
      </c>
      <c r="J284" s="114">
        <f>'2016 Proposed'!$C$20</f>
        <v>6.9999999999999999E-4</v>
      </c>
      <c r="K284" s="7">
        <f t="shared" si="84"/>
        <v>10.5</v>
      </c>
      <c r="L284" s="85"/>
      <c r="M284" s="59">
        <f>'2015 Approved'!$U$19</f>
        <v>0</v>
      </c>
      <c r="N284" s="42">
        <f t="shared" si="85"/>
        <v>0</v>
      </c>
      <c r="O284" s="114">
        <f>'2016 Proposed'!$C$20</f>
        <v>6.9999999999999999E-4</v>
      </c>
      <c r="P284" s="7">
        <f t="shared" si="86"/>
        <v>10.5</v>
      </c>
      <c r="Q284" s="85"/>
      <c r="R284" s="59">
        <f>'2015 Approved'!$Y$19</f>
        <v>0</v>
      </c>
      <c r="S284" s="42">
        <f t="shared" si="87"/>
        <v>0</v>
      </c>
      <c r="T284" s="114">
        <f>'2016 Proposed'!$C$20</f>
        <v>6.9999999999999999E-4</v>
      </c>
      <c r="U284" s="7">
        <f t="shared" si="88"/>
        <v>10.5</v>
      </c>
      <c r="V284" s="85"/>
    </row>
    <row r="285" spans="1:22" x14ac:dyDescent="0.25">
      <c r="A285" s="139">
        <f t="shared" si="72"/>
        <v>27</v>
      </c>
      <c r="B285" s="85" t="s">
        <v>104</v>
      </c>
      <c r="C285" s="59">
        <f>'2015 Approved'!$C$20</f>
        <v>0</v>
      </c>
      <c r="D285" s="42">
        <f t="shared" si="81"/>
        <v>0</v>
      </c>
      <c r="E285" s="114">
        <f>'2016 Proposed'!$C$21</f>
        <v>-2.2000000000000001E-3</v>
      </c>
      <c r="F285" s="7">
        <f t="shared" si="82"/>
        <v>-33</v>
      </c>
      <c r="G285" s="85"/>
      <c r="H285" s="59">
        <f>'2015 Approved'!$N$20</f>
        <v>0</v>
      </c>
      <c r="I285" s="42">
        <f t="shared" si="83"/>
        <v>0</v>
      </c>
      <c r="J285" s="114">
        <f>'2016 Proposed'!$C$21</f>
        <v>-2.2000000000000001E-3</v>
      </c>
      <c r="K285" s="7">
        <f t="shared" si="84"/>
        <v>-33</v>
      </c>
      <c r="L285" s="85"/>
      <c r="M285" s="59">
        <f>'2015 Approved'!$U$20</f>
        <v>0</v>
      </c>
      <c r="N285" s="42">
        <f t="shared" si="85"/>
        <v>0</v>
      </c>
      <c r="O285" s="114">
        <f>'2016 Proposed'!$C$21</f>
        <v>-2.2000000000000001E-3</v>
      </c>
      <c r="P285" s="7">
        <f t="shared" si="86"/>
        <v>-33</v>
      </c>
      <c r="Q285" s="85"/>
      <c r="R285" s="59">
        <f>'2015 Approved'!$Y$20</f>
        <v>0</v>
      </c>
      <c r="S285" s="42">
        <f t="shared" si="87"/>
        <v>0</v>
      </c>
      <c r="T285" s="114">
        <f>'2016 Proposed'!$C$21</f>
        <v>-2.2000000000000001E-3</v>
      </c>
      <c r="U285" s="7">
        <f t="shared" si="88"/>
        <v>-33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326.21388000000002</v>
      </c>
      <c r="E286" s="110"/>
      <c r="F286" s="95">
        <f>SUM(F270:F285)</f>
        <v>281.40350999999981</v>
      </c>
      <c r="G286" s="127">
        <f>F286-D286</f>
        <v>-44.810370000000205</v>
      </c>
      <c r="H286" s="126"/>
      <c r="I286" s="96">
        <f>SUM(I270:I285)</f>
        <v>223.35168000000002</v>
      </c>
      <c r="J286" s="110"/>
      <c r="K286" s="95">
        <f>SUM(K270:K285)</f>
        <v>281.40350999999981</v>
      </c>
      <c r="L286" s="127">
        <f>K286-I286</f>
        <v>58.051829999999796</v>
      </c>
      <c r="M286" s="126"/>
      <c r="N286" s="96">
        <f>SUM(N270:N285)</f>
        <v>272.87502000000001</v>
      </c>
      <c r="O286" s="110"/>
      <c r="P286" s="95">
        <f>SUM(P270:P285)</f>
        <v>287.40350999999981</v>
      </c>
      <c r="Q286" s="127">
        <f>P286-N286</f>
        <v>14.528489999999806</v>
      </c>
      <c r="R286" s="126"/>
      <c r="S286" s="96">
        <f>SUM(S270:S285)</f>
        <v>491.79179999999997</v>
      </c>
      <c r="T286" s="110"/>
      <c r="U286" s="95">
        <f>SUM(U270:U285)</f>
        <v>315.90350999999981</v>
      </c>
      <c r="V286" s="127">
        <f>U286-S286</f>
        <v>-175.88829000000015</v>
      </c>
    </row>
    <row r="287" spans="1:22" x14ac:dyDescent="0.25">
      <c r="A287" s="144">
        <f t="shared" si="72"/>
        <v>29</v>
      </c>
      <c r="B287" s="145" t="s">
        <v>118</v>
      </c>
      <c r="C287" s="128"/>
      <c r="D287" s="120"/>
      <c r="E287" s="111"/>
      <c r="F287" s="97"/>
      <c r="G287" s="129">
        <f>G286/D286</f>
        <v>-0.1373650011458746</v>
      </c>
      <c r="H287" s="128"/>
      <c r="I287" s="120"/>
      <c r="J287" s="111"/>
      <c r="K287" s="97"/>
      <c r="L287" s="129">
        <f>L286/I286</f>
        <v>0.25991221556963345</v>
      </c>
      <c r="M287" s="128"/>
      <c r="N287" s="120"/>
      <c r="O287" s="111"/>
      <c r="P287" s="97"/>
      <c r="Q287" s="129">
        <f>Q286/N286</f>
        <v>5.3242286523697939E-2</v>
      </c>
      <c r="R287" s="128"/>
      <c r="S287" s="120"/>
      <c r="T287" s="111"/>
      <c r="U287" s="97"/>
      <c r="V287" s="129">
        <f>V286/S286</f>
        <v>-0.35764787050129782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68</v>
      </c>
      <c r="C289" s="59">
        <f>'2015 Approved'!$C$26</f>
        <v>6.4999999999999997E-3</v>
      </c>
      <c r="D289" s="42">
        <f>C289*D$262</f>
        <v>101.673</v>
      </c>
      <c r="E289" s="114">
        <f>'2016 Proposed'!$C$28</f>
        <v>6.4000000000000003E-3</v>
      </c>
      <c r="F289" s="7">
        <f>E289*F$262</f>
        <v>100.13759999999999</v>
      </c>
      <c r="G289" s="85"/>
      <c r="H289" s="59">
        <f>'2015 Approved'!$N$26</f>
        <v>6.4999999999999997E-3</v>
      </c>
      <c r="I289" s="42">
        <f>H289*I$262</f>
        <v>103.428</v>
      </c>
      <c r="J289" s="114">
        <f>'2016 Proposed'!$C$28</f>
        <v>6.4000000000000003E-3</v>
      </c>
      <c r="K289" s="7">
        <f>J289*K$262</f>
        <v>100.13759999999999</v>
      </c>
      <c r="L289" s="85"/>
      <c r="M289" s="59">
        <f>'2015 Approved'!$U$26</f>
        <v>7.1000000000000004E-3</v>
      </c>
      <c r="N289" s="42">
        <f>M289*N$262</f>
        <v>113.55030000000001</v>
      </c>
      <c r="O289" s="114">
        <f>'2016 Proposed'!$C$28</f>
        <v>6.4000000000000003E-3</v>
      </c>
      <c r="P289" s="7">
        <f>O289*P$262</f>
        <v>100.13759999999999</v>
      </c>
      <c r="Q289" s="85"/>
      <c r="R289" s="59">
        <f>'2015 Approved'!$Y$26</f>
        <v>6.817114670559849E-3</v>
      </c>
      <c r="S289" s="42">
        <f>R289*S$262</f>
        <v>108.1876098217848</v>
      </c>
      <c r="T289" s="114">
        <f>'2016 Proposed'!$C$28</f>
        <v>6.4000000000000003E-3</v>
      </c>
      <c r="U289" s="7">
        <f>T289*U$262</f>
        <v>100.13759999999999</v>
      </c>
      <c r="V289" s="85"/>
    </row>
    <row r="290" spans="1:22" x14ac:dyDescent="0.25">
      <c r="A290" s="139">
        <f t="shared" si="72"/>
        <v>32</v>
      </c>
      <c r="B290" s="85" t="s">
        <v>69</v>
      </c>
      <c r="C290" s="59">
        <f>'2015 Approved'!$C$27</f>
        <v>4.7000000000000002E-3</v>
      </c>
      <c r="D290" s="42">
        <f>C290*D$262</f>
        <v>73.517400000000009</v>
      </c>
      <c r="E290" s="114">
        <f>'2016 Proposed'!$C$29</f>
        <v>4.7999999999999996E-3</v>
      </c>
      <c r="F290" s="7">
        <f>E290*F$262</f>
        <v>75.103199999999987</v>
      </c>
      <c r="G290" s="85"/>
      <c r="H290" s="59">
        <f>'2015 Approved'!$N$27</f>
        <v>4.5999999999999999E-3</v>
      </c>
      <c r="I290" s="42">
        <f>H290*I$262</f>
        <v>73.1952</v>
      </c>
      <c r="J290" s="114">
        <f>'2016 Proposed'!$C$29</f>
        <v>4.7999999999999996E-3</v>
      </c>
      <c r="K290" s="7">
        <f>J290*K$262</f>
        <v>75.103199999999987</v>
      </c>
      <c r="L290" s="85"/>
      <c r="M290" s="59">
        <f>'2015 Approved'!$U$27</f>
        <v>5.0000000000000001E-3</v>
      </c>
      <c r="N290" s="42">
        <f>M290*N$262</f>
        <v>79.965000000000003</v>
      </c>
      <c r="O290" s="114">
        <f>'2016 Proposed'!$C$29</f>
        <v>4.7999999999999996E-3</v>
      </c>
      <c r="P290" s="7">
        <f>O290*P$262</f>
        <v>75.103199999999987</v>
      </c>
      <c r="Q290" s="85"/>
      <c r="R290" s="59">
        <f>'2015 Approved'!$Y$27</f>
        <v>3.2187423851534214E-3</v>
      </c>
      <c r="S290" s="42">
        <f>R290*S$262</f>
        <v>51.081441652384797</v>
      </c>
      <c r="T290" s="114">
        <f>'2016 Proposed'!$C$29</f>
        <v>4.7999999999999996E-3</v>
      </c>
      <c r="U290" s="7">
        <f>T290*U$262</f>
        <v>75.103199999999987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175.19040000000001</v>
      </c>
      <c r="E291" s="110"/>
      <c r="F291" s="95">
        <f>SUM(F289:F290)</f>
        <v>175.24079999999998</v>
      </c>
      <c r="G291" s="127">
        <f>F291-D291</f>
        <v>5.0399999999967804E-2</v>
      </c>
      <c r="H291" s="126"/>
      <c r="I291" s="96">
        <f>SUM(I289:I290)</f>
        <v>176.6232</v>
      </c>
      <c r="J291" s="110"/>
      <c r="K291" s="95">
        <f>SUM(K289:K290)</f>
        <v>175.24079999999998</v>
      </c>
      <c r="L291" s="127">
        <f>K291-I291</f>
        <v>-1.3824000000000183</v>
      </c>
      <c r="M291" s="126"/>
      <c r="N291" s="96">
        <f>SUM(N289:N290)</f>
        <v>193.51530000000002</v>
      </c>
      <c r="O291" s="110"/>
      <c r="P291" s="95">
        <f>SUM(P289:P290)</f>
        <v>175.24079999999998</v>
      </c>
      <c r="Q291" s="127">
        <f>P291-N291</f>
        <v>-18.274500000000046</v>
      </c>
      <c r="R291" s="126"/>
      <c r="S291" s="96">
        <f>SUM(S289:S290)</f>
        <v>159.2690514741696</v>
      </c>
      <c r="T291" s="110"/>
      <c r="U291" s="95">
        <f>SUM(U289:U290)</f>
        <v>175.24079999999998</v>
      </c>
      <c r="V291" s="127">
        <f>U291-S291</f>
        <v>15.971748525830378</v>
      </c>
    </row>
    <row r="292" spans="1:22" x14ac:dyDescent="0.25">
      <c r="A292" s="144">
        <f t="shared" si="72"/>
        <v>34</v>
      </c>
      <c r="B292" s="145" t="s">
        <v>118</v>
      </c>
      <c r="C292" s="128"/>
      <c r="D292" s="120"/>
      <c r="E292" s="111"/>
      <c r="F292" s="97"/>
      <c r="G292" s="129">
        <f>G291/D291</f>
        <v>2.8768699654757227E-4</v>
      </c>
      <c r="H292" s="128"/>
      <c r="I292" s="120"/>
      <c r="J292" s="111"/>
      <c r="K292" s="97"/>
      <c r="L292" s="129">
        <f>L291/I291</f>
        <v>-7.8268313562432253E-3</v>
      </c>
      <c r="M292" s="128"/>
      <c r="N292" s="120"/>
      <c r="O292" s="111"/>
      <c r="P292" s="97"/>
      <c r="Q292" s="129">
        <f>Q291/N291</f>
        <v>-9.4434393559579236E-2</v>
      </c>
      <c r="R292" s="128"/>
      <c r="S292" s="120"/>
      <c r="T292" s="111"/>
      <c r="U292" s="97"/>
      <c r="V292" s="129">
        <f>V291/S291</f>
        <v>0.1002815573898278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66</v>
      </c>
      <c r="C294" s="59">
        <f>WMSR+RRRP</f>
        <v>5.7000000000000002E-3</v>
      </c>
      <c r="D294" s="42">
        <f>C294*D262</f>
        <v>89.159400000000005</v>
      </c>
      <c r="E294" s="114">
        <f>WMSR+RRRP</f>
        <v>5.7000000000000002E-3</v>
      </c>
      <c r="F294" s="7">
        <f>E294*F262</f>
        <v>89.18504999999999</v>
      </c>
      <c r="G294" s="85"/>
      <c r="H294" s="59">
        <f>WMSR+RRRP</f>
        <v>5.7000000000000002E-3</v>
      </c>
      <c r="I294" s="42">
        <f>H294*I262</f>
        <v>90.698400000000007</v>
      </c>
      <c r="J294" s="114">
        <f>WMSR+RRRP</f>
        <v>5.7000000000000002E-3</v>
      </c>
      <c r="K294" s="7">
        <f>J294*K262</f>
        <v>89.18504999999999</v>
      </c>
      <c r="L294" s="85"/>
      <c r="M294" s="59">
        <f>WMSR+RRRP</f>
        <v>5.7000000000000002E-3</v>
      </c>
      <c r="N294" s="42">
        <f>M294*N262</f>
        <v>91.1601</v>
      </c>
      <c r="O294" s="114">
        <f>WMSR+RRRP</f>
        <v>5.7000000000000002E-3</v>
      </c>
      <c r="P294" s="7">
        <f>O294*P262</f>
        <v>89.18504999999999</v>
      </c>
      <c r="Q294" s="85"/>
      <c r="R294" s="59">
        <f>WMSR+RRRP</f>
        <v>5.7000000000000002E-3</v>
      </c>
      <c r="S294" s="42">
        <f>R294*S262</f>
        <v>90.459000000000003</v>
      </c>
      <c r="T294" s="114">
        <f>WMSR+RRRP</f>
        <v>5.7000000000000002E-3</v>
      </c>
      <c r="U294" s="7">
        <f>T294*U262</f>
        <v>89.18504999999999</v>
      </c>
      <c r="V294" s="85"/>
    </row>
    <row r="295" spans="1:22" x14ac:dyDescent="0.25">
      <c r="A295" s="139">
        <f t="shared" si="72"/>
        <v>37</v>
      </c>
      <c r="B295" s="85" t="s">
        <v>67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105</v>
      </c>
      <c r="E296" s="114">
        <v>7.0000000000000001E-3</v>
      </c>
      <c r="F296" s="7">
        <f>E296*F259</f>
        <v>105</v>
      </c>
      <c r="G296" s="85"/>
      <c r="H296" s="59">
        <v>7.0000000000000001E-3</v>
      </c>
      <c r="I296" s="42">
        <f>H296*I259</f>
        <v>105</v>
      </c>
      <c r="J296" s="114">
        <v>7.0000000000000001E-3</v>
      </c>
      <c r="K296" s="7">
        <f>J296*K259</f>
        <v>105</v>
      </c>
      <c r="L296" s="85"/>
      <c r="M296" s="59">
        <v>7.0000000000000001E-3</v>
      </c>
      <c r="N296" s="42">
        <f>M296*N259</f>
        <v>105</v>
      </c>
      <c r="O296" s="114">
        <v>7.0000000000000001E-3</v>
      </c>
      <c r="P296" s="7">
        <f>O296*P259</f>
        <v>105</v>
      </c>
      <c r="Q296" s="85"/>
      <c r="R296" s="59">
        <v>7.0000000000000001E-3</v>
      </c>
      <c r="S296" s="42">
        <f>R296*S259</f>
        <v>105</v>
      </c>
      <c r="T296" s="114">
        <v>7.0000000000000001E-3</v>
      </c>
      <c r="U296" s="7">
        <f>T296*U259</f>
        <v>105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194.40940000000001</v>
      </c>
      <c r="E298" s="110"/>
      <c r="F298" s="95">
        <f>SUM(F294:F297)</f>
        <v>194.43504999999999</v>
      </c>
      <c r="G298" s="127">
        <f>F298-D298</f>
        <v>2.564999999998463E-2</v>
      </c>
      <c r="H298" s="126"/>
      <c r="I298" s="96">
        <f>SUM(I294:I297)</f>
        <v>195.94839999999999</v>
      </c>
      <c r="J298" s="110"/>
      <c r="K298" s="95">
        <f>SUM(K294:K297)</f>
        <v>194.43504999999999</v>
      </c>
      <c r="L298" s="127">
        <f>K298-I298</f>
        <v>-1.5133500000000026</v>
      </c>
      <c r="M298" s="126"/>
      <c r="N298" s="96">
        <f>SUM(N294:N297)</f>
        <v>196.4101</v>
      </c>
      <c r="O298" s="110"/>
      <c r="P298" s="95">
        <f>SUM(P294:P297)</f>
        <v>194.43504999999999</v>
      </c>
      <c r="Q298" s="127">
        <f>P298-N298</f>
        <v>-1.9750500000000102</v>
      </c>
      <c r="R298" s="126"/>
      <c r="S298" s="96">
        <f>SUM(S294:S297)</f>
        <v>195.709</v>
      </c>
      <c r="T298" s="110"/>
      <c r="U298" s="95">
        <f>SUM(U294:U297)</f>
        <v>194.43504999999999</v>
      </c>
      <c r="V298" s="127">
        <f>U298-S298</f>
        <v>-1.2739500000000135</v>
      </c>
    </row>
    <row r="299" spans="1:22" x14ac:dyDescent="0.25">
      <c r="A299" s="144">
        <f t="shared" si="72"/>
        <v>41</v>
      </c>
      <c r="B299" s="145" t="s">
        <v>118</v>
      </c>
      <c r="C299" s="128"/>
      <c r="D299" s="120"/>
      <c r="E299" s="111"/>
      <c r="F299" s="97"/>
      <c r="G299" s="129">
        <f>G298/D298</f>
        <v>1.3193806472312878E-4</v>
      </c>
      <c r="H299" s="128"/>
      <c r="I299" s="120"/>
      <c r="J299" s="111"/>
      <c r="K299" s="97"/>
      <c r="L299" s="129">
        <f>L298/I298</f>
        <v>-7.7232067217696222E-3</v>
      </c>
      <c r="M299" s="128"/>
      <c r="N299" s="120"/>
      <c r="O299" s="111"/>
      <c r="P299" s="97"/>
      <c r="Q299" s="129">
        <f>Q298/N298</f>
        <v>-1.0055745605750468E-2</v>
      </c>
      <c r="R299" s="128"/>
      <c r="S299" s="120"/>
      <c r="T299" s="111"/>
      <c r="U299" s="97"/>
      <c r="V299" s="129">
        <f>V298/S298</f>
        <v>-6.5094093782095529E-3</v>
      </c>
    </row>
    <row r="300" spans="1:22" x14ac:dyDescent="0.25">
      <c r="A300" s="147">
        <f t="shared" si="72"/>
        <v>42</v>
      </c>
      <c r="B300" s="133" t="s">
        <v>129</v>
      </c>
      <c r="C300" s="132"/>
      <c r="D300" s="122">
        <f>D267+D286+D291+D298</f>
        <v>2227.9136800000001</v>
      </c>
      <c r="E300" s="115"/>
      <c r="F300" s="102">
        <f>F267+F286+F291+F298</f>
        <v>2183.1793600000001</v>
      </c>
      <c r="G300" s="133"/>
      <c r="H300" s="132"/>
      <c r="I300" s="122">
        <f>I267+I286+I291+I298</f>
        <v>2128.0232800000003</v>
      </c>
      <c r="J300" s="115"/>
      <c r="K300" s="102">
        <f>K267+K286+K291+K298</f>
        <v>2183.1793600000001</v>
      </c>
      <c r="L300" s="133"/>
      <c r="M300" s="132"/>
      <c r="N300" s="122">
        <f>N267+N286+N291+N298</f>
        <v>2194.9004199999999</v>
      </c>
      <c r="O300" s="115"/>
      <c r="P300" s="102">
        <f>P267+P286+P291+P298</f>
        <v>2189.1793600000001</v>
      </c>
      <c r="Q300" s="133"/>
      <c r="R300" s="132"/>
      <c r="S300" s="122">
        <f>S267+S286+S291+S298</f>
        <v>2378.8698514741695</v>
      </c>
      <c r="T300" s="115"/>
      <c r="U300" s="102">
        <f>U267+U286+U291+U298</f>
        <v>2217.6793600000001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289.62877840000004</v>
      </c>
      <c r="E301" s="116"/>
      <c r="F301" s="99">
        <f>F300*0.13</f>
        <v>283.8133168</v>
      </c>
      <c r="G301" s="134"/>
      <c r="H301" s="87"/>
      <c r="I301" s="43">
        <f>I300*0.13</f>
        <v>276.64302640000005</v>
      </c>
      <c r="J301" s="116"/>
      <c r="K301" s="99">
        <f>K300*0.13</f>
        <v>283.8133168</v>
      </c>
      <c r="L301" s="134"/>
      <c r="M301" s="87"/>
      <c r="N301" s="43">
        <f>N300*0.13</f>
        <v>285.33705459999999</v>
      </c>
      <c r="O301" s="116"/>
      <c r="P301" s="99">
        <f>P300*0.13</f>
        <v>284.59331680000003</v>
      </c>
      <c r="Q301" s="134"/>
      <c r="R301" s="87"/>
      <c r="S301" s="43">
        <f>S300*0.13</f>
        <v>309.25308069164203</v>
      </c>
      <c r="T301" s="116"/>
      <c r="U301" s="99">
        <f>U300*0.13</f>
        <v>288.29831680000001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-251.75424584000004</v>
      </c>
      <c r="E302" s="117"/>
      <c r="F302" s="70">
        <f>SUM(F300:F301)*-0.1</f>
        <v>-246.69926768000002</v>
      </c>
      <c r="G302" s="125"/>
      <c r="H302" s="88"/>
      <c r="I302" s="69">
        <f>SUM(I300:I301)*-0.1</f>
        <v>-240.46663064000006</v>
      </c>
      <c r="J302" s="117"/>
      <c r="K302" s="70">
        <f>SUM(K300:K301)*-0.1</f>
        <v>-246.69926768000002</v>
      </c>
      <c r="L302" s="125"/>
      <c r="M302" s="88"/>
      <c r="N302" s="69">
        <f>SUM(N300:N301)*-0.1</f>
        <v>-248.02374746000001</v>
      </c>
      <c r="O302" s="117"/>
      <c r="P302" s="70">
        <f>SUM(P300:P301)*-0.1</f>
        <v>-247.37726768000005</v>
      </c>
      <c r="Q302" s="125"/>
      <c r="R302" s="88"/>
      <c r="S302" s="69">
        <f>SUM(S300:S301)*-0.1</f>
        <v>-268.81229321658117</v>
      </c>
      <c r="T302" s="117"/>
      <c r="U302" s="70">
        <f>SUM(U300:U301)*-0.1</f>
        <v>-250.59776768000003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2265.7882125600004</v>
      </c>
      <c r="E303" s="118"/>
      <c r="F303" s="103">
        <f>SUM(F300:F302)</f>
        <v>2220.29340912</v>
      </c>
      <c r="G303" s="136">
        <f>F303-D303</f>
        <v>-45.494803440000396</v>
      </c>
      <c r="H303" s="135"/>
      <c r="I303" s="104">
        <f>SUM(I300:I302)</f>
        <v>2164.1996757600004</v>
      </c>
      <c r="J303" s="118"/>
      <c r="K303" s="103">
        <f>SUM(K300:K302)</f>
        <v>2220.29340912</v>
      </c>
      <c r="L303" s="136">
        <f>K303-I303</f>
        <v>56.093733359999533</v>
      </c>
      <c r="M303" s="135"/>
      <c r="N303" s="104">
        <f>SUM(N300:N302)</f>
        <v>2232.2137271400002</v>
      </c>
      <c r="O303" s="118"/>
      <c r="P303" s="103">
        <f>SUM(P300:P302)</f>
        <v>2226.3954091200003</v>
      </c>
      <c r="Q303" s="136">
        <f>P303-N303</f>
        <v>-5.8183180199998787</v>
      </c>
      <c r="R303" s="135"/>
      <c r="S303" s="104">
        <f>SUM(S300:S302)</f>
        <v>2419.3106389492305</v>
      </c>
      <c r="T303" s="118"/>
      <c r="U303" s="103">
        <f>SUM(U300:U302)</f>
        <v>2255.3799091200003</v>
      </c>
      <c r="V303" s="136">
        <f>U303-S303</f>
        <v>-163.93072982923013</v>
      </c>
    </row>
    <row r="304" spans="1:22" x14ac:dyDescent="0.25">
      <c r="A304" s="151">
        <f t="shared" si="72"/>
        <v>46</v>
      </c>
      <c r="B304" s="152" t="s">
        <v>118</v>
      </c>
      <c r="C304" s="137"/>
      <c r="D304" s="123"/>
      <c r="E304" s="119"/>
      <c r="F304" s="105"/>
      <c r="G304" s="138">
        <f>G303/D303</f>
        <v>-2.0079018501291478E-2</v>
      </c>
      <c r="H304" s="137"/>
      <c r="I304" s="123"/>
      <c r="J304" s="119"/>
      <c r="K304" s="105"/>
      <c r="L304" s="138">
        <f>L303/I303</f>
        <v>2.5918926977152021E-2</v>
      </c>
      <c r="M304" s="137"/>
      <c r="N304" s="123"/>
      <c r="O304" s="119"/>
      <c r="P304" s="105"/>
      <c r="Q304" s="138">
        <f>Q303/N303</f>
        <v>-2.6065237164608498E-3</v>
      </c>
      <c r="R304" s="137"/>
      <c r="S304" s="123"/>
      <c r="T304" s="119"/>
      <c r="U304" s="105"/>
      <c r="V304" s="138">
        <f>V303/S303</f>
        <v>-6.7759272906115733E-2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127</v>
      </c>
      <c r="C306" s="202">
        <f>'2015 Approved'!$C$23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Approved'!$N$23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Approved'!$Y$23</f>
        <v>3.0999999999999999E-3</v>
      </c>
      <c r="S306" s="43">
        <f>R306*S259</f>
        <v>46.5</v>
      </c>
      <c r="T306" s="203">
        <f>R306</f>
        <v>3.0999999999999999E-3</v>
      </c>
      <c r="U306" s="7">
        <f>T306*U259</f>
        <v>46.5</v>
      </c>
      <c r="V306" s="134"/>
    </row>
    <row r="307" spans="1:22" x14ac:dyDescent="0.25">
      <c r="A307" s="148">
        <f>A306+1</f>
        <v>49</v>
      </c>
      <c r="B307" s="85" t="s">
        <v>128</v>
      </c>
      <c r="C307" s="59">
        <f>'2015 Approved'!$C$24</f>
        <v>4.7000000000000002E-3</v>
      </c>
      <c r="D307" s="42">
        <f>C307*D259</f>
        <v>70.5</v>
      </c>
      <c r="E307" s="203">
        <f>'2016 Proposed'!$C$26</f>
        <v>3.5999999999999999E-3</v>
      </c>
      <c r="F307" s="7">
        <f>E307*F259</f>
        <v>54</v>
      </c>
      <c r="G307" s="85"/>
      <c r="H307" s="59">
        <f>'2015 Approved'!$N$24</f>
        <v>-8.0000000000000004E-4</v>
      </c>
      <c r="I307" s="42">
        <f>H307*I259</f>
        <v>-12</v>
      </c>
      <c r="J307" s="114">
        <f>'2016 Proposed'!$C$26</f>
        <v>3.5999999999999999E-3</v>
      </c>
      <c r="K307" s="7">
        <f>J307*K259</f>
        <v>54</v>
      </c>
      <c r="L307" s="85"/>
      <c r="M307" s="59">
        <f>'2015 Approved'!$U$24</f>
        <v>-4.0000000000000002E-4</v>
      </c>
      <c r="N307" s="42">
        <f>M307*N259</f>
        <v>-6</v>
      </c>
      <c r="O307" s="114">
        <f>'2016 Proposed'!$C$26</f>
        <v>3.5999999999999999E-3</v>
      </c>
      <c r="P307" s="7">
        <f>O307*P259</f>
        <v>54</v>
      </c>
      <c r="Q307" s="85"/>
      <c r="R307" s="59">
        <f>'2015 Approved'!$Y$24</f>
        <v>-2.9999999999999997E-4</v>
      </c>
      <c r="S307" s="42">
        <f>R307*S259</f>
        <v>-4.5</v>
      </c>
      <c r="T307" s="114">
        <f>'2016 Proposed'!$C$26</f>
        <v>3.5999999999999999E-3</v>
      </c>
      <c r="U307" s="7">
        <f>T307*U259</f>
        <v>54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2298.4136800000001</v>
      </c>
      <c r="E308" s="106"/>
      <c r="F308" s="7">
        <f>F300+SUM(F306:F307)</f>
        <v>2237.1793600000001</v>
      </c>
      <c r="G308" s="85"/>
      <c r="H308" s="86"/>
      <c r="I308" s="42">
        <f>I300+I307+I306</f>
        <v>2116.0232800000003</v>
      </c>
      <c r="J308" s="106"/>
      <c r="K308" s="7">
        <f>K300+K307+K306</f>
        <v>2237.1793600000001</v>
      </c>
      <c r="L308" s="85"/>
      <c r="M308" s="86"/>
      <c r="N308" s="42">
        <f>N300+N307+N306</f>
        <v>2188.9004199999999</v>
      </c>
      <c r="O308" s="106"/>
      <c r="P308" s="7">
        <f>P300+P307+P306</f>
        <v>2243.1793600000001</v>
      </c>
      <c r="Q308" s="85"/>
      <c r="R308" s="86"/>
      <c r="S308" s="42">
        <f>S300+S307+S306</f>
        <v>2420.8698514741695</v>
      </c>
      <c r="T308" s="106"/>
      <c r="U308" s="7">
        <f>U300+U307+U306</f>
        <v>2318.1793600000001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298.79377840000001</v>
      </c>
      <c r="E309" s="106"/>
      <c r="F309" s="7">
        <f>F308*0.13</f>
        <v>290.83331680000003</v>
      </c>
      <c r="G309" s="85"/>
      <c r="H309" s="86"/>
      <c r="I309" s="42">
        <f>I308*0.13</f>
        <v>275.08302640000005</v>
      </c>
      <c r="J309" s="106"/>
      <c r="K309" s="7">
        <f>K308*0.13</f>
        <v>290.83331680000003</v>
      </c>
      <c r="L309" s="85"/>
      <c r="M309" s="86"/>
      <c r="N309" s="42">
        <f>N308*0.13</f>
        <v>284.55705460000001</v>
      </c>
      <c r="O309" s="106"/>
      <c r="P309" s="7">
        <f>P308*0.13</f>
        <v>291.61331680000001</v>
      </c>
      <c r="Q309" s="85"/>
      <c r="R309" s="86"/>
      <c r="S309" s="42">
        <f>S308*0.13</f>
        <v>314.71308069164206</v>
      </c>
      <c r="T309" s="106"/>
      <c r="U309" s="7">
        <f>U308*0.13</f>
        <v>301.36331680000001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-259.72074584000001</v>
      </c>
      <c r="E310" s="106"/>
      <c r="F310" s="7">
        <f>SUM(F308:F309)*-0.1</f>
        <v>-252.80126768000002</v>
      </c>
      <c r="G310" s="85"/>
      <c r="H310" s="86"/>
      <c r="I310" s="42">
        <f>SUM(I308:I309)*-0.1</f>
        <v>-239.11063064000007</v>
      </c>
      <c r="J310" s="106"/>
      <c r="K310" s="7">
        <f>SUM(K308:K309)*-0.1</f>
        <v>-252.80126768000002</v>
      </c>
      <c r="L310" s="85"/>
      <c r="M310" s="86"/>
      <c r="N310" s="42">
        <f>SUM(N308:N309)*-0.1</f>
        <v>-247.34574745999998</v>
      </c>
      <c r="O310" s="106"/>
      <c r="P310" s="7">
        <f>SUM(P308:P309)*-0.1</f>
        <v>-253.47926768000002</v>
      </c>
      <c r="Q310" s="85"/>
      <c r="R310" s="86"/>
      <c r="S310" s="42">
        <f>SUM(S308:S309)*-0.1</f>
        <v>-273.55829321658115</v>
      </c>
      <c r="T310" s="106"/>
      <c r="U310" s="7">
        <f>SUM(U308:U309)*-0.1</f>
        <v>-261.95426768000004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2337.4867125600003</v>
      </c>
      <c r="E311" s="181"/>
      <c r="F311" s="182">
        <f>SUM(F308:F310)</f>
        <v>2275.2114091200001</v>
      </c>
      <c r="G311" s="183">
        <f>F311-D311</f>
        <v>-62.275303440000243</v>
      </c>
      <c r="H311" s="179"/>
      <c r="I311" s="180">
        <f>SUM(I308:I310)</f>
        <v>2151.9956757600003</v>
      </c>
      <c r="J311" s="181"/>
      <c r="K311" s="182">
        <f>SUM(K308:K310)</f>
        <v>2275.2114091200001</v>
      </c>
      <c r="L311" s="183">
        <f>K311-I311</f>
        <v>123.21573335999983</v>
      </c>
      <c r="M311" s="179"/>
      <c r="N311" s="180">
        <f>SUM(N308:N310)</f>
        <v>2226.1117271399999</v>
      </c>
      <c r="O311" s="181"/>
      <c r="P311" s="182">
        <f>SUM(P308:P310)</f>
        <v>2281.31340912</v>
      </c>
      <c r="Q311" s="183">
        <f>P311-N311</f>
        <v>55.201681980000103</v>
      </c>
      <c r="R311" s="179"/>
      <c r="S311" s="180">
        <f>SUM(S308:S310)</f>
        <v>2462.0246389492304</v>
      </c>
      <c r="T311" s="181"/>
      <c r="U311" s="182">
        <f>SUM(U308:U310)</f>
        <v>2357.5884091200001</v>
      </c>
      <c r="V311" s="183">
        <f>U311-S311</f>
        <v>-104.43622982923034</v>
      </c>
    </row>
    <row r="312" spans="1:22" ht="15.75" thickBot="1" x14ac:dyDescent="0.3">
      <c r="A312" s="184">
        <f>A311+1</f>
        <v>54</v>
      </c>
      <c r="B312" s="185" t="s">
        <v>118</v>
      </c>
      <c r="C312" s="186"/>
      <c r="D312" s="187"/>
      <c r="E312" s="188"/>
      <c r="F312" s="189"/>
      <c r="G312" s="190">
        <f>G311/D311</f>
        <v>-2.6641992489359109E-2</v>
      </c>
      <c r="H312" s="186"/>
      <c r="I312" s="187"/>
      <c r="J312" s="188"/>
      <c r="K312" s="189"/>
      <c r="L312" s="190">
        <f>L311/I311</f>
        <v>5.7256496724364878E-2</v>
      </c>
      <c r="M312" s="186"/>
      <c r="N312" s="187"/>
      <c r="O312" s="188"/>
      <c r="P312" s="189"/>
      <c r="Q312" s="190">
        <f>Q311/N311</f>
        <v>2.4797354646220088E-2</v>
      </c>
      <c r="R312" s="186"/>
      <c r="S312" s="187"/>
      <c r="T312" s="188"/>
      <c r="U312" s="189"/>
      <c r="V312" s="190">
        <f>V311/S311</f>
        <v>-4.2418840241096357E-2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120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103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103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103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103</v>
      </c>
    </row>
    <row r="315" spans="1:22" x14ac:dyDescent="0.25">
      <c r="A315" s="139">
        <f>A314+1</f>
        <v>56</v>
      </c>
      <c r="B315" s="85" t="s">
        <v>119</v>
      </c>
      <c r="C315" s="86"/>
      <c r="D315" s="42">
        <f>SUM(D270:D273)+D276+D285</f>
        <v>214.85</v>
      </c>
      <c r="E315" s="106"/>
      <c r="F315" s="7">
        <f>SUM(F270:F273)+F276+F285</f>
        <v>147.07999999999998</v>
      </c>
      <c r="G315" s="56">
        <f>F315-D315</f>
        <v>-67.77000000000001</v>
      </c>
      <c r="H315" s="86"/>
      <c r="I315" s="42">
        <f>SUM(I270:I273)+I276+I285</f>
        <v>100.91</v>
      </c>
      <c r="J315" s="106"/>
      <c r="K315" s="7">
        <f>SUM(K270:K273)+K276+K285</f>
        <v>147.07999999999998</v>
      </c>
      <c r="L315" s="56">
        <f>K315-I315</f>
        <v>46.169999999999987</v>
      </c>
      <c r="M315" s="86"/>
      <c r="N315" s="42">
        <f>SUM(N270:N273)+N276+N285</f>
        <v>121.16</v>
      </c>
      <c r="O315" s="106"/>
      <c r="P315" s="7">
        <f>SUM(P270:P273)+P276+P285</f>
        <v>147.07999999999998</v>
      </c>
      <c r="Q315" s="56">
        <f>P315-N315</f>
        <v>25.919999999999987</v>
      </c>
      <c r="R315" s="86"/>
      <c r="S315" s="42">
        <f>SUM(S270:S273)+S276+S285</f>
        <v>195.14</v>
      </c>
      <c r="T315" s="106"/>
      <c r="U315" s="7">
        <f>SUM(U270:U273)+U276+U285</f>
        <v>147.07999999999998</v>
      </c>
      <c r="V315" s="56">
        <f>U315-S315</f>
        <v>-48.06</v>
      </c>
    </row>
    <row r="316" spans="1:22" x14ac:dyDescent="0.25">
      <c r="A316" s="164">
        <f t="shared" ref="A316:A318" si="89">A315+1</f>
        <v>57</v>
      </c>
      <c r="B316" s="165" t="s">
        <v>118</v>
      </c>
      <c r="C316" s="166"/>
      <c r="D316" s="167"/>
      <c r="E316" s="168"/>
      <c r="F316" s="93"/>
      <c r="G316" s="169">
        <f>G315/SUM(D315:D318)</f>
        <v>-0.20774713816591742</v>
      </c>
      <c r="H316" s="166"/>
      <c r="I316" s="167"/>
      <c r="J316" s="168"/>
      <c r="K316" s="93"/>
      <c r="L316" s="169">
        <f>L315/SUM(I315:I318)</f>
        <v>0.20671436185302025</v>
      </c>
      <c r="M316" s="166"/>
      <c r="N316" s="167"/>
      <c r="O316" s="168"/>
      <c r="P316" s="93"/>
      <c r="Q316" s="169">
        <f>Q315/SUM(N315:N318)</f>
        <v>9.4988540907848529E-2</v>
      </c>
      <c r="R316" s="166"/>
      <c r="S316" s="167"/>
      <c r="T316" s="168"/>
      <c r="U316" s="93"/>
      <c r="V316" s="169">
        <f>V315/SUM(S315:S318)</f>
        <v>-9.7724280884715867E-2</v>
      </c>
    </row>
    <row r="317" spans="1:22" x14ac:dyDescent="0.25">
      <c r="A317" s="139">
        <f t="shared" si="89"/>
        <v>58</v>
      </c>
      <c r="B317" s="85" t="s">
        <v>121</v>
      </c>
      <c r="C317" s="86"/>
      <c r="D317" s="42">
        <f>D274+SUM(D277:D284)+D275</f>
        <v>111.36387999999999</v>
      </c>
      <c r="E317" s="106"/>
      <c r="F317" s="7">
        <f>F274+SUM(F277:F284)+F275</f>
        <v>134.32350999999983</v>
      </c>
      <c r="G317" s="56">
        <f>F317-D317</f>
        <v>22.959629999999834</v>
      </c>
      <c r="H317" s="86"/>
      <c r="I317" s="42">
        <f>I274+SUM(I277:I284)+I275</f>
        <v>122.44168000000002</v>
      </c>
      <c r="J317" s="106"/>
      <c r="K317" s="7">
        <f>K274+SUM(K277:K284)+K275</f>
        <v>134.32350999999983</v>
      </c>
      <c r="L317" s="56">
        <f>K317-I317</f>
        <v>11.881829999999809</v>
      </c>
      <c r="M317" s="86"/>
      <c r="N317" s="42">
        <f>N274+SUM(N277:N284)+N275</f>
        <v>151.71502000000001</v>
      </c>
      <c r="O317" s="106"/>
      <c r="P317" s="7">
        <f>P274+SUM(P277:P284)+P275</f>
        <v>140.32350999999983</v>
      </c>
      <c r="Q317" s="56">
        <f>P317-N317</f>
        <v>-11.391510000000181</v>
      </c>
      <c r="R317" s="86"/>
      <c r="S317" s="42">
        <f>S274+SUM(S277:S284)+S275</f>
        <v>296.65179999999998</v>
      </c>
      <c r="T317" s="106"/>
      <c r="U317" s="7">
        <f>U274+SUM(U277:U284)+U275</f>
        <v>168.82350999999983</v>
      </c>
      <c r="V317" s="56">
        <f>U317-S317</f>
        <v>-127.82829000000015</v>
      </c>
    </row>
    <row r="318" spans="1:22" ht="15.75" thickBot="1" x14ac:dyDescent="0.3">
      <c r="A318" s="170">
        <f t="shared" si="89"/>
        <v>59</v>
      </c>
      <c r="B318" s="171" t="s">
        <v>118</v>
      </c>
      <c r="C318" s="172"/>
      <c r="D318" s="173"/>
      <c r="E318" s="174"/>
      <c r="F318" s="175"/>
      <c r="G318" s="176">
        <f>G317/SUM(D315:D318)</f>
        <v>7.0382137020042895E-2</v>
      </c>
      <c r="H318" s="172"/>
      <c r="I318" s="173"/>
      <c r="J318" s="174"/>
      <c r="K318" s="175"/>
      <c r="L318" s="176">
        <f>L317/SUM(I315:I318)</f>
        <v>5.3197853716613223E-2</v>
      </c>
      <c r="M318" s="172"/>
      <c r="N318" s="173"/>
      <c r="O318" s="174"/>
      <c r="P318" s="175"/>
      <c r="Q318" s="176">
        <f>Q317/SUM(N315:N318)</f>
        <v>-4.1746254384150597E-2</v>
      </c>
      <c r="R318" s="172"/>
      <c r="S318" s="173"/>
      <c r="T318" s="174"/>
      <c r="U318" s="175"/>
      <c r="V318" s="176">
        <f>V317/SUM(S315:S318)</f>
        <v>-0.25992358961658196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7" max="21" man="1"/>
    <brk id="130" max="21" man="1"/>
    <brk id="193" max="21" man="1"/>
    <brk id="256" max="21" man="1"/>
  </rowBreaks>
  <ignoredErrors>
    <ignoredError sqref="E18:E33 E37:E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29</vt:i4>
      </vt:variant>
    </vt:vector>
  </HeadingPairs>
  <TitlesOfParts>
    <vt:vector size="46" baseType="lpstr">
      <vt:lpstr>General Input</vt:lpstr>
      <vt:lpstr>2015 Approved</vt:lpstr>
      <vt:lpstr>2016 Proposed</vt:lpstr>
      <vt:lpstr>Notice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DU GS&lt;50 to GS&gt;50</vt:lpstr>
      <vt:lpstr>CK Inter to GS&gt;50</vt:lpstr>
      <vt:lpstr>CKH_LOSS</vt:lpstr>
      <vt:lpstr>CKH_LOSS2</vt:lpstr>
      <vt:lpstr>DUT_LOSS</vt:lpstr>
      <vt:lpstr>EPI_LOSS</vt:lpstr>
      <vt:lpstr>INFLAT</vt:lpstr>
      <vt:lpstr>NEW_LOSS</vt:lpstr>
      <vt:lpstr>'CK Inter to GS&gt;50'!Print_Area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2015-12-17T13:18:50Z</cp:lastPrinted>
  <dcterms:created xsi:type="dcterms:W3CDTF">2015-07-27T20:03:04Z</dcterms:created>
  <dcterms:modified xsi:type="dcterms:W3CDTF">2015-12-17T13:20:11Z</dcterms:modified>
</cp:coreProperties>
</file>