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gulatory\2016 Cost Of Service EB-2015-0061\10_IR Responses\0_Submission\"/>
    </mc:Choice>
  </mc:AlternateContent>
  <bookViews>
    <workbookView xWindow="0" yWindow="0" windowWidth="20490" windowHeight="7440" tabRatio="871" firstSheet="2" activeTab="9"/>
  </bookViews>
  <sheets>
    <sheet name="Purchase Forecast" sheetId="16" r:id="rId1"/>
    <sheet name="Regression Analysis" sheetId="26" r:id="rId2"/>
    <sheet name="Forecast Accuracy" sheetId="7" r:id="rId3"/>
    <sheet name="Rate Class Customer Model" sheetId="4" r:id="rId4"/>
    <sheet name="Rate Class Energy Model" sheetId="5" r:id="rId5"/>
    <sheet name="Rate Class Demand Model" sheetId="8" r:id="rId6"/>
    <sheet name="CDM" sheetId="17" r:id="rId7"/>
    <sheet name="WMP" sheetId="14" r:id="rId8"/>
    <sheet name="Detailed Summary" sheetId="9" r:id="rId9"/>
    <sheet name="Summary" sheetId="19" r:id="rId10"/>
    <sheet name="COP Rates" sheetId="20" r:id="rId11"/>
    <sheet name="COP Forecast" sheetId="25" r:id="rId12"/>
    <sheet name="Allocation of LF" sheetId="28" r:id="rId13"/>
    <sheet name="2016 Revenue at Old Rates" sheetId="29" r:id="rId14"/>
    <sheet name="Market Participant" sheetId="11"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3">#REF!</definedName>
    <definedName name="contactf" localSheetId="6">#REF!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3">#REF!</definedName>
    <definedName name="Incr2000" localSheetId="6">#REF!</definedName>
    <definedName name="Incr2000">#REF!</definedName>
    <definedName name="LDC_LIST">[6]lists!$AM$1:$AM$80</definedName>
    <definedName name="LIMIT" localSheetId="13">#REF!</definedName>
    <definedName name="LIMIT" localSheetId="6">#REF!</definedName>
    <definedName name="LIMIT">#REF!</definedName>
    <definedName name="LossFactors">[3]lists!$L$2:$L$15</definedName>
    <definedName name="man_beg_bud" localSheetId="13">#REF!</definedName>
    <definedName name="man_beg_bud" localSheetId="6">#REF!</definedName>
    <definedName name="man_beg_bud">#REF!</definedName>
    <definedName name="man_end_bud" localSheetId="13">#REF!</definedName>
    <definedName name="man_end_bud" localSheetId="6">#REF!</definedName>
    <definedName name="man_end_bud">#REF!</definedName>
    <definedName name="man12ACT" localSheetId="13">#REF!</definedName>
    <definedName name="man12ACT" localSheetId="6">#REF!</definedName>
    <definedName name="man12ACT">#REF!</definedName>
    <definedName name="MANBUD" localSheetId="13">#REF!</definedName>
    <definedName name="MANBUD" localSheetId="6">#REF!</definedName>
    <definedName name="MANBUD">#REF!</definedName>
    <definedName name="manCYACT" localSheetId="13">#REF!</definedName>
    <definedName name="manCYACT" localSheetId="6">#REF!</definedName>
    <definedName name="manCYACT">#REF!</definedName>
    <definedName name="manCYBUD" localSheetId="13">#REF!</definedName>
    <definedName name="manCYBUD" localSheetId="6">#REF!</definedName>
    <definedName name="manCYBUD">#REF!</definedName>
    <definedName name="manCYF" localSheetId="13">#REF!</definedName>
    <definedName name="manCYF" localSheetId="6">#REF!</definedName>
    <definedName name="manCYF">#REF!</definedName>
    <definedName name="MANEND" localSheetId="13">#REF!</definedName>
    <definedName name="MANEND" localSheetId="6">#REF!</definedName>
    <definedName name="MANEND">#REF!</definedName>
    <definedName name="manNYbud" localSheetId="13">#REF!</definedName>
    <definedName name="manNYbud" localSheetId="6">#REF!</definedName>
    <definedName name="manNYbud">#REF!</definedName>
    <definedName name="manpower_costs" localSheetId="13">#REF!</definedName>
    <definedName name="manpower_costs" localSheetId="6">#REF!</definedName>
    <definedName name="manpower_costs">#REF!</definedName>
    <definedName name="manPYACT" localSheetId="13">#REF!</definedName>
    <definedName name="manPYACT" localSheetId="6">#REF!</definedName>
    <definedName name="manPYACT">#REF!</definedName>
    <definedName name="MANSTART" localSheetId="13">#REF!</definedName>
    <definedName name="MANSTART" localSheetId="6">#REF!</definedName>
    <definedName name="MANSTART">#REF!</definedName>
    <definedName name="mat_beg_bud" localSheetId="13">#REF!</definedName>
    <definedName name="mat_beg_bud" localSheetId="6">#REF!</definedName>
    <definedName name="mat_beg_bud">#REF!</definedName>
    <definedName name="mat_end_bud" localSheetId="13">#REF!</definedName>
    <definedName name="mat_end_bud" localSheetId="6">#REF!</definedName>
    <definedName name="mat_end_bud">#REF!</definedName>
    <definedName name="mat12ACT" localSheetId="13">#REF!</definedName>
    <definedName name="mat12ACT" localSheetId="6">#REF!</definedName>
    <definedName name="mat12ACT">#REF!</definedName>
    <definedName name="MATBUD" localSheetId="13">#REF!</definedName>
    <definedName name="MATBUD" localSheetId="6">#REF!</definedName>
    <definedName name="MATBUD">#REF!</definedName>
    <definedName name="matCYACT" localSheetId="13">#REF!</definedName>
    <definedName name="matCYACT" localSheetId="6">#REF!</definedName>
    <definedName name="matCYACT">#REF!</definedName>
    <definedName name="matCYBUD" localSheetId="13">#REF!</definedName>
    <definedName name="matCYBUD" localSheetId="6">#REF!</definedName>
    <definedName name="matCYBUD">#REF!</definedName>
    <definedName name="matCYF" localSheetId="13">#REF!</definedName>
    <definedName name="matCYF" localSheetId="6">#REF!</definedName>
    <definedName name="matCYF">#REF!</definedName>
    <definedName name="MATEND" localSheetId="13">#REF!</definedName>
    <definedName name="MATEND" localSheetId="6">#REF!</definedName>
    <definedName name="MATEND">#REF!</definedName>
    <definedName name="material_costs" localSheetId="13">#REF!</definedName>
    <definedName name="material_costs" localSheetId="6">#REF!</definedName>
    <definedName name="material_costs">#REF!</definedName>
    <definedName name="matNYbud" localSheetId="13">#REF!</definedName>
    <definedName name="matNYbud" localSheetId="6">#REF!</definedName>
    <definedName name="matNYbud">#REF!</definedName>
    <definedName name="matPYACT" localSheetId="13">#REF!</definedName>
    <definedName name="matPYACT" localSheetId="6">#REF!</definedName>
    <definedName name="matPYACT">#REF!</definedName>
    <definedName name="MATSTART" localSheetId="13">#REF!</definedName>
    <definedName name="MATSTART" localSheetId="6">#REF!</definedName>
    <definedName name="MATSTART">#REF!</definedName>
    <definedName name="NewRevReq">[4]Refs!$B$8</definedName>
    <definedName name="NonPayment">[3]lists!$AA$1:$AA$71</definedName>
    <definedName name="oth_beg_bud" localSheetId="13">#REF!</definedName>
    <definedName name="oth_beg_bud" localSheetId="6">#REF!</definedName>
    <definedName name="oth_beg_bud">#REF!</definedName>
    <definedName name="oth_end_bud" localSheetId="13">#REF!</definedName>
    <definedName name="oth_end_bud" localSheetId="6">#REF!</definedName>
    <definedName name="oth_end_bud">#REF!</definedName>
    <definedName name="oth12ACT" localSheetId="13">#REF!</definedName>
    <definedName name="oth12ACT" localSheetId="6">#REF!</definedName>
    <definedName name="oth12ACT">#REF!</definedName>
    <definedName name="othCYACT" localSheetId="13">#REF!</definedName>
    <definedName name="othCYACT" localSheetId="6">#REF!</definedName>
    <definedName name="othCYACT">#REF!</definedName>
    <definedName name="othCYBUD" localSheetId="13">#REF!</definedName>
    <definedName name="othCYBUD" localSheetId="6">#REF!</definedName>
    <definedName name="othCYBUD">#REF!</definedName>
    <definedName name="othCYF" localSheetId="13">#REF!</definedName>
    <definedName name="othCYF" localSheetId="6">#REF!</definedName>
    <definedName name="othCYF">#REF!</definedName>
    <definedName name="OTHEND" localSheetId="13">#REF!</definedName>
    <definedName name="OTHEND" localSheetId="6">#REF!</definedName>
    <definedName name="OTHEND">#REF!</definedName>
    <definedName name="other_costs" localSheetId="13">#REF!</definedName>
    <definedName name="other_costs" localSheetId="6">#REF!</definedName>
    <definedName name="other_costs">#REF!</definedName>
    <definedName name="OTHERBUD" localSheetId="13">#REF!</definedName>
    <definedName name="OTHERBUD" localSheetId="6">#REF!</definedName>
    <definedName name="OTHERBUD">#REF!</definedName>
    <definedName name="othNYbud" localSheetId="13">#REF!</definedName>
    <definedName name="othNYbud" localSheetId="6">#REF!</definedName>
    <definedName name="othNYbud">#REF!</definedName>
    <definedName name="othPYACT" localSheetId="13">#REF!</definedName>
    <definedName name="othPYACT" localSheetId="6">#REF!</definedName>
    <definedName name="othPYACT">#REF!</definedName>
    <definedName name="OTHSTART" localSheetId="13">#REF!</definedName>
    <definedName name="OTHSTART" localSheetId="6">#REF!</definedName>
    <definedName name="OTHSTART">#REF!</definedName>
    <definedName name="PAGE11" localSheetId="13">#REF!</definedName>
    <definedName name="PAGE11" localSheetId="14">#REF!</definedName>
    <definedName name="PAGE11" localSheetId="5">#REF!</definedName>
    <definedName name="PAGE11">#REF!</definedName>
    <definedName name="PAGE2">[1]Sheet1!$A$1:$I$40</definedName>
    <definedName name="PAGE3" localSheetId="13">#REF!</definedName>
    <definedName name="PAGE3" localSheetId="14">#REF!</definedName>
    <definedName name="PAGE3" localSheetId="5">#REF!</definedName>
    <definedName name="PAGE3">#REF!</definedName>
    <definedName name="PAGE4" localSheetId="13">#REF!</definedName>
    <definedName name="PAGE4" localSheetId="14">#REF!</definedName>
    <definedName name="PAGE4" localSheetId="5">#REF!</definedName>
    <definedName name="PAGE4">#REF!</definedName>
    <definedName name="PAGE7" localSheetId="13">#REF!</definedName>
    <definedName name="PAGE7" localSheetId="14">#REF!</definedName>
    <definedName name="PAGE7" localSheetId="5">#REF!</definedName>
    <definedName name="PAGE7">#REF!</definedName>
    <definedName name="PAGE9" localSheetId="13">#REF!</definedName>
    <definedName name="PAGE9" localSheetId="14">#REF!</definedName>
    <definedName name="PAGE9" localSheetId="5">#REF!</definedName>
    <definedName name="PAGE9">#REF!</definedName>
    <definedName name="_xlnm.Print_Area" localSheetId="13">'2016 Revenue at Old Rates'!$A$1:$S$59</definedName>
    <definedName name="_xlnm.Print_Area" localSheetId="12">'Allocation of LF'!$A$1:$K$40</definedName>
    <definedName name="_xlnm.Print_Area" localSheetId="6">CDM!$A$1:$K$42</definedName>
    <definedName name="_xlnm.Print_Area" localSheetId="11">'COP Forecast'!$A$1:$M$70</definedName>
    <definedName name="_xlnm.Print_Area" localSheetId="10">'COP Rates'!$A$1:$H$57</definedName>
    <definedName name="_xlnm.Print_Area" localSheetId="8">'Detailed Summary'!$A$1:$L$51</definedName>
    <definedName name="_xlnm.Print_Area" localSheetId="2">'Forecast Accuracy'!$A$1:$K$20</definedName>
    <definedName name="_xlnm.Print_Area" localSheetId="14">'Market Participant'!$A$1:$D$4</definedName>
    <definedName name="_xlnm.Print_Area" localSheetId="0">'Purchase Forecast'!$A$1:$M$137</definedName>
    <definedName name="_xlnm.Print_Area" localSheetId="3">'Rate Class Customer Model'!$A$1:$K$31</definedName>
    <definedName name="_xlnm.Print_Area" localSheetId="5">'Rate Class Demand Model'!$A$1:$K$37</definedName>
    <definedName name="_xlnm.Print_Area" localSheetId="4">'Rate Class Energy Model'!$A$1:$K$64</definedName>
    <definedName name="_xlnm.Print_Area" localSheetId="1">'Regression Analysis'!$A$1:$I$33</definedName>
    <definedName name="_xlnm.Print_Area" localSheetId="9">Summary!$A$1:$H$31</definedName>
    <definedName name="print_end" localSheetId="13">#REF!</definedName>
    <definedName name="print_end" localSheetId="6">#REF!</definedName>
    <definedName name="print_end">#REF!</definedName>
    <definedName name="_xlnm.Print_Titles" localSheetId="0">'Purchase Forecast'!$1:$5</definedName>
    <definedName name="_xlnm.Print_Titles" localSheetId="4">'Rate Class Energy Model'!$1:$5</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3">#REF!</definedName>
    <definedName name="SALBENF" localSheetId="6">#REF!</definedName>
    <definedName name="SALBENF">#REF!</definedName>
    <definedName name="salreg" localSheetId="13">#REF!</definedName>
    <definedName name="salreg" localSheetId="6">#REF!</definedName>
    <definedName name="salreg">#REF!</definedName>
    <definedName name="SALREGF" localSheetId="13">#REF!</definedName>
    <definedName name="SALREGF" localSheetId="6">#REF!</definedName>
    <definedName name="SALREGF">#REF!</definedName>
    <definedName name="SM_15">'[8]Regulatory Rates'!$D$7</definedName>
    <definedName name="TEMPA" localSheetId="13">#REF!</definedName>
    <definedName name="TEMPA" localSheetId="6">#REF!</definedName>
    <definedName name="TEMPA">#REF!</definedName>
    <definedName name="TestYear">'[3]LDC Info'!$E$24</definedName>
    <definedName name="total_dept" localSheetId="13">#REF!</definedName>
    <definedName name="total_dept" localSheetId="6">#REF!</definedName>
    <definedName name="total_dept">#REF!</definedName>
    <definedName name="total_manpower" localSheetId="13">#REF!</definedName>
    <definedName name="total_manpower" localSheetId="6">#REF!</definedName>
    <definedName name="total_manpower">#REF!</definedName>
    <definedName name="total_material" localSheetId="13">#REF!</definedName>
    <definedName name="total_material" localSheetId="6">#REF!</definedName>
    <definedName name="total_material">#REF!</definedName>
    <definedName name="total_other" localSheetId="13">#REF!</definedName>
    <definedName name="total_other" localSheetId="6">#REF!</definedName>
    <definedName name="total_other">#REF!</definedName>
    <definedName name="total_transportation" localSheetId="13">#REF!</definedName>
    <definedName name="total_transportation" localSheetId="6">#REF!</definedName>
    <definedName name="total_transportation">#REF!</definedName>
    <definedName name="TRANBUD" localSheetId="13">#REF!</definedName>
    <definedName name="TRANBUD" localSheetId="6">#REF!</definedName>
    <definedName name="TRANBUD">#REF!</definedName>
    <definedName name="TRANEND" localSheetId="13">#REF!</definedName>
    <definedName name="TRANEND" localSheetId="6">#REF!</definedName>
    <definedName name="TRANEND">#REF!</definedName>
    <definedName name="transportation_costs" localSheetId="13">#REF!</definedName>
    <definedName name="transportation_costs" localSheetId="6">#REF!</definedName>
    <definedName name="transportation_costs">#REF!</definedName>
    <definedName name="TRANSTART" localSheetId="13">#REF!</definedName>
    <definedName name="TRANSTART" localSheetId="6">#REF!</definedName>
    <definedName name="TRANSTART">#REF!</definedName>
    <definedName name="trn_beg_bud" localSheetId="13">#REF!</definedName>
    <definedName name="trn_beg_bud" localSheetId="6">#REF!</definedName>
    <definedName name="trn_beg_bud">#REF!</definedName>
    <definedName name="trn_end_bud" localSheetId="13">#REF!</definedName>
    <definedName name="trn_end_bud" localSheetId="6">#REF!</definedName>
    <definedName name="trn_end_bud">#REF!</definedName>
    <definedName name="trn12ACT" localSheetId="13">#REF!</definedName>
    <definedName name="trn12ACT" localSheetId="6">#REF!</definedName>
    <definedName name="trn12ACT">#REF!</definedName>
    <definedName name="trnCYACT" localSheetId="13">#REF!</definedName>
    <definedName name="trnCYACT" localSheetId="6">#REF!</definedName>
    <definedName name="trnCYACT">#REF!</definedName>
    <definedName name="trnCYBUD" localSheetId="13">#REF!</definedName>
    <definedName name="trnCYBUD" localSheetId="6">#REF!</definedName>
    <definedName name="trnCYBUD">#REF!</definedName>
    <definedName name="trnCYF" localSheetId="13">#REF!</definedName>
    <definedName name="trnCYF" localSheetId="6">#REF!</definedName>
    <definedName name="trnCYF">#REF!</definedName>
    <definedName name="trnNYbud" localSheetId="13">#REF!</definedName>
    <definedName name="trnNYbud" localSheetId="6">#REF!</definedName>
    <definedName name="trnNYbud">#REF!</definedName>
    <definedName name="trnPYACT" localSheetId="13">#REF!</definedName>
    <definedName name="trnPYACT" localSheetId="6">#REF!</definedName>
    <definedName name="trnPYACT">#REF!</definedName>
    <definedName name="Units">[3]lists!$N$2:$N$5</definedName>
    <definedName name="Utility">[5]Financials!$A$1</definedName>
    <definedName name="utitliy1">[9]Financials!$A$1</definedName>
    <definedName name="WAGBENF" localSheetId="13">#REF!</definedName>
    <definedName name="WAGBENF" localSheetId="6">#REF!</definedName>
    <definedName name="WAGBENF">#REF!</definedName>
    <definedName name="wagdob" localSheetId="13">#REF!</definedName>
    <definedName name="wagdob" localSheetId="6">#REF!</definedName>
    <definedName name="wagdob">#REF!</definedName>
    <definedName name="wagdobf" localSheetId="13">#REF!</definedName>
    <definedName name="wagdobf" localSheetId="6">#REF!</definedName>
    <definedName name="wagdobf">#REF!</definedName>
    <definedName name="wagreg" localSheetId="13">#REF!</definedName>
    <definedName name="wagreg" localSheetId="6">#REF!</definedName>
    <definedName name="wagreg">#REF!</definedName>
    <definedName name="wagregf" localSheetId="13">#REF!</definedName>
    <definedName name="wagregf" localSheetId="6">#REF!</definedName>
    <definedName name="wagregf">#REF!</definedName>
    <definedName name="WMS_15">'[8]Regulatory Rates'!$D$5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9" l="1"/>
  <c r="D24" i="19"/>
  <c r="C8" i="19" l="1"/>
  <c r="A24" i="19" l="1"/>
  <c r="A25" i="19" s="1"/>
  <c r="A26" i="19" s="1"/>
  <c r="A27" i="19" s="1"/>
  <c r="A28" i="19" s="1"/>
  <c r="A29" i="19" s="1"/>
  <c r="A30" i="19" s="1"/>
  <c r="A52" i="29" l="1"/>
  <c r="A53" i="29" s="1"/>
  <c r="D25" i="20" l="1"/>
  <c r="M13" i="29" l="1"/>
  <c r="H30" i="29"/>
  <c r="S30" i="29" s="1"/>
  <c r="M30" i="29"/>
  <c r="R30" i="29" s="1"/>
  <c r="P26" i="29"/>
  <c r="O26" i="29"/>
  <c r="M26" i="29"/>
  <c r="P25" i="29"/>
  <c r="O25" i="29"/>
  <c r="N25" i="29"/>
  <c r="P24" i="29"/>
  <c r="O24" i="29"/>
  <c r="N24" i="29"/>
  <c r="Q19" i="29"/>
  <c r="P18" i="29"/>
  <c r="O18" i="29"/>
  <c r="N18" i="29"/>
  <c r="M18" i="29"/>
  <c r="I18" i="29"/>
  <c r="H18" i="29"/>
  <c r="P14" i="29"/>
  <c r="O14" i="29"/>
  <c r="N14" i="29"/>
  <c r="M14" i="29"/>
  <c r="H14" i="29"/>
  <c r="P13" i="29"/>
  <c r="O13" i="29"/>
  <c r="N13" i="29"/>
  <c r="P12" i="29"/>
  <c r="O12" i="29"/>
  <c r="N12" i="29"/>
  <c r="M12" i="29"/>
  <c r="H12" i="29"/>
  <c r="A9" i="29"/>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H13" i="29" l="1"/>
  <c r="S13" i="29" s="1"/>
  <c r="R12" i="29"/>
  <c r="S18" i="29"/>
  <c r="R14" i="29"/>
  <c r="R18" i="29"/>
  <c r="R13" i="29"/>
  <c r="P53" i="29" l="1"/>
  <c r="O53" i="29"/>
  <c r="M53" i="29"/>
  <c r="P51" i="29"/>
  <c r="O51" i="29"/>
  <c r="N51" i="29"/>
  <c r="P50" i="29"/>
  <c r="O50" i="29"/>
  <c r="N50" i="29"/>
  <c r="Q45" i="29"/>
  <c r="P44" i="29"/>
  <c r="O44" i="29"/>
  <c r="N44" i="29"/>
  <c r="I44" i="29"/>
  <c r="M44" i="29" s="1"/>
  <c r="H44" i="29"/>
  <c r="P40" i="29"/>
  <c r="O40" i="29"/>
  <c r="N40" i="29"/>
  <c r="M40" i="29"/>
  <c r="H40" i="29"/>
  <c r="P39" i="29"/>
  <c r="O39" i="29"/>
  <c r="N39" i="29"/>
  <c r="M39" i="29"/>
  <c r="H39" i="29"/>
  <c r="P38" i="29"/>
  <c r="O38" i="29"/>
  <c r="N38" i="29"/>
  <c r="M38" i="29"/>
  <c r="H38" i="29"/>
  <c r="A35" i="29"/>
  <c r="A36" i="29" s="1"/>
  <c r="A37" i="29" s="1"/>
  <c r="A38" i="29" s="1"/>
  <c r="A39" i="29" s="1"/>
  <c r="A40" i="29" s="1"/>
  <c r="A41" i="29" s="1"/>
  <c r="A42" i="29" s="1"/>
  <c r="A43" i="29" s="1"/>
  <c r="A44" i="29" s="1"/>
  <c r="A45" i="29" s="1"/>
  <c r="A46" i="29" s="1"/>
  <c r="A47" i="29" s="1"/>
  <c r="A48" i="29" s="1"/>
  <c r="A49" i="29" s="1"/>
  <c r="A50" i="29" s="1"/>
  <c r="A51" i="29" s="1"/>
  <c r="A54" i="29" s="1"/>
  <c r="A55" i="29" s="1"/>
  <c r="A56" i="29" s="1"/>
  <c r="A57" i="29" s="1"/>
  <c r="A58" i="29" s="1"/>
  <c r="A59" i="29" s="1"/>
  <c r="S44" i="29" l="1"/>
  <c r="R44" i="29"/>
  <c r="R40" i="29"/>
  <c r="R38" i="29"/>
  <c r="S39" i="29"/>
  <c r="R39" i="29"/>
  <c r="A8" i="28" l="1"/>
  <c r="G8" i="28"/>
  <c r="J8" i="28" s="1"/>
  <c r="K8" i="28"/>
  <c r="A9" i="28"/>
  <c r="G9" i="28"/>
  <c r="H9" i="28" s="1"/>
  <c r="I9" i="28"/>
  <c r="K9" i="28"/>
  <c r="A10" i="28"/>
  <c r="G10" i="28"/>
  <c r="J10" i="28" s="1"/>
  <c r="K10" i="28"/>
  <c r="A11" i="28"/>
  <c r="G11" i="28"/>
  <c r="H11" i="28" s="1"/>
  <c r="I11" i="28"/>
  <c r="K11" i="28"/>
  <c r="A12" i="28"/>
  <c r="G12" i="28"/>
  <c r="J12" i="28" s="1"/>
  <c r="K12" i="28"/>
  <c r="A13" i="28"/>
  <c r="G13" i="28"/>
  <c r="H13" i="28" s="1"/>
  <c r="I13" i="28"/>
  <c r="K13" i="28"/>
  <c r="A14" i="28"/>
  <c r="G14" i="28"/>
  <c r="J14" i="28" s="1"/>
  <c r="K14" i="28"/>
  <c r="A15" i="28"/>
  <c r="G15" i="28"/>
  <c r="H15" i="28" s="1"/>
  <c r="I15" i="28"/>
  <c r="K15" i="28"/>
  <c r="A16" i="28"/>
  <c r="G16" i="28"/>
  <c r="J16" i="28" s="1"/>
  <c r="K16" i="28"/>
  <c r="A17" i="28"/>
  <c r="G17" i="28"/>
  <c r="A18" i="28"/>
  <c r="C18" i="28"/>
  <c r="D18" i="28"/>
  <c r="E18" i="28"/>
  <c r="F18" i="28"/>
  <c r="G18" i="28"/>
  <c r="A19" i="28"/>
  <c r="A20" i="28"/>
  <c r="G20" i="28"/>
  <c r="I20" i="28" s="1"/>
  <c r="H20" i="28"/>
  <c r="J20" i="28"/>
  <c r="K20" i="28"/>
  <c r="A21" i="28"/>
  <c r="A22" i="28" s="1"/>
  <c r="A23" i="28" s="1"/>
  <c r="A24" i="28" s="1"/>
  <c r="A25" i="28" s="1"/>
  <c r="A26" i="28" s="1"/>
  <c r="A27" i="28" s="1"/>
  <c r="A28" i="28" s="1"/>
  <c r="A29" i="28" s="1"/>
  <c r="A30" i="28" s="1"/>
  <c r="A31" i="28" s="1"/>
  <c r="A32" i="28" s="1"/>
  <c r="A33" i="28" s="1"/>
  <c r="A34" i="28" s="1"/>
  <c r="A35" i="28" s="1"/>
  <c r="A36" i="28" s="1"/>
  <c r="A37" i="28" s="1"/>
  <c r="A38" i="28" s="1"/>
  <c r="A39" i="28" s="1"/>
  <c r="A40" i="28" s="1"/>
  <c r="G21" i="28"/>
  <c r="H21" i="28"/>
  <c r="I21" i="28"/>
  <c r="J21" i="28"/>
  <c r="K21" i="28"/>
  <c r="G22" i="28"/>
  <c r="I22" i="28" s="1"/>
  <c r="H22" i="28"/>
  <c r="J22" i="28"/>
  <c r="K22" i="28"/>
  <c r="G23" i="28"/>
  <c r="H23" i="28"/>
  <c r="I23" i="28"/>
  <c r="J23" i="28"/>
  <c r="K23" i="28"/>
  <c r="G24" i="28"/>
  <c r="I24" i="28" s="1"/>
  <c r="H24" i="28"/>
  <c r="J24" i="28"/>
  <c r="K24" i="28"/>
  <c r="G25" i="28"/>
  <c r="H25" i="28"/>
  <c r="I25" i="28"/>
  <c r="J25" i="28"/>
  <c r="K25" i="28"/>
  <c r="G26" i="28"/>
  <c r="I26" i="28" s="1"/>
  <c r="H26" i="28"/>
  <c r="J26" i="28"/>
  <c r="K26" i="28"/>
  <c r="G27" i="28"/>
  <c r="I27" i="28" s="1"/>
  <c r="H27" i="28"/>
  <c r="J27" i="28"/>
  <c r="K27" i="28"/>
  <c r="G28" i="28"/>
  <c r="I28" i="28" s="1"/>
  <c r="H28" i="28"/>
  <c r="J28" i="28"/>
  <c r="K28" i="28"/>
  <c r="C29" i="28"/>
  <c r="D29" i="28"/>
  <c r="G29" i="28" s="1"/>
  <c r="E29" i="28"/>
  <c r="F29" i="28"/>
  <c r="G31" i="28"/>
  <c r="G32" i="28"/>
  <c r="G33" i="28"/>
  <c r="J33" i="28" s="1"/>
  <c r="K33" i="28"/>
  <c r="G34" i="28"/>
  <c r="H34" i="28" s="1"/>
  <c r="I34" i="28"/>
  <c r="K34" i="28"/>
  <c r="G35" i="28"/>
  <c r="G36" i="28"/>
  <c r="H36" i="28" s="1"/>
  <c r="I36" i="28"/>
  <c r="K36" i="28"/>
  <c r="G37" i="28"/>
  <c r="G38" i="28"/>
  <c r="H38" i="28" s="1"/>
  <c r="I38" i="28"/>
  <c r="K38" i="28"/>
  <c r="G39" i="28"/>
  <c r="J39" i="28" s="1"/>
  <c r="K39" i="28"/>
  <c r="I39" i="28" l="1"/>
  <c r="I33" i="28"/>
  <c r="I16" i="28"/>
  <c r="I14" i="28"/>
  <c r="I12" i="28"/>
  <c r="I10" i="28"/>
  <c r="I8" i="28"/>
  <c r="H39" i="28"/>
  <c r="J38" i="28"/>
  <c r="J36" i="28"/>
  <c r="J34" i="28"/>
  <c r="H33" i="28"/>
  <c r="H16" i="28"/>
  <c r="J15" i="28"/>
  <c r="H14" i="28"/>
  <c r="J13" i="28"/>
  <c r="H12" i="28"/>
  <c r="J11" i="28"/>
  <c r="H10" i="28"/>
  <c r="J9" i="28"/>
  <c r="H8" i="28"/>
  <c r="D53" i="20"/>
  <c r="A31" i="19" l="1"/>
  <c r="A22" i="19"/>
  <c r="A23" i="19" s="1"/>
  <c r="J46" i="9" l="1"/>
  <c r="G46" i="9"/>
  <c r="H46" i="9"/>
  <c r="I46" i="9"/>
  <c r="J18" i="9"/>
  <c r="E18" i="9"/>
  <c r="G18" i="9"/>
  <c r="I18" i="9"/>
  <c r="J22" i="9"/>
  <c r="F22" i="9"/>
  <c r="E22" i="9"/>
  <c r="G22" i="9"/>
  <c r="I22" i="9"/>
  <c r="J26" i="9"/>
  <c r="F26" i="9"/>
  <c r="E26" i="9"/>
  <c r="G26" i="9"/>
  <c r="H26" i="9"/>
  <c r="I26" i="9"/>
  <c r="J34" i="9"/>
  <c r="F34" i="9"/>
  <c r="E34" i="9"/>
  <c r="G34" i="9"/>
  <c r="H34" i="9"/>
  <c r="I34" i="9"/>
  <c r="J38" i="9"/>
  <c r="F38" i="9"/>
  <c r="G38" i="9"/>
  <c r="H38" i="9"/>
  <c r="I38" i="9"/>
  <c r="J42" i="9"/>
  <c r="F42" i="9"/>
  <c r="E42" i="9"/>
  <c r="G42" i="9"/>
  <c r="H42" i="9"/>
  <c r="I42" i="9"/>
  <c r="C18" i="9"/>
  <c r="C22" i="9"/>
  <c r="C42" i="9"/>
  <c r="C46" i="9"/>
  <c r="D18" i="9"/>
  <c r="D22" i="9"/>
  <c r="D26" i="9"/>
  <c r="D34" i="9"/>
  <c r="D38" i="9"/>
  <c r="D42" i="9"/>
  <c r="F47" i="9"/>
  <c r="G47" i="9"/>
  <c r="I23" i="8"/>
  <c r="G43" i="9"/>
  <c r="F39" i="9"/>
  <c r="I39" i="9"/>
  <c r="F27" i="9"/>
  <c r="E14" i="16"/>
  <c r="E15" i="16"/>
  <c r="E29" i="16"/>
  <c r="E33" i="16"/>
  <c r="E42" i="16"/>
  <c r="E43" i="16"/>
  <c r="E46" i="16"/>
  <c r="E47" i="16"/>
  <c r="E49" i="16"/>
  <c r="E51" i="16"/>
  <c r="E70" i="16"/>
  <c r="E81" i="16"/>
  <c r="E101" i="16"/>
  <c r="E7" i="16"/>
  <c r="E9" i="16"/>
  <c r="K117" i="16"/>
  <c r="K34" i="4"/>
  <c r="K33" i="4"/>
  <c r="B34" i="8"/>
  <c r="C34" i="8"/>
  <c r="E34" i="8"/>
  <c r="F34" i="8"/>
  <c r="G34" i="8"/>
  <c r="H34" i="8"/>
  <c r="I34" i="8"/>
  <c r="J34" i="8"/>
  <c r="C33" i="8"/>
  <c r="E33" i="8"/>
  <c r="F33" i="8"/>
  <c r="G33" i="8"/>
  <c r="H33" i="8"/>
  <c r="I33" i="8"/>
  <c r="J33" i="8"/>
  <c r="B33" i="8"/>
  <c r="A64" i="25"/>
  <c r="A9" i="19"/>
  <c r="A10" i="19" s="1"/>
  <c r="A11" i="19" s="1"/>
  <c r="A12" i="19" s="1"/>
  <c r="A13" i="19" s="1"/>
  <c r="A14" i="19" s="1"/>
  <c r="A15" i="19" s="1"/>
  <c r="A16" i="19" s="1"/>
  <c r="A51" i="20"/>
  <c r="A52" i="20"/>
  <c r="A53" i="20"/>
  <c r="A54" i="20"/>
  <c r="A55" i="20"/>
  <c r="A56" i="20"/>
  <c r="A57" i="20"/>
  <c r="A58" i="20"/>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G62" i="25"/>
  <c r="G63" i="25"/>
  <c r="G64" i="25"/>
  <c r="G65" i="25"/>
  <c r="G66" i="25"/>
  <c r="G67" i="25"/>
  <c r="G68" i="25"/>
  <c r="G61" i="25"/>
  <c r="G52" i="25"/>
  <c r="G53" i="25"/>
  <c r="G54" i="25"/>
  <c r="G55" i="25"/>
  <c r="G56" i="25"/>
  <c r="G57" i="25"/>
  <c r="G58" i="25"/>
  <c r="G51" i="25"/>
  <c r="J43" i="25"/>
  <c r="J53" i="25" s="1"/>
  <c r="J63" i="25" s="1"/>
  <c r="J44" i="25"/>
  <c r="J54" i="25" s="1"/>
  <c r="J64" i="25" s="1"/>
  <c r="J46" i="25"/>
  <c r="J56" i="25" s="1"/>
  <c r="J66" i="25" s="1"/>
  <c r="J47" i="25"/>
  <c r="J57" i="25" s="1"/>
  <c r="J67" i="25" s="1"/>
  <c r="J48" i="25"/>
  <c r="J58" i="25" s="1"/>
  <c r="J68" i="25" s="1"/>
  <c r="G42" i="25"/>
  <c r="G43" i="25"/>
  <c r="G44" i="25"/>
  <c r="G45" i="25"/>
  <c r="G46" i="25"/>
  <c r="G47" i="25"/>
  <c r="G48" i="25"/>
  <c r="G41" i="25"/>
  <c r="E43" i="25"/>
  <c r="E53" i="25" s="1"/>
  <c r="E63" i="25" s="1"/>
  <c r="E44" i="25"/>
  <c r="E54" i="25" s="1"/>
  <c r="E64" i="25" s="1"/>
  <c r="E46" i="25"/>
  <c r="E56" i="25" s="1"/>
  <c r="E66" i="25" s="1"/>
  <c r="E47" i="25"/>
  <c r="E57" i="25" s="1"/>
  <c r="E67" i="25" s="1"/>
  <c r="E48" i="25"/>
  <c r="E58" i="25" s="1"/>
  <c r="E68" i="25" s="1"/>
  <c r="L19" i="25"/>
  <c r="L20" i="25"/>
  <c r="L21" i="25"/>
  <c r="G19" i="25"/>
  <c r="G20" i="25"/>
  <c r="G21" i="25"/>
  <c r="G22" i="25"/>
  <c r="G23" i="25"/>
  <c r="G24" i="25"/>
  <c r="G25" i="25"/>
  <c r="G26" i="25"/>
  <c r="G27" i="25"/>
  <c r="A44" i="25"/>
  <c r="A45" i="25"/>
  <c r="A46" i="25"/>
  <c r="A47" i="25"/>
  <c r="A48" i="25"/>
  <c r="A49" i="25"/>
  <c r="A50" i="25"/>
  <c r="A51" i="25"/>
  <c r="A52" i="25"/>
  <c r="A53" i="25"/>
  <c r="L23" i="25"/>
  <c r="L24" i="25"/>
  <c r="L25" i="25"/>
  <c r="L26" i="25"/>
  <c r="L27" i="25"/>
  <c r="L22" i="25"/>
  <c r="A55" i="25"/>
  <c r="A56" i="25"/>
  <c r="A57" i="25"/>
  <c r="A58" i="25"/>
  <c r="A59" i="25"/>
  <c r="A60" i="25"/>
  <c r="A61" i="25"/>
  <c r="A62" i="25"/>
  <c r="A63" i="25"/>
  <c r="A65" i="25"/>
  <c r="A66" i="25"/>
  <c r="A67" i="25"/>
  <c r="A68" i="25"/>
  <c r="A69" i="25"/>
  <c r="A70" i="25"/>
  <c r="A54" i="25"/>
  <c r="J27" i="25"/>
  <c r="J20" i="25"/>
  <c r="E24" i="25"/>
  <c r="E27" i="25"/>
  <c r="J16" i="25"/>
  <c r="L62" i="25"/>
  <c r="L63" i="25"/>
  <c r="L64" i="25"/>
  <c r="L65" i="25"/>
  <c r="L66" i="25"/>
  <c r="L67" i="25"/>
  <c r="L68" i="25"/>
  <c r="L61" i="25"/>
  <c r="L52" i="25"/>
  <c r="L53" i="25"/>
  <c r="L54" i="25"/>
  <c r="L55" i="25"/>
  <c r="L56" i="25"/>
  <c r="L57" i="25"/>
  <c r="L58" i="25"/>
  <c r="L51" i="25"/>
  <c r="L43" i="25"/>
  <c r="L46" i="25"/>
  <c r="L42" i="25"/>
  <c r="L44" i="25"/>
  <c r="L45" i="25"/>
  <c r="L47" i="25"/>
  <c r="L41" i="25"/>
  <c r="E42" i="20"/>
  <c r="D42" i="20"/>
  <c r="D43" i="20"/>
  <c r="A33" i="20"/>
  <c r="A34" i="20"/>
  <c r="A35" i="20"/>
  <c r="A36" i="20"/>
  <c r="A37" i="20"/>
  <c r="A38" i="20"/>
  <c r="A39" i="20"/>
  <c r="A40" i="20"/>
  <c r="A41" i="20"/>
  <c r="A42" i="20"/>
  <c r="A43" i="20"/>
  <c r="A44" i="20"/>
  <c r="A45" i="20"/>
  <c r="C42" i="20"/>
  <c r="D28" i="20"/>
  <c r="D44" i="20" s="1"/>
  <c r="D45" i="20" s="1"/>
  <c r="C28" i="20"/>
  <c r="C44" i="20" s="1"/>
  <c r="C45" i="20" s="1"/>
  <c r="A24" i="20"/>
  <c r="A25" i="20"/>
  <c r="A26" i="20"/>
  <c r="A27" i="20"/>
  <c r="A28" i="20"/>
  <c r="C43" i="20"/>
  <c r="E43" i="20"/>
  <c r="H24" i="19"/>
  <c r="E24" i="19"/>
  <c r="E23" i="17"/>
  <c r="E25" i="17" s="1"/>
  <c r="D28" i="17"/>
  <c r="D23" i="17"/>
  <c r="J40" i="17"/>
  <c r="J28" i="17"/>
  <c r="I28" i="17"/>
  <c r="H28" i="17"/>
  <c r="G28" i="17"/>
  <c r="F28" i="17"/>
  <c r="E28" i="17"/>
  <c r="C28" i="17"/>
  <c r="B28" i="17"/>
  <c r="J23" i="17"/>
  <c r="J25" i="17" s="1"/>
  <c r="J36" i="17" s="1"/>
  <c r="J37" i="17" s="1"/>
  <c r="J57" i="5" s="1"/>
  <c r="I23" i="17"/>
  <c r="I25" i="17" s="1"/>
  <c r="I40" i="17" s="1"/>
  <c r="H23" i="17"/>
  <c r="H25" i="17" s="1"/>
  <c r="H40" i="17" s="1"/>
  <c r="G23" i="17"/>
  <c r="G25" i="17" s="1"/>
  <c r="G40" i="17" s="1"/>
  <c r="F23" i="17"/>
  <c r="F25" i="17" s="1"/>
  <c r="F40" i="17" s="1"/>
  <c r="B14" i="17"/>
  <c r="K115" i="16"/>
  <c r="K10" i="14"/>
  <c r="K19" i="14"/>
  <c r="K21" i="14"/>
  <c r="K20" i="14"/>
  <c r="D7" i="14"/>
  <c r="K7" i="14"/>
  <c r="K8" i="14"/>
  <c r="G44" i="11"/>
  <c r="K9" i="14"/>
  <c r="G18" i="5"/>
  <c r="B45" i="5"/>
  <c r="C45" i="5" s="1"/>
  <c r="D69" i="11"/>
  <c r="D70" i="11"/>
  <c r="D68" i="11"/>
  <c r="D49" i="11"/>
  <c r="D48" i="11"/>
  <c r="D47" i="11"/>
  <c r="D46" i="11"/>
  <c r="C69" i="11"/>
  <c r="C70" i="11"/>
  <c r="C68"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70" i="11"/>
  <c r="E68" i="11"/>
  <c r="E69" i="11"/>
  <c r="J35" i="9"/>
  <c r="J23" i="9"/>
  <c r="I35" i="9"/>
  <c r="I23" i="9"/>
  <c r="H35" i="9"/>
  <c r="H23" i="9"/>
  <c r="H19" i="9"/>
  <c r="G35" i="9"/>
  <c r="G23" i="9"/>
  <c r="G19" i="9"/>
  <c r="F35" i="9"/>
  <c r="F19" i="9"/>
  <c r="E47" i="9"/>
  <c r="E39" i="9"/>
  <c r="E35" i="9"/>
  <c r="E23" i="9"/>
  <c r="E19" i="9"/>
  <c r="D47" i="9"/>
  <c r="D39" i="9"/>
  <c r="D35" i="9"/>
  <c r="D27" i="9"/>
  <c r="D23" i="9"/>
  <c r="C43" i="9"/>
  <c r="C39" i="9"/>
  <c r="C35" i="9"/>
  <c r="C27" i="9"/>
  <c r="C23" i="9"/>
  <c r="C19" i="9"/>
  <c r="B47" i="9"/>
  <c r="B39" i="9"/>
  <c r="B35" i="9"/>
  <c r="B23" i="9"/>
  <c r="B19" i="9"/>
  <c r="H18" i="5"/>
  <c r="E18" i="5"/>
  <c r="B26" i="9"/>
  <c r="B18" i="5"/>
  <c r="B29" i="9"/>
  <c r="B41" i="9"/>
  <c r="B37" i="9"/>
  <c r="B17" i="9"/>
  <c r="B33" i="9"/>
  <c r="B25" i="9"/>
  <c r="B45" i="9"/>
  <c r="B21" i="9"/>
  <c r="K8" i="4"/>
  <c r="G36" i="17" l="1"/>
  <c r="G37" i="17" s="1"/>
  <c r="G57" i="5" s="1"/>
  <c r="H36" i="17"/>
  <c r="H37" i="17" s="1"/>
  <c r="H57" i="5" s="1"/>
  <c r="I36" i="17"/>
  <c r="I37" i="17" s="1"/>
  <c r="I57" i="5" s="1"/>
  <c r="F15" i="17"/>
  <c r="F16" i="17" s="1"/>
  <c r="E15" i="17"/>
  <c r="E16" i="17" s="1"/>
  <c r="G15" i="17"/>
  <c r="G16" i="17" s="1"/>
  <c r="D15" i="17"/>
  <c r="D16" i="17" s="1"/>
  <c r="E45" i="20"/>
  <c r="L8" i="25" s="1"/>
  <c r="L9" i="25" s="1"/>
  <c r="L10" i="25" s="1"/>
  <c r="D77" i="11"/>
  <c r="J19" i="8"/>
  <c r="U18" i="4"/>
  <c r="E53" i="16"/>
  <c r="K30" i="16"/>
  <c r="K21" i="16"/>
  <c r="L21" i="16" s="1"/>
  <c r="G14" i="17"/>
  <c r="K22" i="17"/>
  <c r="E9" i="25"/>
  <c r="E42" i="25" s="1"/>
  <c r="E52" i="25" s="1"/>
  <c r="E62" i="25" s="1"/>
  <c r="K110" i="16"/>
  <c r="E97" i="16"/>
  <c r="E93" i="16"/>
  <c r="E85" i="16"/>
  <c r="E35" i="16"/>
  <c r="K35" i="16"/>
  <c r="L35" i="16" s="1"/>
  <c r="C23" i="17"/>
  <c r="E79" i="16"/>
  <c r="E75" i="16"/>
  <c r="E62" i="16"/>
  <c r="D27" i="14"/>
  <c r="B15" i="7"/>
  <c r="H15" i="7" s="1"/>
  <c r="K93" i="16"/>
  <c r="L93" i="16" s="1"/>
  <c r="K81" i="16"/>
  <c r="M81" i="16" s="1"/>
  <c r="K79" i="16"/>
  <c r="E21" i="16"/>
  <c r="E19" i="16"/>
  <c r="E17" i="16"/>
  <c r="F36" i="17"/>
  <c r="F37" i="17" s="1"/>
  <c r="F57" i="5" s="1"/>
  <c r="D14" i="17"/>
  <c r="B17" i="7"/>
  <c r="H17" i="7" s="1"/>
  <c r="K118" i="16"/>
  <c r="K123" i="16"/>
  <c r="K125" i="16"/>
  <c r="K101" i="16"/>
  <c r="M101" i="16" s="1"/>
  <c r="E98" i="16"/>
  <c r="E90" i="16"/>
  <c r="E78" i="16"/>
  <c r="K70" i="16"/>
  <c r="M70" i="16" s="1"/>
  <c r="E67" i="16"/>
  <c r="E65" i="16"/>
  <c r="K53" i="16"/>
  <c r="M53" i="16" s="1"/>
  <c r="E30" i="16"/>
  <c r="M30" i="16" s="1"/>
  <c r="K15" i="16"/>
  <c r="M15" i="16" s="1"/>
  <c r="K9" i="16"/>
  <c r="M9" i="16" s="1"/>
  <c r="K7" i="16"/>
  <c r="E6" i="16"/>
  <c r="E111" i="16"/>
  <c r="E110" i="16"/>
  <c r="K77" i="16"/>
  <c r="K75" i="16"/>
  <c r="M75" i="16" s="1"/>
  <c r="K62" i="16"/>
  <c r="L62" i="16" s="1"/>
  <c r="E58" i="16"/>
  <c r="K49" i="16"/>
  <c r="L49" i="16" s="1"/>
  <c r="K47" i="16"/>
  <c r="L47" i="16" s="1"/>
  <c r="K17" i="16"/>
  <c r="L17" i="16" s="1"/>
  <c r="E13" i="16"/>
  <c r="K122" i="16"/>
  <c r="K129" i="16"/>
  <c r="K121" i="16"/>
  <c r="E11" i="16"/>
  <c r="K95" i="16"/>
  <c r="K90" i="16"/>
  <c r="M90" i="16" s="1"/>
  <c r="K86" i="16"/>
  <c r="L86" i="16" s="1"/>
  <c r="E83" i="16"/>
  <c r="E77" i="16"/>
  <c r="K67" i="16"/>
  <c r="E37" i="16"/>
  <c r="E25" i="16"/>
  <c r="E99" i="16"/>
  <c r="E94" i="16"/>
  <c r="E91" i="16"/>
  <c r="M91" i="16" s="1"/>
  <c r="E69" i="16"/>
  <c r="E63" i="16"/>
  <c r="E34" i="16"/>
  <c r="B9" i="7"/>
  <c r="D7" i="9" s="1"/>
  <c r="E10" i="16"/>
  <c r="E61" i="16"/>
  <c r="K58" i="16"/>
  <c r="E57" i="16"/>
  <c r="E45" i="16"/>
  <c r="E31" i="16"/>
  <c r="K137" i="16"/>
  <c r="E109" i="16"/>
  <c r="K106" i="16"/>
  <c r="E105" i="16"/>
  <c r="E95" i="16"/>
  <c r="M95" i="16" s="1"/>
  <c r="E88" i="16"/>
  <c r="E86" i="16"/>
  <c r="E84" i="16"/>
  <c r="E56" i="16"/>
  <c r="E54" i="16"/>
  <c r="E40" i="16"/>
  <c r="E39" i="16"/>
  <c r="E38" i="16"/>
  <c r="K26" i="16"/>
  <c r="M26" i="16" s="1"/>
  <c r="E113" i="16"/>
  <c r="E107" i="16"/>
  <c r="E106" i="16"/>
  <c r="L106" i="16" s="1"/>
  <c r="E102" i="16"/>
  <c r="K91" i="16"/>
  <c r="E74" i="16"/>
  <c r="E72" i="16"/>
  <c r="E66" i="16"/>
  <c r="E26" i="16"/>
  <c r="E24" i="16"/>
  <c r="E22" i="16"/>
  <c r="B49" i="9"/>
  <c r="K22" i="14"/>
  <c r="L58" i="16"/>
  <c r="E12" i="25"/>
  <c r="E16" i="25"/>
  <c r="M7" i="16"/>
  <c r="L110" i="16"/>
  <c r="B10" i="7"/>
  <c r="B11" i="7"/>
  <c r="K27" i="17"/>
  <c r="J9" i="25"/>
  <c r="J42" i="25" s="1"/>
  <c r="J52" i="25" s="1"/>
  <c r="J62" i="25" s="1"/>
  <c r="J10" i="25"/>
  <c r="M79" i="16"/>
  <c r="E100" i="16"/>
  <c r="E80" i="16"/>
  <c r="E71" i="16"/>
  <c r="L53" i="16"/>
  <c r="E52" i="16"/>
  <c r="M21" i="16"/>
  <c r="E20" i="16"/>
  <c r="K12" i="16"/>
  <c r="K16" i="16"/>
  <c r="K20" i="16"/>
  <c r="K24" i="16"/>
  <c r="K28" i="16"/>
  <c r="K32" i="16"/>
  <c r="K36" i="16"/>
  <c r="K40" i="16"/>
  <c r="K44" i="16"/>
  <c r="K48" i="16"/>
  <c r="K52" i="16"/>
  <c r="K56" i="16"/>
  <c r="K60" i="16"/>
  <c r="K64" i="16"/>
  <c r="K68" i="16"/>
  <c r="K72" i="16"/>
  <c r="K76" i="16"/>
  <c r="K80" i="16"/>
  <c r="K84" i="16"/>
  <c r="K88" i="16"/>
  <c r="K92" i="16"/>
  <c r="K96" i="16"/>
  <c r="K100" i="16"/>
  <c r="K104" i="16"/>
  <c r="K108" i="16"/>
  <c r="K112" i="16"/>
  <c r="K8" i="16"/>
  <c r="K18" i="16"/>
  <c r="K23" i="16"/>
  <c r="K25" i="16"/>
  <c r="K34" i="16"/>
  <c r="K39" i="16"/>
  <c r="K41" i="16"/>
  <c r="K50" i="16"/>
  <c r="K55" i="16"/>
  <c r="K57" i="16"/>
  <c r="K66" i="16"/>
  <c r="K71" i="16"/>
  <c r="K73" i="16"/>
  <c r="K82" i="16"/>
  <c r="K87" i="16"/>
  <c r="K89" i="16"/>
  <c r="K98" i="16"/>
  <c r="K103" i="16"/>
  <c r="K105" i="16"/>
  <c r="K6" i="16"/>
  <c r="K11" i="16"/>
  <c r="K119" i="16"/>
  <c r="K120" i="16"/>
  <c r="K133" i="16"/>
  <c r="K124" i="16"/>
  <c r="K130" i="16"/>
  <c r="K13" i="16"/>
  <c r="K22" i="16"/>
  <c r="K27" i="16"/>
  <c r="K29" i="16"/>
  <c r="K38" i="16"/>
  <c r="K43" i="16"/>
  <c r="K45" i="16"/>
  <c r="K54" i="16"/>
  <c r="K59" i="16"/>
  <c r="K61" i="16"/>
  <c r="J7" i="9"/>
  <c r="K126" i="16"/>
  <c r="K136" i="16"/>
  <c r="K135" i="16"/>
  <c r="B13" i="7"/>
  <c r="B7" i="7"/>
  <c r="K132" i="16"/>
  <c r="C15" i="17"/>
  <c r="C16" i="17" s="1"/>
  <c r="E30" i="17" s="1"/>
  <c r="E41" i="17" s="1"/>
  <c r="E14" i="17"/>
  <c r="B23" i="17"/>
  <c r="J8" i="25"/>
  <c r="J41" i="25" s="1"/>
  <c r="J51" i="25" s="1"/>
  <c r="J61" i="25" s="1"/>
  <c r="E21" i="25"/>
  <c r="L9" i="16"/>
  <c r="M93" i="16"/>
  <c r="E8" i="16"/>
  <c r="B16" i="7"/>
  <c r="H16" i="7" s="1"/>
  <c r="B12" i="7"/>
  <c r="B14" i="7"/>
  <c r="K111" i="16"/>
  <c r="K109" i="16"/>
  <c r="K107" i="16"/>
  <c r="E104" i="16"/>
  <c r="K102" i="16"/>
  <c r="K97" i="16"/>
  <c r="E96" i="16"/>
  <c r="E87" i="16"/>
  <c r="K83" i="16"/>
  <c r="K78" i="16"/>
  <c r="E73" i="16"/>
  <c r="K69" i="16"/>
  <c r="K63" i="16"/>
  <c r="E59" i="16"/>
  <c r="E55" i="16"/>
  <c r="K46" i="16"/>
  <c r="E41" i="16"/>
  <c r="K31" i="16"/>
  <c r="E27" i="16"/>
  <c r="E23" i="16"/>
  <c r="K14" i="16"/>
  <c r="K116" i="16"/>
  <c r="K134" i="16"/>
  <c r="K131" i="16"/>
  <c r="K114" i="16"/>
  <c r="K127" i="16"/>
  <c r="B8" i="7"/>
  <c r="K128" i="16"/>
  <c r="B15" i="17"/>
  <c r="B16" i="17" s="1"/>
  <c r="K25" i="17" s="1"/>
  <c r="J11" i="25"/>
  <c r="E23" i="25"/>
  <c r="L7" i="16"/>
  <c r="M49" i="16"/>
  <c r="K10" i="16"/>
  <c r="K113" i="16"/>
  <c r="E112" i="16"/>
  <c r="E103" i="16"/>
  <c r="K99" i="16"/>
  <c r="K94" i="16"/>
  <c r="E89" i="16"/>
  <c r="K85" i="16"/>
  <c r="E82" i="16"/>
  <c r="K74" i="16"/>
  <c r="E68" i="16"/>
  <c r="K65" i="16"/>
  <c r="K51" i="16"/>
  <c r="E50" i="16"/>
  <c r="K42" i="16"/>
  <c r="K37" i="16"/>
  <c r="E36" i="16"/>
  <c r="K33" i="16"/>
  <c r="K19" i="16"/>
  <c r="E18" i="16"/>
  <c r="E64" i="16"/>
  <c r="E48" i="16"/>
  <c r="E32" i="16"/>
  <c r="E16" i="16"/>
  <c r="C14" i="17"/>
  <c r="F14" i="17"/>
  <c r="E108" i="16"/>
  <c r="E92" i="16"/>
  <c r="E76" i="16"/>
  <c r="E60" i="16"/>
  <c r="E44" i="16"/>
  <c r="E28" i="16"/>
  <c r="E12" i="16"/>
  <c r="D25" i="14"/>
  <c r="J25" i="8"/>
  <c r="D31" i="9"/>
  <c r="H21" i="8"/>
  <c r="E20" i="8"/>
  <c r="E31" i="9"/>
  <c r="F43" i="9"/>
  <c r="J13" i="4"/>
  <c r="J23" i="5" s="1"/>
  <c r="I20" i="8"/>
  <c r="E27" i="8"/>
  <c r="B14" i="4"/>
  <c r="H17" i="9" s="1"/>
  <c r="J15" i="4"/>
  <c r="J25" i="5" s="1"/>
  <c r="F22" i="8"/>
  <c r="B9" i="4"/>
  <c r="B19" i="5" s="1"/>
  <c r="B29" i="5" s="1"/>
  <c r="G31" i="9"/>
  <c r="I26" i="8"/>
  <c r="J27" i="8"/>
  <c r="E30" i="9"/>
  <c r="H30" i="9"/>
  <c r="B12" i="4"/>
  <c r="F17" i="9" s="1"/>
  <c r="B34" i="9"/>
  <c r="J20" i="8"/>
  <c r="D75" i="11"/>
  <c r="D10" i="4"/>
  <c r="D25" i="9" s="1"/>
  <c r="H19" i="8"/>
  <c r="F17" i="8"/>
  <c r="E16" i="4"/>
  <c r="E26" i="5" s="1"/>
  <c r="C12" i="4"/>
  <c r="F21" i="9" s="1"/>
  <c r="B11" i="4"/>
  <c r="B21" i="5" s="1"/>
  <c r="J11" i="4"/>
  <c r="E45" i="9" s="1"/>
  <c r="I43" i="9"/>
  <c r="C10" i="4"/>
  <c r="D21" i="9" s="1"/>
  <c r="H16" i="4"/>
  <c r="J37" i="9" s="1"/>
  <c r="B10" i="4"/>
  <c r="D17" i="9" s="1"/>
  <c r="H25" i="8"/>
  <c r="F15" i="4"/>
  <c r="F10" i="4"/>
  <c r="D76" i="11"/>
  <c r="B18" i="9"/>
  <c r="F9" i="4"/>
  <c r="F20" i="4" s="1"/>
  <c r="D9" i="4"/>
  <c r="D20" i="4" s="1"/>
  <c r="F31" i="9"/>
  <c r="F27" i="8"/>
  <c r="F13" i="4"/>
  <c r="F23" i="5" s="1"/>
  <c r="F12" i="4"/>
  <c r="F22" i="5" s="1"/>
  <c r="E11" i="4"/>
  <c r="D16" i="4"/>
  <c r="J25" i="9" s="1"/>
  <c r="G17" i="8"/>
  <c r="I10" i="4"/>
  <c r="D41" i="9" s="1"/>
  <c r="G10" i="4"/>
  <c r="G20" i="5" s="1"/>
  <c r="E10" i="4"/>
  <c r="D27" i="8"/>
  <c r="D23" i="8"/>
  <c r="F25" i="8"/>
  <c r="I31" i="9"/>
  <c r="C30" i="9"/>
  <c r="G14" i="4"/>
  <c r="H33" i="9" s="1"/>
  <c r="F11" i="4"/>
  <c r="F21" i="5" s="1"/>
  <c r="J22" i="8"/>
  <c r="J10" i="4"/>
  <c r="D45" i="9" s="1"/>
  <c r="F26" i="8"/>
  <c r="D20" i="8"/>
  <c r="I14" i="4"/>
  <c r="H41" i="9" s="1"/>
  <c r="H22" i="8"/>
  <c r="J30" i="9"/>
  <c r="J50" i="9" s="1"/>
  <c r="D19" i="8"/>
  <c r="J21" i="8"/>
  <c r="F30" i="9"/>
  <c r="I15" i="4"/>
  <c r="I41" i="9" s="1"/>
  <c r="G11" i="4"/>
  <c r="G21" i="5" s="1"/>
  <c r="D12" i="4"/>
  <c r="F25" i="9" s="1"/>
  <c r="C38" i="9"/>
  <c r="E21" i="8"/>
  <c r="E46" i="9"/>
  <c r="D21" i="8"/>
  <c r="K13" i="8"/>
  <c r="H39" i="9"/>
  <c r="J47" i="9"/>
  <c r="H9" i="4"/>
  <c r="H19" i="5" s="1"/>
  <c r="H29" i="5" s="1"/>
  <c r="E24" i="8"/>
  <c r="I16" i="4"/>
  <c r="J41" i="9" s="1"/>
  <c r="G13" i="4"/>
  <c r="G33" i="9" s="1"/>
  <c r="F14" i="4"/>
  <c r="F24" i="5" s="1"/>
  <c r="J12" i="4"/>
  <c r="F45" i="9" s="1"/>
  <c r="F19" i="8"/>
  <c r="E21" i="5"/>
  <c r="H20" i="8"/>
  <c r="C26" i="9"/>
  <c r="I25" i="8"/>
  <c r="J18" i="5"/>
  <c r="E38" i="9"/>
  <c r="I24" i="8"/>
  <c r="H26" i="8"/>
  <c r="J24" i="8"/>
  <c r="B27" i="9"/>
  <c r="D17" i="8"/>
  <c r="B43" i="9"/>
  <c r="I17" i="8"/>
  <c r="J19" i="9"/>
  <c r="K16" i="8"/>
  <c r="I30" i="9"/>
  <c r="I50" i="9" s="1"/>
  <c r="E26" i="8"/>
  <c r="K9" i="8"/>
  <c r="F18" i="5"/>
  <c r="B30" i="9"/>
  <c r="G30" i="9"/>
  <c r="G50" i="9" s="1"/>
  <c r="H22" i="9"/>
  <c r="C14" i="4"/>
  <c r="H21" i="9" s="1"/>
  <c r="B15" i="4"/>
  <c r="B16" i="4"/>
  <c r="J17" i="9" s="1"/>
  <c r="K15" i="8"/>
  <c r="I19" i="9"/>
  <c r="I9" i="4"/>
  <c r="J26" i="8"/>
  <c r="I47" i="9"/>
  <c r="F23" i="8"/>
  <c r="D46" i="9"/>
  <c r="F21" i="8"/>
  <c r="C34" i="9"/>
  <c r="F18" i="9"/>
  <c r="C47" i="9"/>
  <c r="J17" i="8"/>
  <c r="E27" i="9"/>
  <c r="D22" i="8"/>
  <c r="E43" i="9"/>
  <c r="I22" i="8"/>
  <c r="K14" i="8"/>
  <c r="D25" i="8"/>
  <c r="H27" i="9"/>
  <c r="H27" i="8"/>
  <c r="J39" i="9"/>
  <c r="H23" i="8"/>
  <c r="H17" i="8"/>
  <c r="D30" i="9"/>
  <c r="I12" i="4"/>
  <c r="I11" i="4"/>
  <c r="H18" i="9"/>
  <c r="I27" i="8"/>
  <c r="B46" i="9"/>
  <c r="E22" i="8"/>
  <c r="H47" i="9"/>
  <c r="D26" i="14"/>
  <c r="J9" i="4"/>
  <c r="D26" i="8"/>
  <c r="E23" i="8"/>
  <c r="H15" i="4"/>
  <c r="I37" i="9" s="1"/>
  <c r="H13" i="4"/>
  <c r="G37" i="9" s="1"/>
  <c r="G16" i="4"/>
  <c r="J33" i="9" s="1"/>
  <c r="G12" i="4"/>
  <c r="G22" i="5" s="1"/>
  <c r="D15" i="4"/>
  <c r="I25" i="9" s="1"/>
  <c r="C15" i="4"/>
  <c r="C25" i="5" s="1"/>
  <c r="B13" i="4"/>
  <c r="J14" i="4"/>
  <c r="J24" i="5" s="1"/>
  <c r="B31" i="9"/>
  <c r="G9" i="4"/>
  <c r="G19" i="5" s="1"/>
  <c r="G29" i="5" s="1"/>
  <c r="F24" i="8"/>
  <c r="D18" i="5"/>
  <c r="F46" i="9"/>
  <c r="K8" i="5"/>
  <c r="I7" i="7" s="1"/>
  <c r="J27" i="9"/>
  <c r="J43" i="9"/>
  <c r="F20" i="8"/>
  <c r="J23" i="8"/>
  <c r="K11" i="5"/>
  <c r="I10" i="7" s="1"/>
  <c r="I13" i="4"/>
  <c r="H14" i="4"/>
  <c r="H37" i="9" s="1"/>
  <c r="G15" i="4"/>
  <c r="I33" i="9" s="1"/>
  <c r="E14" i="4"/>
  <c r="E13" i="4"/>
  <c r="D14" i="4"/>
  <c r="H25" i="9" s="1"/>
  <c r="D13" i="4"/>
  <c r="D23" i="5" s="1"/>
  <c r="C13" i="4"/>
  <c r="J16" i="4"/>
  <c r="J45" i="9" s="1"/>
  <c r="F53" i="20"/>
  <c r="H53" i="20"/>
  <c r="J12" i="25"/>
  <c r="E15" i="25"/>
  <c r="J21" i="25"/>
  <c r="J22" i="25"/>
  <c r="J19" i="25"/>
  <c r="J24" i="25"/>
  <c r="E25" i="25"/>
  <c r="E8" i="25"/>
  <c r="E41" i="25" s="1"/>
  <c r="E51" i="25" s="1"/>
  <c r="E61" i="25" s="1"/>
  <c r="E10" i="25"/>
  <c r="J23" i="25"/>
  <c r="J13" i="25"/>
  <c r="J45" i="25" s="1"/>
  <c r="J55" i="25" s="1"/>
  <c r="J65" i="25" s="1"/>
  <c r="J26" i="25"/>
  <c r="J14" i="25"/>
  <c r="E13" i="25"/>
  <c r="E45" i="25" s="1"/>
  <c r="E55" i="25" s="1"/>
  <c r="E65" i="25" s="1"/>
  <c r="E26" i="25"/>
  <c r="E11" i="25"/>
  <c r="E20" i="25"/>
  <c r="J25" i="25"/>
  <c r="J15" i="25"/>
  <c r="E22" i="25"/>
  <c r="E14" i="25"/>
  <c r="E19" i="25"/>
  <c r="K21" i="17"/>
  <c r="E36" i="17"/>
  <c r="E37" i="17" s="1"/>
  <c r="E57" i="5" s="1"/>
  <c r="E40" i="17"/>
  <c r="K28" i="17"/>
  <c r="D29" i="17" s="1"/>
  <c r="B42" i="9"/>
  <c r="I18" i="5"/>
  <c r="B22" i="9"/>
  <c r="C18" i="5"/>
  <c r="I19" i="8"/>
  <c r="F23" i="9"/>
  <c r="K12" i="8"/>
  <c r="H10" i="4"/>
  <c r="E19" i="8"/>
  <c r="B38" i="9"/>
  <c r="B17" i="8"/>
  <c r="C17" i="8"/>
  <c r="E17" i="8"/>
  <c r="C31" i="9"/>
  <c r="D19" i="9"/>
  <c r="K10" i="8"/>
  <c r="K8" i="8"/>
  <c r="D43" i="9"/>
  <c r="I21" i="8"/>
  <c r="K11" i="8"/>
  <c r="J31" i="9"/>
  <c r="C9" i="4"/>
  <c r="I27" i="9"/>
  <c r="E9" i="4"/>
  <c r="D24" i="8"/>
  <c r="G27" i="9"/>
  <c r="E25" i="8"/>
  <c r="H31" i="9"/>
  <c r="H24" i="8"/>
  <c r="G39" i="9"/>
  <c r="H12" i="4"/>
  <c r="H11" i="4"/>
  <c r="H21" i="5" s="1"/>
  <c r="K13" i="5"/>
  <c r="I12" i="7" s="1"/>
  <c r="K10" i="5"/>
  <c r="I9" i="7" s="1"/>
  <c r="K14" i="5"/>
  <c r="I13" i="7" s="1"/>
  <c r="K12" i="5"/>
  <c r="I11" i="7" s="1"/>
  <c r="K9" i="5"/>
  <c r="I8" i="7" s="1"/>
  <c r="F16" i="4"/>
  <c r="F26" i="5" s="1"/>
  <c r="K16" i="5"/>
  <c r="I15" i="7" s="1"/>
  <c r="E15" i="4"/>
  <c r="E12" i="4"/>
  <c r="H43" i="9"/>
  <c r="C11" i="4"/>
  <c r="K15" i="5"/>
  <c r="I14" i="7" s="1"/>
  <c r="D11" i="4"/>
  <c r="D21" i="5" s="1"/>
  <c r="C16" i="4"/>
  <c r="K39" i="17"/>
  <c r="K35" i="17"/>
  <c r="L77" i="16" l="1"/>
  <c r="D28" i="14"/>
  <c r="C8" i="7"/>
  <c r="C8" i="9" s="1"/>
  <c r="C10" i="9" s="1"/>
  <c r="M62" i="16"/>
  <c r="L95" i="16"/>
  <c r="M67" i="16"/>
  <c r="L70" i="16"/>
  <c r="M77" i="16"/>
  <c r="D30" i="17"/>
  <c r="K23" i="17"/>
  <c r="C24" i="17"/>
  <c r="C25" i="17" s="1"/>
  <c r="C40" i="17" s="1"/>
  <c r="H15" i="17"/>
  <c r="F30" i="17"/>
  <c r="F41" i="17" s="1"/>
  <c r="F42" i="17" s="1"/>
  <c r="F58" i="5" s="1"/>
  <c r="J30" i="17"/>
  <c r="J41" i="17" s="1"/>
  <c r="J42" i="17" s="1"/>
  <c r="J58" i="5" s="1"/>
  <c r="G30" i="17"/>
  <c r="G41" i="17" s="1"/>
  <c r="G42" i="17" s="1"/>
  <c r="G58" i="5" s="1"/>
  <c r="H30" i="17"/>
  <c r="H41" i="17" s="1"/>
  <c r="H42" i="17" s="1"/>
  <c r="H58" i="5" s="1"/>
  <c r="I30" i="17"/>
  <c r="I41" i="17" s="1"/>
  <c r="I42" i="17" s="1"/>
  <c r="I58" i="5" s="1"/>
  <c r="G8" i="25"/>
  <c r="G9" i="25" s="1"/>
  <c r="G10" i="25" s="1"/>
  <c r="G12" i="25" s="1"/>
  <c r="G13" i="25" s="1"/>
  <c r="G14" i="25" s="1"/>
  <c r="G15" i="25" s="1"/>
  <c r="G16" i="25" s="1"/>
  <c r="G11" i="25"/>
  <c r="L12" i="25"/>
  <c r="L13" i="25" s="1"/>
  <c r="L14" i="25" s="1"/>
  <c r="L15" i="25" s="1"/>
  <c r="L16" i="25" s="1"/>
  <c r="L11" i="25"/>
  <c r="C25" i="9"/>
  <c r="C20" i="5"/>
  <c r="G45" i="9"/>
  <c r="M17" i="16"/>
  <c r="L81" i="16"/>
  <c r="L15" i="16"/>
  <c r="M35" i="16"/>
  <c r="L67" i="16"/>
  <c r="M86" i="16"/>
  <c r="L75" i="16"/>
  <c r="C17" i="7"/>
  <c r="L8" i="9" s="1"/>
  <c r="L30" i="16"/>
  <c r="L101" i="16"/>
  <c r="M106" i="16"/>
  <c r="M58" i="16"/>
  <c r="M110" i="16"/>
  <c r="L90" i="16"/>
  <c r="L79" i="16"/>
  <c r="E42" i="17"/>
  <c r="E58" i="5" s="1"/>
  <c r="M47" i="16"/>
  <c r="L91" i="16"/>
  <c r="C11" i="7"/>
  <c r="F8" i="9" s="1"/>
  <c r="F10" i="9" s="1"/>
  <c r="C16" i="7"/>
  <c r="K8" i="9" s="1"/>
  <c r="C12" i="7"/>
  <c r="G8" i="9" s="1"/>
  <c r="G10" i="9" s="1"/>
  <c r="C14" i="7"/>
  <c r="I8" i="9" s="1"/>
  <c r="I10" i="9" s="1"/>
  <c r="H9" i="7"/>
  <c r="J9" i="7" s="1"/>
  <c r="K9" i="7" s="1"/>
  <c r="L26" i="16"/>
  <c r="C13" i="7"/>
  <c r="H8" i="9" s="1"/>
  <c r="H10" i="9" s="1"/>
  <c r="L43" i="16"/>
  <c r="M43" i="16"/>
  <c r="M6" i="16"/>
  <c r="L6" i="16"/>
  <c r="C7" i="7"/>
  <c r="B8" i="9" s="1"/>
  <c r="B10" i="9" s="1"/>
  <c r="M71" i="16"/>
  <c r="L71" i="16"/>
  <c r="L25" i="16"/>
  <c r="M25" i="16"/>
  <c r="L96" i="16"/>
  <c r="M96" i="16"/>
  <c r="L80" i="16"/>
  <c r="M80" i="16"/>
  <c r="L64" i="16"/>
  <c r="M64" i="16"/>
  <c r="L48" i="16"/>
  <c r="M48" i="16"/>
  <c r="L32" i="16"/>
  <c r="M32" i="16"/>
  <c r="L16" i="16"/>
  <c r="M16" i="16"/>
  <c r="M42" i="16"/>
  <c r="L42" i="16"/>
  <c r="M10" i="16"/>
  <c r="L10" i="16"/>
  <c r="H14" i="7"/>
  <c r="J14" i="7" s="1"/>
  <c r="K14" i="7" s="1"/>
  <c r="I7" i="9"/>
  <c r="L13" i="16"/>
  <c r="M13" i="16"/>
  <c r="L105" i="16"/>
  <c r="M105" i="16"/>
  <c r="L41" i="16"/>
  <c r="M41" i="16"/>
  <c r="M108" i="16"/>
  <c r="L108" i="16"/>
  <c r="M76" i="16"/>
  <c r="L76" i="16"/>
  <c r="M60" i="16"/>
  <c r="L60" i="16"/>
  <c r="M44" i="16"/>
  <c r="L44" i="16"/>
  <c r="M28" i="16"/>
  <c r="L28" i="16"/>
  <c r="L12" i="16"/>
  <c r="M12" i="16"/>
  <c r="B24" i="17"/>
  <c r="L33" i="16"/>
  <c r="M33" i="16"/>
  <c r="L46" i="16"/>
  <c r="M46" i="16"/>
  <c r="L69" i="16"/>
  <c r="M69" i="16"/>
  <c r="G7" i="9"/>
  <c r="G11" i="9" s="1"/>
  <c r="H12" i="7"/>
  <c r="J12" i="7" s="1"/>
  <c r="K12" i="7" s="1"/>
  <c r="M54" i="16"/>
  <c r="L54" i="16"/>
  <c r="L29" i="16"/>
  <c r="M29" i="16"/>
  <c r="M103" i="16"/>
  <c r="L103" i="16"/>
  <c r="M82" i="16"/>
  <c r="L82" i="16"/>
  <c r="L57" i="16"/>
  <c r="M57" i="16"/>
  <c r="L39" i="16"/>
  <c r="M39" i="16"/>
  <c r="L18" i="16"/>
  <c r="M18" i="16"/>
  <c r="L104" i="16"/>
  <c r="M104" i="16"/>
  <c r="L88" i="16"/>
  <c r="M88" i="16"/>
  <c r="M72" i="16"/>
  <c r="L72" i="16"/>
  <c r="L56" i="16"/>
  <c r="M56" i="16"/>
  <c r="M40" i="16"/>
  <c r="L40" i="16"/>
  <c r="L24" i="16"/>
  <c r="M24" i="16"/>
  <c r="L37" i="16"/>
  <c r="M37" i="16"/>
  <c r="L65" i="16"/>
  <c r="M65" i="16"/>
  <c r="L94" i="16"/>
  <c r="M94" i="16"/>
  <c r="L113" i="16"/>
  <c r="M113" i="16"/>
  <c r="L31" i="16"/>
  <c r="M31" i="16"/>
  <c r="L78" i="16"/>
  <c r="M78" i="16"/>
  <c r="L97" i="16"/>
  <c r="M97" i="16"/>
  <c r="L109" i="16"/>
  <c r="M109" i="16"/>
  <c r="B7" i="9"/>
  <c r="H7" i="7"/>
  <c r="J7" i="7" s="1"/>
  <c r="K7" i="7" s="1"/>
  <c r="L61" i="16"/>
  <c r="M61" i="16"/>
  <c r="M22" i="16"/>
  <c r="L22" i="16"/>
  <c r="L89" i="16"/>
  <c r="M89" i="16"/>
  <c r="M50" i="16"/>
  <c r="L50" i="16"/>
  <c r="L112" i="16"/>
  <c r="M112" i="16"/>
  <c r="E7" i="9"/>
  <c r="H10" i="7"/>
  <c r="J10" i="7" s="1"/>
  <c r="K10" i="7" s="1"/>
  <c r="L19" i="16"/>
  <c r="M19" i="16"/>
  <c r="L85" i="16"/>
  <c r="M85" i="16"/>
  <c r="L99" i="16"/>
  <c r="M99" i="16"/>
  <c r="C7" i="9"/>
  <c r="H8" i="7"/>
  <c r="J8" i="7" s="1"/>
  <c r="K8" i="7" s="1"/>
  <c r="L14" i="16"/>
  <c r="M14" i="16"/>
  <c r="L63" i="16"/>
  <c r="M63" i="16"/>
  <c r="L83" i="16"/>
  <c r="M83" i="16"/>
  <c r="M102" i="16"/>
  <c r="L102" i="16"/>
  <c r="C15" i="7"/>
  <c r="L111" i="16"/>
  <c r="M111" i="16"/>
  <c r="H7" i="9"/>
  <c r="H11" i="9" s="1"/>
  <c r="H13" i="7"/>
  <c r="J13" i="7" s="1"/>
  <c r="K13" i="7" s="1"/>
  <c r="L59" i="16"/>
  <c r="M59" i="16"/>
  <c r="M38" i="16"/>
  <c r="L38" i="16"/>
  <c r="L87" i="16"/>
  <c r="M87" i="16"/>
  <c r="M66" i="16"/>
  <c r="L66" i="16"/>
  <c r="L23" i="16"/>
  <c r="M23" i="16"/>
  <c r="L92" i="16"/>
  <c r="M92" i="16"/>
  <c r="B29" i="17"/>
  <c r="B30" i="17" s="1"/>
  <c r="B41" i="17" s="1"/>
  <c r="D24" i="17"/>
  <c r="L51" i="16"/>
  <c r="M51" i="16"/>
  <c r="M74" i="16"/>
  <c r="L74" i="16"/>
  <c r="C10" i="7"/>
  <c r="E8" i="9" s="1"/>
  <c r="E10" i="9" s="1"/>
  <c r="L107" i="16"/>
  <c r="M107" i="16"/>
  <c r="C9" i="7"/>
  <c r="L45" i="16"/>
  <c r="M45" i="16"/>
  <c r="L27" i="16"/>
  <c r="M27" i="16"/>
  <c r="M11" i="16"/>
  <c r="L11" i="16"/>
  <c r="M98" i="16"/>
  <c r="L98" i="16"/>
  <c r="L73" i="16"/>
  <c r="M73" i="16"/>
  <c r="L55" i="16"/>
  <c r="M55" i="16"/>
  <c r="M34" i="16"/>
  <c r="L34" i="16"/>
  <c r="L8" i="16"/>
  <c r="M8" i="16"/>
  <c r="L100" i="16"/>
  <c r="M100" i="16"/>
  <c r="L84" i="16"/>
  <c r="M84" i="16"/>
  <c r="M68" i="16"/>
  <c r="L68" i="16"/>
  <c r="L52" i="16"/>
  <c r="M52" i="16"/>
  <c r="L36" i="16"/>
  <c r="M36" i="16"/>
  <c r="M20" i="16"/>
  <c r="L20" i="16"/>
  <c r="H11" i="7"/>
  <c r="J11" i="7" s="1"/>
  <c r="K11" i="7" s="1"/>
  <c r="F7" i="9"/>
  <c r="F25" i="4"/>
  <c r="F19" i="5"/>
  <c r="I45" i="9"/>
  <c r="F22" i="4"/>
  <c r="D33" i="9"/>
  <c r="J27" i="4"/>
  <c r="C23" i="4"/>
  <c r="I20" i="5"/>
  <c r="J35" i="5"/>
  <c r="F23" i="4"/>
  <c r="I26" i="5"/>
  <c r="E17" i="9"/>
  <c r="D19" i="5"/>
  <c r="D29" i="5" s="1"/>
  <c r="B20" i="5"/>
  <c r="B30" i="5" s="1"/>
  <c r="D28" i="8"/>
  <c r="D29" i="9"/>
  <c r="B20" i="4"/>
  <c r="F20" i="5"/>
  <c r="F30" i="5" s="1"/>
  <c r="F34" i="5"/>
  <c r="F24" i="4"/>
  <c r="F26" i="4"/>
  <c r="F25" i="5"/>
  <c r="F36" i="5" s="1"/>
  <c r="G26" i="4"/>
  <c r="G26" i="5"/>
  <c r="H26" i="5"/>
  <c r="G24" i="5"/>
  <c r="H29" i="9"/>
  <c r="F21" i="4"/>
  <c r="D50" i="9"/>
  <c r="B21" i="4"/>
  <c r="J20" i="5"/>
  <c r="C17" i="9"/>
  <c r="B22" i="4"/>
  <c r="G29" i="9"/>
  <c r="B25" i="4"/>
  <c r="B24" i="5"/>
  <c r="E51" i="9"/>
  <c r="J22" i="4"/>
  <c r="I28" i="8"/>
  <c r="G27" i="4"/>
  <c r="B23" i="4"/>
  <c r="J26" i="5"/>
  <c r="J36" i="5" s="1"/>
  <c r="B23" i="5"/>
  <c r="B22" i="5"/>
  <c r="B32" i="5" s="1"/>
  <c r="D21" i="4"/>
  <c r="D20" i="5"/>
  <c r="D31" i="5" s="1"/>
  <c r="I24" i="5"/>
  <c r="G25" i="5"/>
  <c r="D24" i="5"/>
  <c r="D34" i="5" s="1"/>
  <c r="I24" i="4"/>
  <c r="D22" i="5"/>
  <c r="D33" i="5" s="1"/>
  <c r="G31" i="5"/>
  <c r="E22" i="4"/>
  <c r="I25" i="4"/>
  <c r="C22" i="5"/>
  <c r="C50" i="9"/>
  <c r="I27" i="4"/>
  <c r="J21" i="5"/>
  <c r="E24" i="4"/>
  <c r="E28" i="8"/>
  <c r="I51" i="9"/>
  <c r="F51" i="9"/>
  <c r="B50" i="9"/>
  <c r="I25" i="5"/>
  <c r="E20" i="5"/>
  <c r="E31" i="5" s="1"/>
  <c r="E29" i="9"/>
  <c r="J22" i="5"/>
  <c r="J23" i="4"/>
  <c r="D26" i="5"/>
  <c r="F17" i="4"/>
  <c r="E23" i="5"/>
  <c r="H27" i="4"/>
  <c r="H25" i="5"/>
  <c r="F32" i="5"/>
  <c r="B51" i="9"/>
  <c r="D27" i="4"/>
  <c r="J51" i="9"/>
  <c r="B26" i="5"/>
  <c r="D25" i="4"/>
  <c r="G24" i="4"/>
  <c r="C51" i="9"/>
  <c r="F50" i="9"/>
  <c r="E50" i="9"/>
  <c r="E33" i="9"/>
  <c r="G22" i="4"/>
  <c r="H26" i="4"/>
  <c r="G25" i="4"/>
  <c r="G23" i="5"/>
  <c r="G33" i="5" s="1"/>
  <c r="H20" i="4"/>
  <c r="C37" i="9"/>
  <c r="I26" i="4"/>
  <c r="J24" i="4"/>
  <c r="B13" i="9"/>
  <c r="F29" i="5"/>
  <c r="G30" i="5"/>
  <c r="B26" i="4"/>
  <c r="I17" i="9"/>
  <c r="H25" i="4"/>
  <c r="G25" i="9"/>
  <c r="D24" i="4"/>
  <c r="G41" i="9"/>
  <c r="I23" i="5"/>
  <c r="E24" i="5"/>
  <c r="I22" i="4"/>
  <c r="E41" i="9"/>
  <c r="G32" i="5"/>
  <c r="C41" i="9"/>
  <c r="I19" i="5"/>
  <c r="I29" i="5" s="1"/>
  <c r="I20" i="4"/>
  <c r="I17" i="4"/>
  <c r="I21" i="4"/>
  <c r="F33" i="5"/>
  <c r="J25" i="4"/>
  <c r="H45" i="9"/>
  <c r="D25" i="5"/>
  <c r="E25" i="4"/>
  <c r="D26" i="4"/>
  <c r="B25" i="5"/>
  <c r="H23" i="5"/>
  <c r="H28" i="8"/>
  <c r="E13" i="9"/>
  <c r="G17" i="4"/>
  <c r="C33" i="9"/>
  <c r="G21" i="4"/>
  <c r="G20" i="4"/>
  <c r="B24" i="4"/>
  <c r="G17" i="9"/>
  <c r="K13" i="4"/>
  <c r="G23" i="4"/>
  <c r="F33" i="9"/>
  <c r="I21" i="5"/>
  <c r="C45" i="9"/>
  <c r="J17" i="4"/>
  <c r="J20" i="4"/>
  <c r="I22" i="5"/>
  <c r="F41" i="9"/>
  <c r="I23" i="4"/>
  <c r="F28" i="8"/>
  <c r="J26" i="4"/>
  <c r="H50" i="9"/>
  <c r="H24" i="5"/>
  <c r="J21" i="4"/>
  <c r="C24" i="4"/>
  <c r="G21" i="9"/>
  <c r="B27" i="4"/>
  <c r="C25" i="4"/>
  <c r="C23" i="5"/>
  <c r="J28" i="8"/>
  <c r="K14" i="4"/>
  <c r="C26" i="4"/>
  <c r="I21" i="9"/>
  <c r="J19" i="5"/>
  <c r="J29" i="5" s="1"/>
  <c r="C24" i="5"/>
  <c r="B17" i="4"/>
  <c r="D41" i="17"/>
  <c r="C29" i="17"/>
  <c r="C27" i="4"/>
  <c r="C26" i="5"/>
  <c r="K16" i="4"/>
  <c r="J21" i="9"/>
  <c r="J15" i="7"/>
  <c r="K15" i="7" s="1"/>
  <c r="J13" i="9"/>
  <c r="J53" i="9" s="1"/>
  <c r="F13" i="9"/>
  <c r="G13" i="9"/>
  <c r="G53" i="9" s="1"/>
  <c r="H22" i="4"/>
  <c r="E37" i="9"/>
  <c r="H51" i="9"/>
  <c r="C29" i="9"/>
  <c r="E17" i="4"/>
  <c r="E19" i="5"/>
  <c r="E20" i="4"/>
  <c r="J34" i="5"/>
  <c r="C21" i="5"/>
  <c r="H23" i="4"/>
  <c r="H24" i="4"/>
  <c r="H22" i="5"/>
  <c r="H32" i="5" s="1"/>
  <c r="F37" i="9"/>
  <c r="I13" i="9"/>
  <c r="I53" i="9" s="1"/>
  <c r="E23" i="4"/>
  <c r="E22" i="5"/>
  <c r="E32" i="5" s="1"/>
  <c r="F29" i="9"/>
  <c r="K12" i="4"/>
  <c r="F27" i="4"/>
  <c r="J29" i="9"/>
  <c r="H13" i="9"/>
  <c r="D13" i="9"/>
  <c r="G51" i="9"/>
  <c r="C17" i="4"/>
  <c r="C19" i="5"/>
  <c r="C29" i="5" s="1"/>
  <c r="C21" i="4"/>
  <c r="C21" i="9"/>
  <c r="K9" i="4"/>
  <c r="C20" i="4"/>
  <c r="E21" i="4"/>
  <c r="H21" i="4"/>
  <c r="H17" i="4"/>
  <c r="H20" i="5"/>
  <c r="H30" i="5" s="1"/>
  <c r="D37" i="9"/>
  <c r="K10" i="4"/>
  <c r="E25" i="9"/>
  <c r="D22" i="4"/>
  <c r="D17" i="4"/>
  <c r="C22" i="4"/>
  <c r="E21" i="9"/>
  <c r="K11" i="4"/>
  <c r="D23" i="4"/>
  <c r="E26" i="4"/>
  <c r="E27" i="4"/>
  <c r="E25" i="5"/>
  <c r="I29" i="9"/>
  <c r="K15" i="4"/>
  <c r="C13" i="9"/>
  <c r="K17" i="8"/>
  <c r="D51" i="9"/>
  <c r="C11" i="9" l="1"/>
  <c r="D8" i="7"/>
  <c r="E8" i="7" s="1"/>
  <c r="D12" i="7"/>
  <c r="E12" i="7" s="1"/>
  <c r="D25" i="17"/>
  <c r="D36" i="17" s="1"/>
  <c r="D37" i="17" s="1"/>
  <c r="D57" i="5" s="1"/>
  <c r="B25" i="17"/>
  <c r="B36" i="17" s="1"/>
  <c r="B37" i="17" s="1"/>
  <c r="C31" i="5"/>
  <c r="D14" i="7"/>
  <c r="E14" i="7" s="1"/>
  <c r="C36" i="17"/>
  <c r="I11" i="9"/>
  <c r="D11" i="7"/>
  <c r="E11" i="7" s="1"/>
  <c r="F11" i="9"/>
  <c r="D10" i="7"/>
  <c r="E10" i="7" s="1"/>
  <c r="D13" i="7"/>
  <c r="E13" i="7" s="1"/>
  <c r="D8" i="9"/>
  <c r="D10" i="9" s="1"/>
  <c r="D11" i="9" s="1"/>
  <c r="D9" i="7"/>
  <c r="E9" i="7" s="1"/>
  <c r="J8" i="9"/>
  <c r="J10" i="9" s="1"/>
  <c r="J11" i="9" s="1"/>
  <c r="D15" i="7"/>
  <c r="E15" i="7" s="1"/>
  <c r="D7" i="7"/>
  <c r="E7" i="7" s="1"/>
  <c r="B11" i="9"/>
  <c r="E11" i="9"/>
  <c r="E53" i="9"/>
  <c r="D32" i="5"/>
  <c r="I31" i="5"/>
  <c r="J31" i="5"/>
  <c r="C33" i="5"/>
  <c r="F31" i="5"/>
  <c r="F35" i="5"/>
  <c r="F37" i="5" s="1"/>
  <c r="F39" i="5" s="1"/>
  <c r="F40" i="5" s="1"/>
  <c r="B53" i="9"/>
  <c r="B31" i="5"/>
  <c r="I36" i="5"/>
  <c r="G35" i="5"/>
  <c r="H36" i="5"/>
  <c r="D30" i="5"/>
  <c r="G36" i="5"/>
  <c r="D53" i="9"/>
  <c r="E34" i="5"/>
  <c r="C53" i="9"/>
  <c r="E35" i="5"/>
  <c r="H34" i="5"/>
  <c r="B35" i="5"/>
  <c r="H49" i="9"/>
  <c r="I34" i="5"/>
  <c r="B33" i="5"/>
  <c r="D49" i="9"/>
  <c r="F28" i="4"/>
  <c r="F30" i="4" s="1"/>
  <c r="F36" i="4" s="1"/>
  <c r="C25" i="19" s="1"/>
  <c r="D35" i="5"/>
  <c r="I32" i="5"/>
  <c r="G34" i="5"/>
  <c r="G28" i="4"/>
  <c r="G30" i="4" s="1"/>
  <c r="G31" i="4" s="1"/>
  <c r="G37" i="4" s="1"/>
  <c r="L33" i="9" s="1"/>
  <c r="B34" i="5"/>
  <c r="J32" i="5"/>
  <c r="B36" i="5"/>
  <c r="J33" i="5"/>
  <c r="C28" i="4"/>
  <c r="C30" i="4" s="1"/>
  <c r="C31" i="4" s="1"/>
  <c r="C37" i="4" s="1"/>
  <c r="H33" i="5"/>
  <c r="I35" i="5"/>
  <c r="H53" i="9"/>
  <c r="H28" i="4"/>
  <c r="H30" i="4" s="1"/>
  <c r="H31" i="4" s="1"/>
  <c r="H37" i="4" s="1"/>
  <c r="B28" i="4"/>
  <c r="B30" i="4" s="1"/>
  <c r="F53" i="9"/>
  <c r="J28" i="4"/>
  <c r="J30" i="4" s="1"/>
  <c r="J31" i="4" s="1"/>
  <c r="J37" i="4" s="1"/>
  <c r="L45" i="9" s="1"/>
  <c r="G49" i="9"/>
  <c r="D28" i="4"/>
  <c r="D30" i="4" s="1"/>
  <c r="D31" i="4" s="1"/>
  <c r="D37" i="4" s="1"/>
  <c r="I28" i="4"/>
  <c r="I30" i="4" s="1"/>
  <c r="D36" i="5"/>
  <c r="C34" i="5"/>
  <c r="J30" i="5"/>
  <c r="I30" i="5"/>
  <c r="C49" i="9"/>
  <c r="H35" i="5"/>
  <c r="I33" i="5"/>
  <c r="I49" i="9"/>
  <c r="C35" i="5"/>
  <c r="C30" i="17"/>
  <c r="C32" i="5"/>
  <c r="E29" i="5"/>
  <c r="E30" i="5"/>
  <c r="J49" i="9"/>
  <c r="K16" i="7"/>
  <c r="K17" i="7"/>
  <c r="F49" i="9"/>
  <c r="E36" i="5"/>
  <c r="C30" i="5"/>
  <c r="H31" i="5"/>
  <c r="E49" i="9"/>
  <c r="K17" i="4"/>
  <c r="E28" i="4"/>
  <c r="E30" i="4" s="1"/>
  <c r="E33" i="5"/>
  <c r="C36" i="5"/>
  <c r="D40" i="17" l="1"/>
  <c r="D42" i="17" s="1"/>
  <c r="D58" i="5" s="1"/>
  <c r="K36" i="17"/>
  <c r="B40" i="17"/>
  <c r="C37" i="17"/>
  <c r="C57" i="5" s="1"/>
  <c r="E37" i="5"/>
  <c r="E39" i="5" s="1"/>
  <c r="E42" i="5" s="1"/>
  <c r="F12" i="19"/>
  <c r="D37" i="5"/>
  <c r="H36" i="4"/>
  <c r="K37" i="9" s="1"/>
  <c r="B37" i="5"/>
  <c r="B39" i="5" s="1"/>
  <c r="B40" i="5" s="1"/>
  <c r="G37" i="5"/>
  <c r="G39" i="5" s="1"/>
  <c r="G40" i="5" s="1"/>
  <c r="G43" i="5" s="1"/>
  <c r="G47" i="5" s="1"/>
  <c r="F31" i="4"/>
  <c r="F37" i="4" s="1"/>
  <c r="F25" i="19" s="1"/>
  <c r="F42" i="5"/>
  <c r="F46" i="5" s="1"/>
  <c r="H37" i="5"/>
  <c r="H39" i="5" s="1"/>
  <c r="H40" i="5" s="1"/>
  <c r="H43" i="5" s="1"/>
  <c r="D36" i="4"/>
  <c r="K25" i="9" s="1"/>
  <c r="J37" i="5"/>
  <c r="J39" i="5" s="1"/>
  <c r="J40" i="5" s="1"/>
  <c r="J43" i="5" s="1"/>
  <c r="J47" i="5" s="1"/>
  <c r="G36" i="4"/>
  <c r="I37" i="5"/>
  <c r="I39" i="5" s="1"/>
  <c r="I40" i="5" s="1"/>
  <c r="J36" i="4"/>
  <c r="C36" i="4"/>
  <c r="K21" i="9" s="1"/>
  <c r="I31" i="4"/>
  <c r="I37" i="4" s="1"/>
  <c r="I36" i="4"/>
  <c r="F15" i="19"/>
  <c r="F30" i="19" s="1"/>
  <c r="B36" i="4"/>
  <c r="B31" i="4"/>
  <c r="B37" i="4" s="1"/>
  <c r="L17" i="9" s="1"/>
  <c r="B57" i="5"/>
  <c r="C41" i="17"/>
  <c r="K30" i="17"/>
  <c r="L25" i="9"/>
  <c r="F10" i="19"/>
  <c r="I17" i="7"/>
  <c r="I16" i="7"/>
  <c r="L37" i="9"/>
  <c r="F13" i="19"/>
  <c r="L21" i="9"/>
  <c r="F9" i="19"/>
  <c r="C37" i="5"/>
  <c r="C39" i="5" s="1"/>
  <c r="E31" i="4"/>
  <c r="E36" i="4"/>
  <c r="C24" i="19" s="1"/>
  <c r="C26" i="19" s="1"/>
  <c r="K30" i="4"/>
  <c r="K37" i="17" l="1"/>
  <c r="K57" i="5"/>
  <c r="K9" i="9" s="1"/>
  <c r="K10" i="9" s="1"/>
  <c r="B42" i="17"/>
  <c r="B58" i="5" s="1"/>
  <c r="K40" i="17"/>
  <c r="F28" i="19"/>
  <c r="E42" i="29"/>
  <c r="N42" i="29" s="1"/>
  <c r="D42" i="29"/>
  <c r="G42" i="29"/>
  <c r="P42" i="29" s="1"/>
  <c r="F42" i="29"/>
  <c r="O42" i="29" s="1"/>
  <c r="F27" i="19"/>
  <c r="E41" i="29"/>
  <c r="N41" i="29" s="1"/>
  <c r="D41" i="29"/>
  <c r="G41" i="29"/>
  <c r="P41" i="29" s="1"/>
  <c r="F41" i="29"/>
  <c r="O41" i="29" s="1"/>
  <c r="F23" i="19"/>
  <c r="D37" i="29"/>
  <c r="G37" i="29"/>
  <c r="P37" i="29" s="1"/>
  <c r="F37" i="29"/>
  <c r="O37" i="29" s="1"/>
  <c r="E37" i="29"/>
  <c r="N37" i="29" s="1"/>
  <c r="D55" i="11"/>
  <c r="D24" i="29"/>
  <c r="D50" i="29"/>
  <c r="D36" i="29"/>
  <c r="G36" i="29"/>
  <c r="P36" i="29" s="1"/>
  <c r="F36" i="29"/>
  <c r="O36" i="29" s="1"/>
  <c r="E36" i="29"/>
  <c r="N36" i="29" s="1"/>
  <c r="D50" i="11"/>
  <c r="D51" i="11"/>
  <c r="E40" i="5"/>
  <c r="E43" i="5" s="1"/>
  <c r="C51" i="11"/>
  <c r="D59" i="11"/>
  <c r="C48" i="11"/>
  <c r="E48" i="11" s="1"/>
  <c r="C42" i="11"/>
  <c r="E42" i="11" s="1"/>
  <c r="C71" i="11"/>
  <c r="C72" i="11" s="1"/>
  <c r="C46" i="11"/>
  <c r="E46" i="11" s="1"/>
  <c r="D54" i="11"/>
  <c r="B78" i="11"/>
  <c r="B79" i="11" s="1"/>
  <c r="C79" i="11" s="1"/>
  <c r="D60" i="11"/>
  <c r="C49" i="11"/>
  <c r="E49" i="11" s="1"/>
  <c r="D57" i="11"/>
  <c r="C44" i="11"/>
  <c r="E44" i="11" s="1"/>
  <c r="D52" i="11"/>
  <c r="C9" i="19"/>
  <c r="C43" i="11"/>
  <c r="E43" i="11" s="1"/>
  <c r="C53" i="11"/>
  <c r="D56" i="11"/>
  <c r="D53" i="11"/>
  <c r="D12" i="14"/>
  <c r="D14" i="14" s="1"/>
  <c r="D60" i="5" s="1"/>
  <c r="K60" i="5" s="1"/>
  <c r="C13" i="19"/>
  <c r="D39" i="5"/>
  <c r="D42" i="5" s="1"/>
  <c r="C52" i="11"/>
  <c r="D58" i="11"/>
  <c r="C47" i="11"/>
  <c r="E47" i="11" s="1"/>
  <c r="C45" i="11"/>
  <c r="E45" i="11" s="1"/>
  <c r="C50" i="11"/>
  <c r="H42" i="5"/>
  <c r="H46" i="5" s="1"/>
  <c r="B42" i="5"/>
  <c r="B46" i="5" s="1"/>
  <c r="F43" i="5"/>
  <c r="F47" i="5" s="1"/>
  <c r="G42" i="5"/>
  <c r="G46" i="5" s="1"/>
  <c r="I43" i="5"/>
  <c r="I47" i="5" s="1"/>
  <c r="I42" i="5"/>
  <c r="I46" i="5" s="1"/>
  <c r="C10" i="19"/>
  <c r="J42" i="5"/>
  <c r="J46" i="5" s="1"/>
  <c r="C12" i="19"/>
  <c r="K33" i="9"/>
  <c r="K45" i="9"/>
  <c r="C15" i="19"/>
  <c r="C30" i="19" s="1"/>
  <c r="K17" i="9"/>
  <c r="F8" i="19"/>
  <c r="C14" i="19"/>
  <c r="K41" i="9"/>
  <c r="B43" i="5"/>
  <c r="B47" i="5" s="1"/>
  <c r="F14" i="19"/>
  <c r="L41" i="9"/>
  <c r="K41" i="17"/>
  <c r="C42" i="17"/>
  <c r="K29" i="9"/>
  <c r="C11" i="19"/>
  <c r="K36" i="4"/>
  <c r="F22" i="19"/>
  <c r="I31" i="25"/>
  <c r="K31" i="25" s="1"/>
  <c r="M31" i="25" s="1"/>
  <c r="E37" i="4"/>
  <c r="F24" i="19" s="1"/>
  <c r="F26" i="19" s="1"/>
  <c r="K31" i="4"/>
  <c r="C40" i="5"/>
  <c r="C43" i="5" s="1"/>
  <c r="C42" i="5"/>
  <c r="H47" i="5"/>
  <c r="E46" i="5"/>
  <c r="C27" i="19" l="1"/>
  <c r="G15" i="29"/>
  <c r="P15" i="29" s="1"/>
  <c r="F15" i="29"/>
  <c r="O15" i="29" s="1"/>
  <c r="E15" i="29"/>
  <c r="N15" i="29" s="1"/>
  <c r="D15" i="29"/>
  <c r="M41" i="29"/>
  <c r="R41" i="29" s="1"/>
  <c r="H41" i="29"/>
  <c r="H50" i="29"/>
  <c r="Q50" i="29"/>
  <c r="M50" i="29"/>
  <c r="E9" i="29"/>
  <c r="G9" i="29"/>
  <c r="F9" i="29"/>
  <c r="D9" i="29"/>
  <c r="M37" i="29"/>
  <c r="R37" i="29" s="1"/>
  <c r="H37" i="29"/>
  <c r="C29" i="19"/>
  <c r="E17" i="29"/>
  <c r="N17" i="29" s="1"/>
  <c r="F17" i="29"/>
  <c r="O17" i="29" s="1"/>
  <c r="D17" i="29"/>
  <c r="G17" i="29"/>
  <c r="P17" i="29" s="1"/>
  <c r="D31" i="25"/>
  <c r="F31" i="25" s="1"/>
  <c r="H31" i="25" s="1"/>
  <c r="E10" i="29"/>
  <c r="N10" i="29" s="1"/>
  <c r="G10" i="29"/>
  <c r="P10" i="29" s="1"/>
  <c r="D10" i="29"/>
  <c r="F10" i="29"/>
  <c r="O10" i="29" s="1"/>
  <c r="M36" i="29"/>
  <c r="R36" i="29" s="1"/>
  <c r="H36" i="29"/>
  <c r="M42" i="29"/>
  <c r="R42" i="29" s="1"/>
  <c r="H42" i="29"/>
  <c r="F29" i="19"/>
  <c r="E43" i="29"/>
  <c r="N43" i="29" s="1"/>
  <c r="D43" i="29"/>
  <c r="G43" i="29"/>
  <c r="P43" i="29" s="1"/>
  <c r="F43" i="29"/>
  <c r="O43" i="29" s="1"/>
  <c r="I30" i="25"/>
  <c r="K30" i="25" s="1"/>
  <c r="M30" i="25" s="1"/>
  <c r="M39" i="25" s="1"/>
  <c r="E35" i="29"/>
  <c r="D35" i="29"/>
  <c r="G35" i="29"/>
  <c r="F35" i="29"/>
  <c r="C23" i="19"/>
  <c r="F11" i="29"/>
  <c r="O11" i="29" s="1"/>
  <c r="D11" i="29"/>
  <c r="G11" i="29"/>
  <c r="P11" i="29" s="1"/>
  <c r="E11" i="29"/>
  <c r="N11" i="29" s="1"/>
  <c r="C28" i="19"/>
  <c r="D16" i="29"/>
  <c r="G16" i="29"/>
  <c r="P16" i="29" s="1"/>
  <c r="F16" i="29"/>
  <c r="O16" i="29" s="1"/>
  <c r="E16" i="29"/>
  <c r="N16" i="29" s="1"/>
  <c r="H24" i="29"/>
  <c r="Q24" i="29"/>
  <c r="M24" i="29"/>
  <c r="E51" i="11"/>
  <c r="C78" i="11"/>
  <c r="D40" i="5"/>
  <c r="D43" i="5" s="1"/>
  <c r="K43" i="5" s="1"/>
  <c r="K52" i="5" s="1"/>
  <c r="E52" i="11"/>
  <c r="D15" i="14"/>
  <c r="I11" i="25" s="1"/>
  <c r="D65" i="11"/>
  <c r="C22" i="19"/>
  <c r="E53" i="11"/>
  <c r="D61" i="11"/>
  <c r="D64" i="11"/>
  <c r="D11" i="25"/>
  <c r="D22" i="25" s="1"/>
  <c r="F22" i="25" s="1"/>
  <c r="H22" i="25" s="1"/>
  <c r="C59" i="11"/>
  <c r="E59" i="11" s="1"/>
  <c r="D30" i="14"/>
  <c r="K30" i="14" s="1"/>
  <c r="C58" i="11"/>
  <c r="E58" i="11" s="1"/>
  <c r="K14" i="14"/>
  <c r="C63" i="11"/>
  <c r="C55" i="11"/>
  <c r="E55" i="11" s="1"/>
  <c r="C60" i="11"/>
  <c r="E60" i="11" s="1"/>
  <c r="C54" i="11"/>
  <c r="E54" i="11" s="1"/>
  <c r="C56" i="11"/>
  <c r="E56" i="11" s="1"/>
  <c r="D63" i="11"/>
  <c r="D62" i="11"/>
  <c r="E50" i="11"/>
  <c r="C64" i="11"/>
  <c r="C65" i="11"/>
  <c r="C62" i="11"/>
  <c r="C61" i="11"/>
  <c r="C57" i="11"/>
  <c r="E57" i="11" s="1"/>
  <c r="K49" i="9"/>
  <c r="C16" i="19"/>
  <c r="F21" i="19"/>
  <c r="D30" i="25"/>
  <c r="F30" i="25" s="1"/>
  <c r="H30" i="25" s="1"/>
  <c r="C21" i="19"/>
  <c r="C58" i="5"/>
  <c r="K58" i="5" s="1"/>
  <c r="L9" i="9" s="1"/>
  <c r="L10" i="9" s="1"/>
  <c r="K42" i="17"/>
  <c r="C47" i="5"/>
  <c r="D46" i="5"/>
  <c r="L29" i="9"/>
  <c r="L49" i="9" s="1"/>
  <c r="F11" i="19"/>
  <c r="F16" i="19" s="1"/>
  <c r="K37" i="4"/>
  <c r="E47" i="5"/>
  <c r="C46" i="5"/>
  <c r="K42" i="5"/>
  <c r="K50" i="5" s="1"/>
  <c r="F31" i="19" l="1"/>
  <c r="C31" i="19"/>
  <c r="E62" i="11"/>
  <c r="S41" i="29"/>
  <c r="H39" i="25"/>
  <c r="F11" i="25"/>
  <c r="H11" i="25" s="1"/>
  <c r="D47" i="5"/>
  <c r="K47" i="5" s="1"/>
  <c r="C51" i="5" s="1"/>
  <c r="C52" i="5" s="1"/>
  <c r="C55" i="5" s="1"/>
  <c r="R24" i="29"/>
  <c r="S36" i="29"/>
  <c r="S37" i="29"/>
  <c r="S42" i="29"/>
  <c r="R50" i="29"/>
  <c r="M17" i="29"/>
  <c r="R17" i="29" s="1"/>
  <c r="H17" i="29"/>
  <c r="M16" i="29"/>
  <c r="R16" i="29" s="1"/>
  <c r="H16" i="29"/>
  <c r="D45" i="29"/>
  <c r="H35" i="29"/>
  <c r="M35" i="29"/>
  <c r="D19" i="29"/>
  <c r="H9" i="29"/>
  <c r="M9" i="29"/>
  <c r="O35" i="29"/>
  <c r="O45" i="29" s="1"/>
  <c r="F45" i="29"/>
  <c r="G19" i="29"/>
  <c r="P9" i="29"/>
  <c r="P19" i="29" s="1"/>
  <c r="M11" i="29"/>
  <c r="R11" i="29" s="1"/>
  <c r="H11" i="29"/>
  <c r="P35" i="29"/>
  <c r="P45" i="29" s="1"/>
  <c r="G45" i="29"/>
  <c r="E19" i="29"/>
  <c r="N9" i="29"/>
  <c r="N19" i="29" s="1"/>
  <c r="N35" i="29"/>
  <c r="N45" i="29" s="1"/>
  <c r="E45" i="29"/>
  <c r="M43" i="29"/>
  <c r="R43" i="29" s="1"/>
  <c r="H43" i="29"/>
  <c r="M10" i="29"/>
  <c r="R10" i="29" s="1"/>
  <c r="H10" i="29"/>
  <c r="O9" i="29"/>
  <c r="O19" i="29" s="1"/>
  <c r="F19" i="29"/>
  <c r="M15" i="29"/>
  <c r="R15" i="29" s="1"/>
  <c r="H15" i="29"/>
  <c r="E65" i="11"/>
  <c r="D31" i="14"/>
  <c r="D34" i="8" s="1"/>
  <c r="K34" i="8" s="1"/>
  <c r="D61" i="5"/>
  <c r="K61" i="5" s="1"/>
  <c r="K15" i="14"/>
  <c r="D33" i="8"/>
  <c r="K33" i="8" s="1"/>
  <c r="E71" i="11"/>
  <c r="E63" i="11"/>
  <c r="E61" i="11"/>
  <c r="E64" i="11"/>
  <c r="K46" i="5"/>
  <c r="D49" i="5" s="1"/>
  <c r="D50" i="5" s="1"/>
  <c r="D54" i="5" s="1"/>
  <c r="K11" i="25"/>
  <c r="M11" i="25" s="1"/>
  <c r="I22" i="25"/>
  <c r="K22" i="25" s="1"/>
  <c r="M22" i="25" s="1"/>
  <c r="S15" i="29" l="1"/>
  <c r="S10" i="29"/>
  <c r="S43" i="29"/>
  <c r="S11" i="29"/>
  <c r="S16" i="29"/>
  <c r="S17" i="29"/>
  <c r="R9" i="29"/>
  <c r="R19" i="29" s="1"/>
  <c r="M19" i="29"/>
  <c r="H45" i="29"/>
  <c r="S35" i="29"/>
  <c r="R35" i="29"/>
  <c r="R45" i="29" s="1"/>
  <c r="M45" i="29"/>
  <c r="S9" i="29"/>
  <c r="H19" i="29"/>
  <c r="K31" i="14"/>
  <c r="E72" i="11"/>
  <c r="C49" i="5"/>
  <c r="C50" i="5" s="1"/>
  <c r="C54" i="5" s="1"/>
  <c r="C30" i="8" s="1"/>
  <c r="C36" i="8" s="1"/>
  <c r="D63" i="5"/>
  <c r="D30" i="8"/>
  <c r="D36" i="8" s="1"/>
  <c r="C64" i="5"/>
  <c r="C31" i="8"/>
  <c r="C37" i="8" s="1"/>
  <c r="B49" i="5"/>
  <c r="J49" i="5"/>
  <c r="J50" i="5" s="1"/>
  <c r="J54" i="5" s="1"/>
  <c r="I49" i="5"/>
  <c r="I50" i="5" s="1"/>
  <c r="I54" i="5" s="1"/>
  <c r="G49" i="5"/>
  <c r="G50" i="5" s="1"/>
  <c r="G54" i="5" s="1"/>
  <c r="F49" i="5"/>
  <c r="F50" i="5" s="1"/>
  <c r="F54" i="5" s="1"/>
  <c r="E49" i="5"/>
  <c r="E50" i="5" s="1"/>
  <c r="E54" i="5" s="1"/>
  <c r="H49" i="5"/>
  <c r="H50" i="5" s="1"/>
  <c r="H54" i="5" s="1"/>
  <c r="C63" i="5"/>
  <c r="B51" i="5"/>
  <c r="F51" i="5"/>
  <c r="F52" i="5" s="1"/>
  <c r="F55" i="5" s="1"/>
  <c r="G51" i="5"/>
  <c r="G52" i="5" s="1"/>
  <c r="G55" i="5" s="1"/>
  <c r="I51" i="5"/>
  <c r="I52" i="5" s="1"/>
  <c r="I55" i="5" s="1"/>
  <c r="J51" i="5"/>
  <c r="J52" i="5" s="1"/>
  <c r="J55" i="5" s="1"/>
  <c r="H51" i="5"/>
  <c r="H52" i="5" s="1"/>
  <c r="H55" i="5" s="1"/>
  <c r="E51" i="5"/>
  <c r="E52" i="5" s="1"/>
  <c r="E55" i="5" s="1"/>
  <c r="D51" i="5"/>
  <c r="D52" i="5" s="1"/>
  <c r="D55" i="5" s="1"/>
  <c r="E64" i="5" l="1"/>
  <c r="E31" i="8"/>
  <c r="E37" i="8" s="1"/>
  <c r="D51" i="29" s="1"/>
  <c r="D52" i="29" s="1"/>
  <c r="G64" i="5"/>
  <c r="G31" i="8"/>
  <c r="G37" i="8" s="1"/>
  <c r="K22" i="9"/>
  <c r="D9" i="19"/>
  <c r="G30" i="8"/>
  <c r="G36" i="8" s="1"/>
  <c r="G63" i="5"/>
  <c r="H9" i="19"/>
  <c r="H22" i="19" s="1"/>
  <c r="L23" i="9"/>
  <c r="H64" i="5"/>
  <c r="H31" i="8"/>
  <c r="H37" i="8" s="1"/>
  <c r="F64" i="5"/>
  <c r="G25" i="19" s="1"/>
  <c r="F31" i="8"/>
  <c r="F37" i="8" s="1"/>
  <c r="H63" i="5"/>
  <c r="H30" i="8"/>
  <c r="H36" i="8" s="1"/>
  <c r="I63" i="5"/>
  <c r="I30" i="8"/>
  <c r="I36" i="8" s="1"/>
  <c r="G9" i="19"/>
  <c r="L22" i="9"/>
  <c r="J64" i="5"/>
  <c r="J31" i="8"/>
  <c r="J37" i="8" s="1"/>
  <c r="B52" i="5"/>
  <c r="B55" i="5" s="1"/>
  <c r="K51" i="5"/>
  <c r="E63" i="5"/>
  <c r="E30" i="8"/>
  <c r="E36" i="8" s="1"/>
  <c r="D25" i="29" s="1"/>
  <c r="J63" i="5"/>
  <c r="J30" i="8"/>
  <c r="J36" i="8" s="1"/>
  <c r="K27" i="9"/>
  <c r="E10" i="19"/>
  <c r="D64" i="5"/>
  <c r="D31" i="8"/>
  <c r="D37" i="8" s="1"/>
  <c r="I64" i="5"/>
  <c r="I31" i="8"/>
  <c r="I37" i="8" s="1"/>
  <c r="K23" i="9"/>
  <c r="E9" i="19"/>
  <c r="E22" i="19" s="1"/>
  <c r="F63" i="5"/>
  <c r="D25" i="19" s="1"/>
  <c r="F30" i="8"/>
  <c r="F36" i="8" s="1"/>
  <c r="B50" i="5"/>
  <c r="B54" i="5" s="1"/>
  <c r="K49" i="5"/>
  <c r="K26" i="9"/>
  <c r="D10" i="19"/>
  <c r="M52" i="29" l="1"/>
  <c r="Q52" i="29"/>
  <c r="R52" i="29" s="1"/>
  <c r="D26" i="19"/>
  <c r="G26" i="19"/>
  <c r="H52" i="29"/>
  <c r="G48" i="29"/>
  <c r="P48" i="29" s="1"/>
  <c r="F48" i="29"/>
  <c r="O48" i="29" s="1"/>
  <c r="E48" i="29"/>
  <c r="N48" i="29" s="1"/>
  <c r="D48" i="29"/>
  <c r="E25" i="19"/>
  <c r="E26" i="19" s="1"/>
  <c r="E26" i="29"/>
  <c r="E23" i="29"/>
  <c r="N23" i="29" s="1"/>
  <c r="G23" i="29"/>
  <c r="P23" i="29" s="1"/>
  <c r="F23" i="29"/>
  <c r="O23" i="29" s="1"/>
  <c r="D23" i="29"/>
  <c r="H25" i="29"/>
  <c r="M25" i="29"/>
  <c r="Q25" i="29"/>
  <c r="H25" i="19"/>
  <c r="H26" i="19" s="1"/>
  <c r="E53" i="29"/>
  <c r="D22" i="29"/>
  <c r="G22" i="29"/>
  <c r="P22" i="29" s="1"/>
  <c r="F22" i="29"/>
  <c r="O22" i="29" s="1"/>
  <c r="E22" i="29"/>
  <c r="N22" i="29" s="1"/>
  <c r="H51" i="29"/>
  <c r="Q51" i="29"/>
  <c r="M51" i="29"/>
  <c r="K47" i="9"/>
  <c r="E15" i="19"/>
  <c r="K39" i="9"/>
  <c r="E13" i="19"/>
  <c r="H13" i="19"/>
  <c r="L39" i="9"/>
  <c r="D12" i="19"/>
  <c r="K34" i="9"/>
  <c r="L35" i="9"/>
  <c r="H12" i="19"/>
  <c r="H27" i="19" s="1"/>
  <c r="L27" i="9"/>
  <c r="H10" i="19"/>
  <c r="K54" i="5"/>
  <c r="B63" i="5"/>
  <c r="B30" i="8"/>
  <c r="G10" i="19"/>
  <c r="L26" i="9"/>
  <c r="K46" i="9"/>
  <c r="D15" i="19"/>
  <c r="K55" i="5"/>
  <c r="B64" i="5"/>
  <c r="B31" i="8"/>
  <c r="I42" i="25"/>
  <c r="I20" i="25"/>
  <c r="K20" i="25" s="1"/>
  <c r="M20" i="25" s="1"/>
  <c r="G22" i="19"/>
  <c r="I9" i="25"/>
  <c r="K9" i="25" s="1"/>
  <c r="M9" i="25" s="1"/>
  <c r="D13" i="19"/>
  <c r="K38" i="9"/>
  <c r="L38" i="9"/>
  <c r="G13" i="19"/>
  <c r="K35" i="9"/>
  <c r="E12" i="19"/>
  <c r="E27" i="19" s="1"/>
  <c r="L34" i="9"/>
  <c r="G12" i="19"/>
  <c r="D21" i="25"/>
  <c r="F21" i="25" s="1"/>
  <c r="H21" i="25" s="1"/>
  <c r="D23" i="19"/>
  <c r="D10" i="25"/>
  <c r="F10" i="25" s="1"/>
  <c r="H10" i="25" s="1"/>
  <c r="L43" i="9"/>
  <c r="H14" i="19"/>
  <c r="D43" i="25"/>
  <c r="E23" i="19"/>
  <c r="L47" i="9"/>
  <c r="H15" i="19"/>
  <c r="D57" i="29" s="1"/>
  <c r="K43" i="9"/>
  <c r="E14" i="19"/>
  <c r="D20" i="25"/>
  <c r="F20" i="25" s="1"/>
  <c r="H20" i="25" s="1"/>
  <c r="D42" i="25"/>
  <c r="D22" i="19"/>
  <c r="D9" i="25"/>
  <c r="F9" i="25" s="1"/>
  <c r="H9" i="25" s="1"/>
  <c r="L31" i="9"/>
  <c r="H11" i="19"/>
  <c r="I44" i="25" s="1"/>
  <c r="E11" i="19"/>
  <c r="D44" i="25" s="1"/>
  <c r="K31" i="9"/>
  <c r="G14" i="19"/>
  <c r="L42" i="9"/>
  <c r="D11" i="19"/>
  <c r="D12" i="25" s="1"/>
  <c r="K30" i="9"/>
  <c r="G15" i="19"/>
  <c r="L46" i="9"/>
  <c r="K42" i="9"/>
  <c r="D14" i="19"/>
  <c r="G11" i="19"/>
  <c r="I12" i="25" s="1"/>
  <c r="L30" i="9"/>
  <c r="M22" i="29" l="1"/>
  <c r="R22" i="29" s="1"/>
  <c r="H22" i="29"/>
  <c r="R25" i="29"/>
  <c r="M48" i="29"/>
  <c r="R48" i="29" s="1"/>
  <c r="H48" i="29"/>
  <c r="F29" i="29"/>
  <c r="O29" i="29" s="1"/>
  <c r="D29" i="29"/>
  <c r="E29" i="29"/>
  <c r="N29" i="29" s="1"/>
  <c r="G29" i="29"/>
  <c r="P29" i="29" s="1"/>
  <c r="F55" i="29"/>
  <c r="O55" i="29" s="1"/>
  <c r="E55" i="29"/>
  <c r="N55" i="29" s="1"/>
  <c r="D55" i="29"/>
  <c r="G55" i="29"/>
  <c r="P55" i="29" s="1"/>
  <c r="N53" i="29"/>
  <c r="Q53" i="29"/>
  <c r="H53" i="29"/>
  <c r="F54" i="29"/>
  <c r="O54" i="29" s="1"/>
  <c r="E54" i="29"/>
  <c r="N54" i="29" s="1"/>
  <c r="D54" i="29"/>
  <c r="G54" i="29"/>
  <c r="P54" i="29" s="1"/>
  <c r="G49" i="29"/>
  <c r="P49" i="29" s="1"/>
  <c r="F49" i="29"/>
  <c r="O49" i="29" s="1"/>
  <c r="E49" i="29"/>
  <c r="N49" i="29" s="1"/>
  <c r="D49" i="29"/>
  <c r="E28" i="29"/>
  <c r="N28" i="29" s="1"/>
  <c r="D28" i="29"/>
  <c r="G28" i="29"/>
  <c r="P28" i="29" s="1"/>
  <c r="F28" i="29"/>
  <c r="O28" i="29" s="1"/>
  <c r="R51" i="29"/>
  <c r="M23" i="29"/>
  <c r="H23" i="29"/>
  <c r="Q23" i="29" s="1"/>
  <c r="N26" i="29"/>
  <c r="Q26" i="29"/>
  <c r="H26" i="29"/>
  <c r="M57" i="29"/>
  <c r="R57" i="29" s="1"/>
  <c r="H57" i="29"/>
  <c r="F56" i="29"/>
  <c r="O56" i="29" s="1"/>
  <c r="E56" i="29"/>
  <c r="N56" i="29" s="1"/>
  <c r="D56" i="29"/>
  <c r="G56" i="29"/>
  <c r="P56" i="29" s="1"/>
  <c r="G27" i="29"/>
  <c r="P27" i="29" s="1"/>
  <c r="F27" i="29"/>
  <c r="O27" i="29" s="1"/>
  <c r="D27" i="29"/>
  <c r="E27" i="29"/>
  <c r="N27" i="29" s="1"/>
  <c r="F44" i="25"/>
  <c r="H44" i="25" s="1"/>
  <c r="D54" i="25"/>
  <c r="F43" i="25"/>
  <c r="H43" i="25" s="1"/>
  <c r="D53" i="25"/>
  <c r="I10" i="25"/>
  <c r="K10" i="25" s="1"/>
  <c r="M10" i="25" s="1"/>
  <c r="G23" i="19"/>
  <c r="I21" i="25"/>
  <c r="K21" i="25" s="1"/>
  <c r="M21" i="25" s="1"/>
  <c r="I43" i="25"/>
  <c r="H23" i="19"/>
  <c r="D46" i="25"/>
  <c r="E28" i="19"/>
  <c r="K12" i="25"/>
  <c r="M12" i="25" s="1"/>
  <c r="I23" i="25"/>
  <c r="K23" i="25" s="1"/>
  <c r="M23" i="25" s="1"/>
  <c r="I27" i="25"/>
  <c r="K27" i="25" s="1"/>
  <c r="M27" i="25" s="1"/>
  <c r="G30" i="19"/>
  <c r="I16" i="25"/>
  <c r="K16" i="25" s="1"/>
  <c r="M16" i="25" s="1"/>
  <c r="I26" i="25"/>
  <c r="K26" i="25" s="1"/>
  <c r="M26" i="25" s="1"/>
  <c r="I15" i="25"/>
  <c r="K15" i="25" s="1"/>
  <c r="M15" i="25" s="1"/>
  <c r="G29" i="19"/>
  <c r="I54" i="25"/>
  <c r="K44" i="25"/>
  <c r="M44" i="25" s="1"/>
  <c r="D52" i="25"/>
  <c r="F42" i="25"/>
  <c r="H42" i="25" s="1"/>
  <c r="H30" i="19"/>
  <c r="I48" i="25"/>
  <c r="I47" i="25"/>
  <c r="H29" i="19"/>
  <c r="D25" i="25"/>
  <c r="F25" i="25" s="1"/>
  <c r="H25" i="25" s="1"/>
  <c r="D14" i="25"/>
  <c r="F14" i="25" s="1"/>
  <c r="H14" i="25" s="1"/>
  <c r="D28" i="19"/>
  <c r="K42" i="25"/>
  <c r="M42" i="25" s="1"/>
  <c r="I52" i="25"/>
  <c r="D30" i="19"/>
  <c r="D16" i="25"/>
  <c r="F16" i="25" s="1"/>
  <c r="H16" i="25" s="1"/>
  <c r="D27" i="25"/>
  <c r="F27" i="25" s="1"/>
  <c r="H27" i="25" s="1"/>
  <c r="B36" i="8"/>
  <c r="K30" i="8"/>
  <c r="D24" i="25"/>
  <c r="F24" i="25" s="1"/>
  <c r="H24" i="25" s="1"/>
  <c r="D13" i="25"/>
  <c r="F13" i="25" s="1"/>
  <c r="H13" i="25" s="1"/>
  <c r="D27" i="19"/>
  <c r="D45" i="25"/>
  <c r="D15" i="25"/>
  <c r="F15" i="25" s="1"/>
  <c r="H15" i="25" s="1"/>
  <c r="D26" i="25"/>
  <c r="F26" i="25" s="1"/>
  <c r="H26" i="25" s="1"/>
  <c r="D29" i="19"/>
  <c r="I13" i="25"/>
  <c r="K13" i="25" s="1"/>
  <c r="M13" i="25" s="1"/>
  <c r="G27" i="19"/>
  <c r="I24" i="25"/>
  <c r="K24" i="25" s="1"/>
  <c r="M24" i="25" s="1"/>
  <c r="I45" i="25"/>
  <c r="I14" i="25"/>
  <c r="K14" i="25" s="1"/>
  <c r="M14" i="25" s="1"/>
  <c r="G28" i="19"/>
  <c r="I25" i="25"/>
  <c r="K25" i="25" s="1"/>
  <c r="M25" i="25" s="1"/>
  <c r="B37" i="8"/>
  <c r="K31" i="8"/>
  <c r="D8" i="19"/>
  <c r="K63" i="5"/>
  <c r="K13" i="9" s="1"/>
  <c r="K18" i="9"/>
  <c r="K50" i="9" s="1"/>
  <c r="D48" i="25"/>
  <c r="E30" i="19"/>
  <c r="D23" i="25"/>
  <c r="F23" i="25" s="1"/>
  <c r="H23" i="25" s="1"/>
  <c r="F12" i="25"/>
  <c r="H12" i="25" s="1"/>
  <c r="D47" i="25"/>
  <c r="E29" i="19"/>
  <c r="K64" i="5"/>
  <c r="L13" i="9" s="1"/>
  <c r="G8" i="19"/>
  <c r="L18" i="9"/>
  <c r="L50" i="9" s="1"/>
  <c r="I46" i="25"/>
  <c r="H28" i="19"/>
  <c r="S51" i="29" l="1"/>
  <c r="S25" i="29"/>
  <c r="R53" i="29"/>
  <c r="S23" i="29"/>
  <c r="S57" i="29"/>
  <c r="S48" i="29"/>
  <c r="S22" i="29"/>
  <c r="H54" i="29"/>
  <c r="M54" i="29"/>
  <c r="H29" i="29"/>
  <c r="M29" i="29"/>
  <c r="R29" i="29" s="1"/>
  <c r="R26" i="29"/>
  <c r="M28" i="29"/>
  <c r="R28" i="29" s="1"/>
  <c r="H28" i="29"/>
  <c r="G21" i="29"/>
  <c r="P21" i="29" s="1"/>
  <c r="P31" i="29" s="1"/>
  <c r="P32" i="29" s="1"/>
  <c r="F21" i="29"/>
  <c r="O21" i="29" s="1"/>
  <c r="O31" i="29" s="1"/>
  <c r="O32" i="29" s="1"/>
  <c r="D21" i="29"/>
  <c r="E21" i="29"/>
  <c r="N21" i="29" s="1"/>
  <c r="N31" i="29" s="1"/>
  <c r="N32" i="29" s="1"/>
  <c r="G47" i="29"/>
  <c r="P47" i="29" s="1"/>
  <c r="P58" i="29" s="1"/>
  <c r="P59" i="29" s="1"/>
  <c r="F47" i="29"/>
  <c r="O47" i="29" s="1"/>
  <c r="O58" i="29" s="1"/>
  <c r="O59" i="29" s="1"/>
  <c r="E47" i="29"/>
  <c r="N47" i="29" s="1"/>
  <c r="N58" i="29" s="1"/>
  <c r="N59" i="29" s="1"/>
  <c r="D47" i="29"/>
  <c r="H27" i="29"/>
  <c r="M27" i="29"/>
  <c r="R27" i="29" s="1"/>
  <c r="H56" i="29"/>
  <c r="M56" i="29"/>
  <c r="R56" i="29" s="1"/>
  <c r="R23" i="29"/>
  <c r="Q31" i="29"/>
  <c r="Q32" i="29" s="1"/>
  <c r="M49" i="29"/>
  <c r="H49" i="29"/>
  <c r="Q49" i="29" s="1"/>
  <c r="H55" i="29"/>
  <c r="M55" i="29"/>
  <c r="R55" i="29" s="1"/>
  <c r="L53" i="9"/>
  <c r="I56" i="25"/>
  <c r="K46" i="25"/>
  <c r="M46" i="25" s="1"/>
  <c r="D41" i="25"/>
  <c r="D8" i="25"/>
  <c r="F8" i="25" s="1"/>
  <c r="H8" i="25" s="1"/>
  <c r="H17" i="25" s="1"/>
  <c r="D21" i="19"/>
  <c r="D31" i="19" s="1"/>
  <c r="D19" i="25"/>
  <c r="F19" i="25" s="1"/>
  <c r="H19" i="25" s="1"/>
  <c r="H28" i="25" s="1"/>
  <c r="D16" i="19"/>
  <c r="F53" i="25"/>
  <c r="H53" i="25" s="1"/>
  <c r="D63" i="25"/>
  <c r="F63" i="25" s="1"/>
  <c r="H63" i="25" s="1"/>
  <c r="G16" i="19"/>
  <c r="G21" i="19"/>
  <c r="G31" i="19" s="1"/>
  <c r="I41" i="25"/>
  <c r="I19" i="25"/>
  <c r="K19" i="25" s="1"/>
  <c r="M19" i="25" s="1"/>
  <c r="M28" i="25" s="1"/>
  <c r="I8" i="25"/>
  <c r="K8" i="25" s="1"/>
  <c r="M8" i="25" s="1"/>
  <c r="M17" i="25" s="1"/>
  <c r="F47" i="25"/>
  <c r="H47" i="25" s="1"/>
  <c r="D57" i="25"/>
  <c r="D58" i="25"/>
  <c r="F48" i="25"/>
  <c r="H48" i="25" s="1"/>
  <c r="D55" i="25"/>
  <c r="F45" i="25"/>
  <c r="H45" i="25" s="1"/>
  <c r="K47" i="25"/>
  <c r="M47" i="25" s="1"/>
  <c r="I57" i="25"/>
  <c r="D62" i="25"/>
  <c r="F62" i="25" s="1"/>
  <c r="H62" i="25" s="1"/>
  <c r="F52" i="25"/>
  <c r="H52" i="25" s="1"/>
  <c r="F46" i="25"/>
  <c r="H46" i="25" s="1"/>
  <c r="D56" i="25"/>
  <c r="K53" i="9"/>
  <c r="K37" i="8"/>
  <c r="L19" i="9"/>
  <c r="L51" i="9" s="1"/>
  <c r="H8" i="19"/>
  <c r="I55" i="25"/>
  <c r="K45" i="25"/>
  <c r="M45" i="25" s="1"/>
  <c r="K19" i="9"/>
  <c r="K51" i="9" s="1"/>
  <c r="E8" i="19"/>
  <c r="K36" i="8"/>
  <c r="I62" i="25"/>
  <c r="K62" i="25" s="1"/>
  <c r="M62" i="25" s="1"/>
  <c r="K52" i="25"/>
  <c r="M52" i="25" s="1"/>
  <c r="I58" i="25"/>
  <c r="K48" i="25"/>
  <c r="D64" i="25"/>
  <c r="F64" i="25" s="1"/>
  <c r="H64" i="25" s="1"/>
  <c r="F54" i="25"/>
  <c r="H54" i="25" s="1"/>
  <c r="K54" i="25"/>
  <c r="M54" i="25" s="1"/>
  <c r="I64" i="25"/>
  <c r="K64" i="25" s="1"/>
  <c r="M64" i="25" s="1"/>
  <c r="I53" i="25"/>
  <c r="K43" i="25"/>
  <c r="M43" i="25" s="1"/>
  <c r="S28" i="29" l="1"/>
  <c r="S49" i="29"/>
  <c r="S56" i="29"/>
  <c r="M21" i="29"/>
  <c r="H21" i="29"/>
  <c r="S29" i="29"/>
  <c r="R49" i="29"/>
  <c r="Q58" i="29"/>
  <c r="Q59" i="29" s="1"/>
  <c r="M47" i="29"/>
  <c r="H47" i="29"/>
  <c r="S54" i="29"/>
  <c r="R54" i="29"/>
  <c r="S55" i="29"/>
  <c r="S27" i="29"/>
  <c r="D67" i="25"/>
  <c r="F67" i="25" s="1"/>
  <c r="H67" i="25" s="1"/>
  <c r="F57" i="25"/>
  <c r="H57" i="25" s="1"/>
  <c r="K41" i="25"/>
  <c r="M41" i="25" s="1"/>
  <c r="I51" i="25"/>
  <c r="K53" i="25"/>
  <c r="M53" i="25" s="1"/>
  <c r="I63" i="25"/>
  <c r="K63" i="25" s="1"/>
  <c r="M63" i="25" s="1"/>
  <c r="I65" i="25"/>
  <c r="K65" i="25" s="1"/>
  <c r="M65" i="25" s="1"/>
  <c r="K55" i="25"/>
  <c r="M55" i="25" s="1"/>
  <c r="K58" i="25"/>
  <c r="M58" i="25" s="1"/>
  <c r="I68" i="25"/>
  <c r="K68" i="25" s="1"/>
  <c r="M68" i="25" s="1"/>
  <c r="E16" i="19"/>
  <c r="E21" i="19"/>
  <c r="E31" i="19" s="1"/>
  <c r="H21" i="19"/>
  <c r="H31" i="19" s="1"/>
  <c r="H16" i="19"/>
  <c r="F55" i="25"/>
  <c r="H55" i="25" s="1"/>
  <c r="D65" i="25"/>
  <c r="F65" i="25" s="1"/>
  <c r="H65" i="25" s="1"/>
  <c r="F41" i="25"/>
  <c r="H41" i="25" s="1"/>
  <c r="H49" i="25" s="1"/>
  <c r="D51" i="25"/>
  <c r="D66" i="25"/>
  <c r="F66" i="25" s="1"/>
  <c r="H66" i="25" s="1"/>
  <c r="F56" i="25"/>
  <c r="H56" i="25" s="1"/>
  <c r="I67" i="25"/>
  <c r="K67" i="25" s="1"/>
  <c r="M67" i="25" s="1"/>
  <c r="K57" i="25"/>
  <c r="M57" i="25" s="1"/>
  <c r="F58" i="25"/>
  <c r="H58" i="25" s="1"/>
  <c r="D68" i="25"/>
  <c r="F68" i="25" s="1"/>
  <c r="H68" i="25" s="1"/>
  <c r="K56" i="25"/>
  <c r="M56" i="25" s="1"/>
  <c r="I66" i="25"/>
  <c r="K66" i="25" s="1"/>
  <c r="M66" i="25" s="1"/>
  <c r="S21" i="29" l="1"/>
  <c r="R47" i="29"/>
  <c r="R58" i="29" s="1"/>
  <c r="R59" i="29" s="1"/>
  <c r="M58" i="29"/>
  <c r="M59" i="29" s="1"/>
  <c r="R21" i="29"/>
  <c r="R31" i="29" s="1"/>
  <c r="R32" i="29" s="1"/>
  <c r="M31" i="29"/>
  <c r="M32" i="29" s="1"/>
  <c r="S47" i="29"/>
  <c r="K51" i="25"/>
  <c r="M51" i="25" s="1"/>
  <c r="M59" i="25" s="1"/>
  <c r="I61" i="25"/>
  <c r="K61" i="25" s="1"/>
  <c r="M61" i="25" s="1"/>
  <c r="M69" i="25" s="1"/>
  <c r="F51" i="25"/>
  <c r="H51" i="25" s="1"/>
  <c r="H59" i="25" s="1"/>
  <c r="D61" i="25"/>
  <c r="F61" i="25" s="1"/>
  <c r="H61" i="25" s="1"/>
  <c r="H69" i="25" s="1"/>
  <c r="H70" i="25" l="1"/>
  <c r="L48" i="25" l="1"/>
  <c r="M48" i="25" s="1"/>
  <c r="M49" i="25" s="1"/>
  <c r="M70" i="25" s="1"/>
</calcChain>
</file>

<file path=xl/comments1.xml><?xml version="1.0" encoding="utf-8"?>
<comments xmlns="http://schemas.openxmlformats.org/spreadsheetml/2006/main">
  <authors>
    <author>andrya.eagen</author>
  </authors>
  <commentList>
    <comment ref="S5" authorId="0" shapeId="0">
      <text>
        <r>
          <rPr>
            <b/>
            <sz val="9"/>
            <color indexed="81"/>
            <rFont val="Tahoma"/>
            <family val="2"/>
          </rPr>
          <t>andrya.eagen:</t>
        </r>
        <r>
          <rPr>
            <sz val="9"/>
            <color indexed="81"/>
            <rFont val="Tahoma"/>
            <family val="2"/>
          </rPr>
          <t xml:space="preserve">
Excludes TOA</t>
        </r>
      </text>
    </comment>
    <comment ref="B18" authorId="0" shapeId="0">
      <text>
        <r>
          <rPr>
            <b/>
            <sz val="9"/>
            <color indexed="81"/>
            <rFont val="Tahoma"/>
            <family val="2"/>
          </rPr>
          <t>andrya.eagen:</t>
        </r>
        <r>
          <rPr>
            <sz val="9"/>
            <color indexed="81"/>
            <rFont val="Tahoma"/>
            <family val="2"/>
          </rPr>
          <t xml:space="preserve">
Currently billed GS&gt;50 fixed charge only.</t>
        </r>
      </text>
    </comment>
    <comment ref="Q23" authorId="0" shapeId="0">
      <text>
        <r>
          <rPr>
            <b/>
            <sz val="9"/>
            <color indexed="81"/>
            <rFont val="Tahoma"/>
            <family val="2"/>
          </rPr>
          <t>andrya.eagen:</t>
        </r>
        <r>
          <rPr>
            <sz val="9"/>
            <color indexed="81"/>
            <rFont val="Tahoma"/>
            <family val="2"/>
          </rPr>
          <t xml:space="preserve">
Based 2014 Actual % Rec'ing TOA</t>
        </r>
      </text>
    </comment>
    <comment ref="B30" authorId="0" shapeId="0">
      <text>
        <r>
          <rPr>
            <b/>
            <sz val="9"/>
            <color indexed="81"/>
            <rFont val="Tahoma"/>
            <family val="2"/>
          </rPr>
          <t>andrya.eagen:</t>
        </r>
        <r>
          <rPr>
            <sz val="9"/>
            <color indexed="81"/>
            <rFont val="Tahoma"/>
            <family val="2"/>
          </rPr>
          <t xml:space="preserve">
Currently not charged volumetric rates.</t>
        </r>
      </text>
    </comment>
    <comment ref="B44" authorId="0" shapeId="0">
      <text>
        <r>
          <rPr>
            <b/>
            <sz val="9"/>
            <color indexed="81"/>
            <rFont val="Tahoma"/>
            <family val="2"/>
          </rPr>
          <t>andrya.eagen:</t>
        </r>
        <r>
          <rPr>
            <sz val="9"/>
            <color indexed="81"/>
            <rFont val="Tahoma"/>
            <family val="2"/>
          </rPr>
          <t xml:space="preserve">
Currently billed GS&gt;50 fixed charge only.</t>
        </r>
      </text>
    </comment>
    <comment ref="Q49" authorId="0" shapeId="0">
      <text>
        <r>
          <rPr>
            <b/>
            <sz val="9"/>
            <color indexed="81"/>
            <rFont val="Tahoma"/>
            <family val="2"/>
          </rPr>
          <t>andrya.eagen:</t>
        </r>
        <r>
          <rPr>
            <sz val="9"/>
            <color indexed="81"/>
            <rFont val="Tahoma"/>
            <family val="2"/>
          </rPr>
          <t xml:space="preserve">
Based 2014 Actual % Rec'ing TOA</t>
        </r>
      </text>
    </comment>
    <comment ref="B57" authorId="0" shapeId="0">
      <text>
        <r>
          <rPr>
            <b/>
            <sz val="9"/>
            <color indexed="81"/>
            <rFont val="Tahoma"/>
            <family val="2"/>
          </rPr>
          <t>andrya.eagen:</t>
        </r>
        <r>
          <rPr>
            <sz val="9"/>
            <color indexed="81"/>
            <rFont val="Tahoma"/>
            <family val="2"/>
          </rPr>
          <t xml:space="preserve">
Currently not charged volumetric rates.</t>
        </r>
      </text>
    </comment>
  </commentList>
</comments>
</file>

<file path=xl/sharedStrings.xml><?xml version="1.0" encoding="utf-8"?>
<sst xmlns="http://schemas.openxmlformats.org/spreadsheetml/2006/main" count="926" uniqueCount="417">
  <si>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</si>
  <si>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</si>
  <si>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</si>
  <si>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</si>
  <si>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</si>
  <si>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</si>
  <si>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</si>
  <si>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</si>
  <si>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</si>
  <si>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Embedded Distribution</t>
  </si>
  <si>
    <t xml:space="preserve">01_Residential </t>
  </si>
  <si>
    <t>02_GS&lt;50</t>
  </si>
  <si>
    <t>03_GS&gt;50</t>
  </si>
  <si>
    <t>10_EmbeddedDist</t>
  </si>
  <si>
    <t>05_LargeUse</t>
  </si>
  <si>
    <t>07_USL</t>
  </si>
  <si>
    <t>08_Sentinel</t>
  </si>
  <si>
    <t>08_StreetLights</t>
  </si>
  <si>
    <t>Total</t>
  </si>
  <si>
    <t>Average</t>
  </si>
  <si>
    <t>Year</t>
  </si>
  <si>
    <t>Customer Growth Rate</t>
  </si>
  <si>
    <t>Forecast Number of Customer/Connections</t>
  </si>
  <si>
    <t>Month</t>
  </si>
  <si>
    <t>kWh</t>
  </si>
  <si>
    <t>Manufacturing (x 1,000)</t>
  </si>
  <si>
    <t>Actual Purchases</t>
  </si>
  <si>
    <t>Modeled Purchases</t>
  </si>
  <si>
    <t>Difference</t>
  </si>
  <si>
    <t>Difference %</t>
  </si>
  <si>
    <t>Forecast Accuracy</t>
  </si>
  <si>
    <t>Determination of Loss Factor</t>
  </si>
  <si>
    <t>Total Billed</t>
  </si>
  <si>
    <t>Percentage of kW to kWh</t>
  </si>
  <si>
    <t>Entegrus Powerlines Inc.</t>
  </si>
  <si>
    <t>Description</t>
  </si>
  <si>
    <t>Actual kWh Purchases</t>
  </si>
  <si>
    <t>Predicted Purchases</t>
  </si>
  <si>
    <t>Adjusted Predicted Purchases</t>
  </si>
  <si>
    <t>Percent Difference from Actual</t>
  </si>
  <si>
    <t>Billed kWh</t>
  </si>
  <si>
    <t>2006
Actual</t>
  </si>
  <si>
    <t>2007
Actual</t>
  </si>
  <si>
    <t>2008
Actual</t>
  </si>
  <si>
    <t>2009
Actual</t>
  </si>
  <si>
    <t>2010
Actual</t>
  </si>
  <si>
    <t>2011
Actual</t>
  </si>
  <si>
    <t>2012
Actual</t>
  </si>
  <si>
    <t>2013
Actual</t>
  </si>
  <si>
    <t>2014
Actual</t>
  </si>
  <si>
    <t>2015
Forecasted</t>
  </si>
  <si>
    <t>2016
Forecasted</t>
  </si>
  <si>
    <t>Billed kWh by Rate Class</t>
  </si>
  <si>
    <t>Customers</t>
  </si>
  <si>
    <t>kW</t>
  </si>
  <si>
    <t>USL</t>
  </si>
  <si>
    <t>TOTAL</t>
  </si>
  <si>
    <t>Connections</t>
  </si>
  <si>
    <t>Reconciliation of Purchases</t>
  </si>
  <si>
    <t>Check</t>
  </si>
  <si>
    <r>
      <t xml:space="preserve">CDM Adjustment </t>
    </r>
    <r>
      <rPr>
        <sz val="8"/>
        <color theme="1"/>
        <rFont val="Calibri"/>
        <family val="2"/>
      </rPr>
      <t>(Not in Model)</t>
    </r>
  </si>
  <si>
    <t>Losses</t>
  </si>
  <si>
    <t>Loss Factor</t>
  </si>
  <si>
    <t>2016 Load Forecast Accuracy &amp; Loss Factor</t>
  </si>
  <si>
    <t>Average Growth per Customer</t>
  </si>
  <si>
    <t>Restated Consumption (kWh)</t>
  </si>
  <si>
    <t>Average Consumption per Customer (kWh)</t>
  </si>
  <si>
    <t>Forecasted Average Consumption per Customer (kWh)</t>
  </si>
  <si>
    <t>Calculated Consumption Non-Weather Adjusted (kWh)</t>
  </si>
  <si>
    <t>Forecast Consumption by Rate Class (kWh)</t>
  </si>
  <si>
    <t>Restated Demand (kW)</t>
  </si>
  <si>
    <t>Notes:</t>
  </si>
  <si>
    <t>Forecast Demand by Rate Class (kW)</t>
  </si>
  <si>
    <t>Geomean</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</si>
  <si>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</si>
  <si>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</si>
  <si>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</si>
  <si>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</si>
  <si>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</si>
  <si>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</si>
  <si>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</si>
  <si>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</si>
  <si>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</si>
  <si>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</si>
  <si>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</si>
  <si>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</si>
  <si>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</si>
  <si>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</si>
  <si>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</si>
  <si>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</si>
  <si>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</si>
  <si>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</si>
  <si>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Date</t>
  </si>
  <si>
    <t>Forecast kWh</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</si>
  <si>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</si>
  <si>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</si>
  <si>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</si>
  <si>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</si>
  <si>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</si>
  <si>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</si>
  <si>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</si>
  <si>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</si>
  <si>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</si>
  <si>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</si>
  <si>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</si>
  <si>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</si>
  <si>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</si>
  <si>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</si>
  <si>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</si>
  <si>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</si>
  <si>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</si>
  <si>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</si>
  <si>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</si>
  <si>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</si>
  <si>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</si>
  <si>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</si>
  <si>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</si>
  <si>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</si>
  <si>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</si>
  <si>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</si>
  <si>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</si>
  <si>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</si>
  <si>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</si>
  <si>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</si>
  <si>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</si>
  <si>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</si>
  <si>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</si>
  <si>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</si>
  <si>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</si>
  <si>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</si>
  <si>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</si>
  <si>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</si>
  <si>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</si>
  <si>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</si>
  <si>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</si>
  <si>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</si>
  <si>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</si>
  <si>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</si>
  <si>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</si>
  <si>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</si>
  <si>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</si>
  <si>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</si>
  <si>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</si>
  <si>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</si>
  <si>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</si>
  <si>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</si>
  <si>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</si>
  <si>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</si>
  <si>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</si>
  <si>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</si>
  <si>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</si>
  <si>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</si>
  <si>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</si>
  <si>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</si>
  <si>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</si>
  <si>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</si>
  <si>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</si>
  <si>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</si>
  <si>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</si>
  <si>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</si>
  <si>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</si>
  <si>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</si>
  <si>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</si>
  <si>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</si>
  <si>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</si>
  <si>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</si>
  <si>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</si>
  <si>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</si>
  <si>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</si>
  <si>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</si>
  <si>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</si>
  <si>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</si>
  <si>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</si>
  <si>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</si>
  <si>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</si>
  <si>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</si>
  <si>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</si>
  <si>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</si>
  <si>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</si>
  <si>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</si>
  <si>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</si>
  <si>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</si>
  <si>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</si>
  <si>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</si>
  <si>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</si>
  <si>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</si>
  <si>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</si>
  <si>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</si>
  <si>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</si>
  <si>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</si>
  <si>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</si>
  <si>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</si>
  <si>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</si>
  <si>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</si>
  <si>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</si>
  <si>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</si>
  <si>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</si>
  <si>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</si>
  <si>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</si>
  <si>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</si>
  <si>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</si>
  <si>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</si>
  <si>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</si>
  <si>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</si>
  <si>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</si>
  <si>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</si>
  <si>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</si>
  <si>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</si>
  <si>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</si>
  <si>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</si>
  <si>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</si>
  <si>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</si>
  <si>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</si>
  <si>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</si>
  <si>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</si>
  <si>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</si>
  <si>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</si>
  <si>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</si>
  <si>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</si>
  <si>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</si>
  <si>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</si>
  <si>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</si>
  <si>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</si>
  <si>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</si>
  <si>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</si>
  <si>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</si>
  <si>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Customer A</t>
  </si>
  <si>
    <t>Customer B</t>
  </si>
  <si>
    <t>% kWh/kW</t>
  </si>
  <si>
    <t>Geometric Mean</t>
  </si>
  <si>
    <t>Historical kWh</t>
  </si>
  <si>
    <t>Forecasted kWh</t>
  </si>
  <si>
    <t>Historical kW</t>
  </si>
  <si>
    <t>Percentage kW/kWh</t>
  </si>
  <si>
    <t>Total kW Forecast</t>
  </si>
  <si>
    <t>Forecast % Error</t>
  </si>
  <si>
    <t>Absolute Forecast % Error</t>
  </si>
  <si>
    <t>Regression Statistics</t>
  </si>
  <si>
    <t>Multiple R</t>
  </si>
  <si>
    <t>R Square</t>
  </si>
  <si>
    <t>Adjusted R Square</t>
  </si>
  <si>
    <t>Standard Error</t>
  </si>
  <si>
    <t>Observations</t>
  </si>
  <si>
    <t>ANOVA</t>
  </si>
  <si>
    <t>df</t>
  </si>
  <si>
    <t>SS</t>
  </si>
  <si>
    <t>MS</t>
  </si>
  <si>
    <t>F</t>
  </si>
  <si>
    <t>Significance F</t>
  </si>
  <si>
    <t>Regression</t>
  </si>
  <si>
    <t>Residual</t>
  </si>
  <si>
    <t>Coefficients</t>
  </si>
  <si>
    <t>t Stat</t>
  </si>
  <si>
    <t>P-value</t>
  </si>
  <si>
    <t>Lower 95%</t>
  </si>
  <si>
    <t>Upper 95%</t>
  </si>
  <si>
    <t>Lower 95.0%</t>
  </si>
  <si>
    <t>Upper 95.0%</t>
  </si>
  <si>
    <t>Intercept</t>
  </si>
  <si>
    <t>Variable</t>
  </si>
  <si>
    <t>T-Stat</t>
  </si>
  <si>
    <t>Historical Purchases</t>
  </si>
  <si>
    <t>Large Lost kWh</t>
  </si>
  <si>
    <t>Small Lost kWh</t>
  </si>
  <si>
    <t>1) Average Loss Factor utilized for 2015 and 2016 Total Billed calculation is the average of 2007 to 2014 actual loss factors.</t>
  </si>
  <si>
    <t>Large Use (CK)</t>
  </si>
  <si>
    <t>Large Use (SMP)</t>
  </si>
  <si>
    <t>06_LargeUse_Ded</t>
  </si>
  <si>
    <t>Calculation of CDM Adjustment for the Load Forecast</t>
  </si>
  <si>
    <t>2015 Programs</t>
  </si>
  <si>
    <t>2016 Programs</t>
  </si>
  <si>
    <t>2017 Programs</t>
  </si>
  <si>
    <t>2018 Programs</t>
  </si>
  <si>
    <t>2019 Programs</t>
  </si>
  <si>
    <t>2020 Programs</t>
  </si>
  <si>
    <t>Intermediate</t>
  </si>
  <si>
    <t>% Allocator</t>
  </si>
  <si>
    <t>2015 Load Forecast Adjustment</t>
  </si>
  <si>
    <t>2014 Programs (50%)</t>
  </si>
  <si>
    <t>2015 Programs (50%)</t>
  </si>
  <si>
    <t>2016 Load Forecast Adjustment</t>
  </si>
  <si>
    <t>2015 Programs (100%)</t>
  </si>
  <si>
    <t>2016 Programs (50%)</t>
  </si>
  <si>
    <t>Total Planned Programs</t>
  </si>
  <si>
    <t>Allocated Tasked Savings</t>
  </si>
  <si>
    <t>2015 Tasked Savings</t>
  </si>
  <si>
    <t>2015 Planned Savings</t>
  </si>
  <si>
    <t>2016 Planned Savings</t>
  </si>
  <si>
    <t>2016 Tasked Savings</t>
  </si>
  <si>
    <t>Allocation of Tasked Savings by Year</t>
  </si>
  <si>
    <t>Planned Program Savings by Year</t>
  </si>
  <si>
    <t>Annual % of Planned</t>
  </si>
  <si>
    <t>Allocation of 2015 &amp; 2016 Tasked Savings by Rate Class</t>
  </si>
  <si>
    <t>Calculation of Load Forecast Adjustment by Rate Class</t>
  </si>
  <si>
    <t>EB-2015-0061, Cost of Service Application</t>
  </si>
  <si>
    <t>Historical and Weather Normalized Load Forecast</t>
  </si>
  <si>
    <t>Line No.</t>
  </si>
  <si>
    <t>Rate Class</t>
  </si>
  <si>
    <t>Cust/Conn</t>
  </si>
  <si>
    <t xml:space="preserve">GS&lt;50 </t>
  </si>
  <si>
    <t>GS&gt;50</t>
  </si>
  <si>
    <t>Sentinel Lights</t>
  </si>
  <si>
    <t>Street Lights</t>
  </si>
  <si>
    <t>Embedded Distributor</t>
  </si>
  <si>
    <t>Billing Determinant</t>
  </si>
  <si>
    <t>Rate</t>
  </si>
  <si>
    <t>Amount</t>
  </si>
  <si>
    <t>Commodity</t>
  </si>
  <si>
    <t>Wholesale Market Services &amp; Rural Rate Assistance</t>
  </si>
  <si>
    <t>General Service &lt;50</t>
  </si>
  <si>
    <t>General Service &gt;50</t>
  </si>
  <si>
    <t>Market Participant</t>
  </si>
  <si>
    <t>Large User</t>
  </si>
  <si>
    <t>Umetered Scatter Load</t>
  </si>
  <si>
    <t>Smart Metering Entiry</t>
  </si>
  <si>
    <t>Low Voltage</t>
  </si>
  <si>
    <t>Cust</t>
  </si>
  <si>
    <t>Transmission - Network</t>
  </si>
  <si>
    <t>Transmission - Connection</t>
  </si>
  <si>
    <t>GRAND TOTAL</t>
  </si>
  <si>
    <t>Supply Cost ($/MWh)
For the period from May 1, 2015 to April 30, 2016</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</si>
  <si>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</si>
  <si>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</si>
  <si>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</si>
  <si>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</si>
  <si>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</si>
  <si>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</si>
  <si>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</si>
  <si>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</si>
  <si>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</si>
  <si>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Intermediate w/Self Gen</t>
  </si>
  <si>
    <t>Standby</t>
  </si>
  <si>
    <t>Allocation %</t>
  </si>
  <si>
    <t>Commodty Rate ($/kWh)</t>
  </si>
  <si>
    <t>Weighted Average Rate ($/kWh)</t>
  </si>
  <si>
    <t>2014 RPP 
kWh</t>
  </si>
  <si>
    <t>2015 Proposed</t>
  </si>
  <si>
    <t>2016 Proposed</t>
  </si>
  <si>
    <t>Umetered Scattered Load</t>
  </si>
  <si>
    <t>2014 Non- RPP kWh</t>
  </si>
  <si>
    <t>RTSR - Network</t>
  </si>
  <si>
    <t>RTSR - Connection</t>
  </si>
  <si>
    <t>WMP</t>
  </si>
  <si>
    <t>Cost of Power Estimates</t>
  </si>
  <si>
    <t>Unmetered Scattered Load (Conn)</t>
  </si>
  <si>
    <t>Sentinel Lighting (Conn)</t>
  </si>
  <si>
    <t>Street Lighting (Conn)</t>
  </si>
  <si>
    <t>EPI Loss Factors:</t>
  </si>
  <si>
    <t>Total Sec &lt;5</t>
  </si>
  <si>
    <t>Total Sec &gt;5</t>
  </si>
  <si>
    <t>Total Pri &lt;5</t>
  </si>
  <si>
    <t>Total Pri &gt;5</t>
  </si>
  <si>
    <t>Unit</t>
  </si>
  <si>
    <t>Load Forecast</t>
  </si>
  <si>
    <t>Cost of Power Rates Utilized</t>
  </si>
  <si>
    <t>Time</t>
  </si>
  <si>
    <t>Heating Degrees</t>
  </si>
  <si>
    <t>Cooling Degrees</t>
  </si>
  <si>
    <t>Economic Adjustment Factor</t>
  </si>
  <si>
    <t>Year End Customer/Connections</t>
  </si>
  <si>
    <t>Restated Average Annual Customers/Connections</t>
  </si>
  <si>
    <t>Forecasted Customers/Connections</t>
  </si>
  <si>
    <t>CDM ADJUSTMENT</t>
  </si>
  <si>
    <t>WMP ADJUSTMENT</t>
  </si>
  <si>
    <t>TOTAL ADJUSTED WEATHER NORMALIZED LOAD FORECAST</t>
  </si>
  <si>
    <t>New Framework Programs</t>
  </si>
  <si>
    <t>Old Framework Programs</t>
  </si>
  <si>
    <t>Allocation of 2015 Tasked Savings</t>
  </si>
  <si>
    <t>Allocation of 2016 Tasked Savings</t>
  </si>
  <si>
    <t>Calculation of Wholesale Market Participant</t>
  </si>
  <si>
    <t>WMP Adjustment</t>
  </si>
  <si>
    <t>Add: WMP</t>
  </si>
  <si>
    <t>2015 &amp; 2016 kWh Purchases Forecast</t>
  </si>
  <si>
    <t>Regression Analysis</t>
  </si>
  <si>
    <t>Corrected Historical kWh</t>
  </si>
  <si>
    <t>CK Heating Degrees</t>
  </si>
  <si>
    <t>CK Cooling Degrees</t>
  </si>
  <si>
    <t>Manufacting 
(x 1,000)</t>
  </si>
  <si>
    <t>Total Adjusted Forecasted Customers/Connections</t>
  </si>
  <si>
    <t>Total Adjusted Demand (kW)</t>
  </si>
  <si>
    <t>Total Demand Forecast (kW)</t>
  </si>
  <si>
    <t xml:space="preserve">GS &lt; 50 kW </t>
  </si>
  <si>
    <t>GS &gt; 50 - 4,999 kW</t>
  </si>
  <si>
    <t>SMP</t>
  </si>
  <si>
    <t>Street Lighting Connections</t>
  </si>
  <si>
    <t>Sentinel Lighting Connections</t>
  </si>
  <si>
    <t>Unmetered Scattered Load Connections</t>
  </si>
  <si>
    <t>Intermediate with Self Generation</t>
  </si>
  <si>
    <t>Customers/Connections</t>
  </si>
  <si>
    <t>Newbury</t>
  </si>
  <si>
    <t xml:space="preserve">Dutton </t>
  </si>
  <si>
    <t>CK</t>
  </si>
  <si>
    <t>Percentage of Total</t>
  </si>
  <si>
    <t>Billing Determinants</t>
  </si>
  <si>
    <t xml:space="preserve">Line No. </t>
  </si>
  <si>
    <t>Allocation of 2014 Billing Determinents</t>
  </si>
  <si>
    <t>2016 Cost of Service, 2016 Revenue at Old Rates</t>
  </si>
  <si>
    <t>2016 Allocated</t>
  </si>
  <si>
    <t>Dutton</t>
  </si>
  <si>
    <t>Approved 2015 Rates</t>
  </si>
  <si>
    <t>Distribution Revenue</t>
  </si>
  <si>
    <t>TOA</t>
  </si>
  <si>
    <t>Total Distribution Revenue</t>
  </si>
  <si>
    <t>FIXED REVENUE</t>
  </si>
  <si>
    <t>VOLUMETRIC REVENUE</t>
  </si>
  <si>
    <t>Conn</t>
  </si>
  <si>
    <t>Type</t>
  </si>
  <si>
    <t>Average Rates for CA Model</t>
  </si>
  <si>
    <t>Link</t>
  </si>
  <si>
    <t xml:space="preserve">Standby </t>
  </si>
  <si>
    <t xml:space="preserve">Large Use - CK </t>
  </si>
  <si>
    <t>Large Use - SMP</t>
  </si>
  <si>
    <t>Large Use - Total</t>
  </si>
  <si>
    <t>EB-2015-0061, Cost of Service IR Responses</t>
  </si>
  <si>
    <t>Weather Normalized Load Forecast by Rate Class</t>
  </si>
  <si>
    <t>Weather Normalized Load Forecast by Rate Class - Used for Cost Allocation and Distribution Rate Design</t>
  </si>
  <si>
    <t>Summary of Weather Normalized Load Forecast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</si>
</sst>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_(* #,##0_);_(* \(#,##0\);_(* &quot;-&quot;??_);_(@_)"/>
    <numFmt numFmtId="165" formatCode="_(* #,##0.0000_);_(* \(#,##0.0000\);_(* &quot;-&quot;??_);_(@_)"/>
    <numFmt numFmtId="166" formatCode="_-* #,##0.00_-;\-* #,##0.00_-;_-* &quot;-&quot;??_-;_-@_-"/>
    <numFmt numFmtId="167" formatCode="0.0%"/>
    <numFmt numFmtId="168" formatCode="0.000%"/>
    <numFmt numFmtId="169" formatCode="0.0"/>
    <numFmt numFmtId="170" formatCode="_-* #,##0_-;\-* #,##0_-;_-* &quot;-&quot;??_-;_-@_-"/>
    <numFmt numFmtId="171" formatCode="&quot;$&quot;#,##0.0000"/>
    <numFmt numFmtId="172" formatCode="&quot;$&quot;#,##0"/>
    <numFmt numFmtId="173" formatCode="&quot;$&quot;#,##0.00"/>
    <numFmt numFmtId="174" formatCode="_(&quot;$&quot;* #,##0_);_(&quot;$&quot;* \(#,##0\);_(&quot;$&quot;* &quot;-&quot;??_);_(@_)"/>
    <numFmt numFmtId="175" formatCode="_-* #,##0.0000_-;\-* #,##0.0000_-;_-* &quot;-&quot;??_-;_-@_-"/>
  </numFmts>
  <fonts count="25" x14ac:knownFonts="1">
    <font>
      <sz val="11"/>
      <color theme="1"/>
      <name val="Calibri"/>
      <family val="2"/>
    </font>
    <font>
      <sz val="11"/>
      <color theme="1"/>
      <name val="Calibri"/>
      <family val="2"/>
    </font>
    <font>
      <b/>
      <sz val="11"/>
      <color theme="1"/>
      <name val="Calibri"/>
      <family val="2"/>
    </font>
    <font>
      <b/>
      <sz val="14"/>
      <color theme="1"/>
      <name val="Calibri"/>
      <family val="2"/>
    </font>
    <font>
      <sz val="11"/>
      <color theme="1"/>
      <name val="Calibri"/>
      <family val="2"/>
      <scheme val="minor"/>
    </font>
    <font>
      <sz val="8"/>
      <color theme="1"/>
      <name val="Calibri"/>
      <family val="2"/>
    </font>
    <font>
      <b/>
      <sz val="12"/>
      <color theme="1"/>
      <name val="Calibri"/>
      <family val="2"/>
    </font>
    <font>
      <sz val="11"/>
      <color theme="9"/>
      <name val="Calibri"/>
      <family val="2"/>
    </font>
    <font>
      <b/>
      <sz val="11"/>
      <color theme="0"/>
      <name val="Calibri"/>
      <family val="2"/>
    </font>
    <font>
      <b/>
      <sz val="11"/>
      <color theme="1"/>
      <name val="Calibri"/>
      <family val="2"/>
      <scheme val="minor"/>
    </font>
    <font>
      <i/>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sz val="11"/>
      <name val="Calibri"/>
      <family val="2"/>
      <scheme val="minor"/>
    </font>
    <font>
      <b/>
      <sz val="11"/>
      <name val="Calibri"/>
      <family val="2"/>
      <scheme val="minor"/>
    </font>
    <font>
      <b/>
      <sz val="11"/>
      <name val="Calibri"/>
      <family val="2"/>
    </font>
    <font>
      <b/>
      <sz val="8"/>
      <color theme="1"/>
      <name val="Calibri"/>
      <family val="2"/>
    </font>
    <font>
      <sz val="9"/>
      <color theme="1"/>
      <name val="Calibri"/>
      <family val="2"/>
    </font>
    <font>
      <b/>
      <sz val="9"/>
      <color theme="1"/>
      <name val="Calibri"/>
      <family val="2"/>
    </font>
    <font>
      <sz val="9"/>
      <color indexed="81"/>
      <name val="Tahoma"/>
      <family val="2"/>
    </font>
    <font>
      <b/>
      <sz val="9"/>
      <color indexed="81"/>
      <name val="Tahoma"/>
      <family val="2"/>
    </font>
    <font>
      <b/>
      <sz val="24"/>
      <color theme="0"/>
      <name val="Calibri"/>
      <family val="2"/>
    </font>
    <font>
      <u/>
      <sz val="11"/>
      <color theme="10"/>
      <name val="Calibri"/>
      <family val="2"/>
    </font>
    <font>
      <sz val="11"/>
      <color theme="0" tint="-0.499984740745262"/>
      <name val="Calibri"/>
      <family val="2"/>
    </font>
  </fonts>
  <fills count="1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bgColor indexed="64"/>
      </patternFill>
    </fill>
    <fill>
      <patternFill patternType="solid">
        <fgColor theme="0" tint="-0.499984740745262"/>
        <bgColor indexed="64"/>
      </patternFill>
    </fill>
  </fills>
  <borders count="6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diagonal/>
    </border>
    <border>
      <left/>
      <right style="thin">
        <color indexed="64"/>
      </right>
      <top style="thin">
        <color indexed="64"/>
      </top>
      <bottom style="thin">
        <color theme="0" tint="-0.249977111117893"/>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right style="thin">
        <color theme="0" tint="-0.249977111117893"/>
      </right>
      <top/>
      <bottom style="thin">
        <color indexed="64"/>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indexed="64"/>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6" fontId="4" fillId="0" borderId="0" applyFont="0" applyFill="0" applyBorder="0" applyAlignment="0" applyProtection="0"/>
    <xf numFmtId="44"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1" fillId="6" borderId="0" applyNumberFormat="0" applyBorder="0" applyAlignment="0" applyProtection="0"/>
    <xf numFmtId="166" fontId="13" fillId="0" borderId="0" applyFont="0" applyFill="0" applyBorder="0" applyAlignment="0" applyProtection="0"/>
    <xf numFmtId="0" fontId="23" fillId="0" borderId="0" applyNumberFormat="0" applyFill="0" applyBorder="0" applyAlignment="0" applyProtection="0"/>
  </cellStyleXfs>
  <cellXfs count="546">
    <xf numFmtId="0" fontId="0" fillId="0" borderId="0" xfId="0"/>
    <xf numFmtId="164" fontId="0" fillId="0" borderId="0" xfId="1" applyNumberFormat="1" applyFont="1"/>
    <xf numFmtId="164" fontId="0" fillId="0" borderId="0" xfId="0" applyNumberFormat="1"/>
    <xf numFmtId="0" fontId="0" fillId="0" borderId="1" xfId="0" applyBorder="1"/>
    <xf numFmtId="0" fontId="2" fillId="2" borderId="1" xfId="0" applyFont="1" applyFill="1" applyBorder="1"/>
    <xf numFmtId="164" fontId="0" fillId="0" borderId="1" xfId="1" applyNumberFormat="1" applyFont="1" applyBorder="1"/>
    <xf numFmtId="164" fontId="0" fillId="0" borderId="1" xfId="0" applyNumberFormat="1" applyBorder="1"/>
    <xf numFmtId="165" fontId="0" fillId="0" borderId="1" xfId="1" applyNumberFormat="1" applyFont="1" applyBorder="1"/>
    <xf numFmtId="0" fontId="2" fillId="2" borderId="2" xfId="0" applyFont="1" applyFill="1" applyBorder="1"/>
    <xf numFmtId="0" fontId="2" fillId="2" borderId="3" xfId="0" applyFont="1" applyFill="1" applyBorder="1" applyAlignment="1">
      <alignment wrapText="1"/>
    </xf>
    <xf numFmtId="164" fontId="0" fillId="0" borderId="3" xfId="0" applyNumberFormat="1" applyBorder="1"/>
    <xf numFmtId="0" fontId="0" fillId="0" borderId="3" xfId="0" applyBorder="1"/>
    <xf numFmtId="0" fontId="0" fillId="0" borderId="7" xfId="0" applyBorder="1"/>
    <xf numFmtId="0" fontId="0" fillId="0" borderId="8" xfId="0" applyBorder="1"/>
    <xf numFmtId="0" fontId="0" fillId="0" borderId="9" xfId="0" applyBorder="1" applyAlignment="1">
      <alignment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164" fontId="0" fillId="0" borderId="3" xfId="1" applyNumberFormat="1" applyFont="1" applyBorder="1"/>
    <xf numFmtId="164" fontId="0" fillId="0" borderId="5" xfId="1" applyNumberFormat="1" applyFont="1" applyBorder="1"/>
    <xf numFmtId="164" fontId="0" fillId="0" borderId="6" xfId="1" applyNumberFormat="1" applyFont="1" applyBorder="1"/>
    <xf numFmtId="165" fontId="0" fillId="0" borderId="14" xfId="1" applyNumberFormat="1" applyFont="1" applyBorder="1"/>
    <xf numFmtId="0" fontId="0" fillId="0" borderId="15" xfId="0" applyBorder="1"/>
    <xf numFmtId="0" fontId="2" fillId="2" borderId="8" xfId="0" applyFont="1" applyFill="1" applyBorder="1"/>
    <xf numFmtId="0" fontId="2" fillId="2" borderId="9" xfId="0" applyFont="1" applyFill="1" applyBorder="1"/>
    <xf numFmtId="164" fontId="0" fillId="0" borderId="14" xfId="1" applyNumberFormat="1" applyFont="1" applyBorder="1"/>
    <xf numFmtId="164"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0" fillId="0" borderId="4" xfId="0" applyBorder="1" applyAlignment="1">
      <alignment horizontal="left"/>
    </xf>
    <xf numFmtId="0" fontId="3" fillId="0" borderId="0" xfId="0" applyFont="1" applyBorder="1"/>
    <xf numFmtId="0" fontId="0" fillId="0" borderId="0" xfId="0" applyBorder="1"/>
    <xf numFmtId="0" fontId="3"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4" fontId="0" fillId="0" borderId="1" xfId="1" applyNumberFormat="1" applyFont="1" applyFill="1" applyBorder="1"/>
    <xf numFmtId="168" fontId="0" fillId="0" borderId="1" xfId="2" applyNumberFormat="1" applyFont="1" applyBorder="1"/>
    <xf numFmtId="0" fontId="2" fillId="3" borderId="1" xfId="0" applyFont="1" applyFill="1" applyBorder="1"/>
    <xf numFmtId="164" fontId="2" fillId="3" borderId="1" xfId="1" applyNumberFormat="1" applyFont="1" applyFill="1" applyBorder="1"/>
    <xf numFmtId="0" fontId="0" fillId="0" borderId="2" xfId="0" applyBorder="1"/>
    <xf numFmtId="0" fontId="2" fillId="2" borderId="3" xfId="0" applyFont="1" applyFill="1" applyBorder="1"/>
    <xf numFmtId="0" fontId="2" fillId="3" borderId="2" xfId="0" applyFont="1" applyFill="1" applyBorder="1"/>
    <xf numFmtId="164" fontId="2" fillId="3" borderId="3" xfId="1" applyNumberFormat="1" applyFont="1" applyFill="1" applyBorder="1"/>
    <xf numFmtId="0" fontId="0" fillId="0" borderId="4" xfId="0" applyBorder="1"/>
    <xf numFmtId="164" fontId="0" fillId="0" borderId="5" xfId="0" applyNumberFormat="1" applyBorder="1"/>
    <xf numFmtId="164" fontId="0" fillId="0" borderId="6" xfId="0" applyNumberFormat="1" applyBorder="1"/>
    <xf numFmtId="164" fontId="0" fillId="0" borderId="8" xfId="1" applyNumberFormat="1" applyFont="1" applyBorder="1"/>
    <xf numFmtId="164" fontId="0" fillId="0" borderId="9" xfId="1" applyNumberFormat="1" applyFont="1" applyBorder="1"/>
    <xf numFmtId="0" fontId="2" fillId="3" borderId="20" xfId="0" applyFont="1" applyFill="1" applyBorder="1" applyAlignment="1">
      <alignment horizontal="center" vertical="center" wrapText="1"/>
    </xf>
    <xf numFmtId="164" fontId="0" fillId="0" borderId="21" xfId="1" applyNumberFormat="1" applyFont="1" applyBorder="1"/>
    <xf numFmtId="164" fontId="0" fillId="0" borderId="22" xfId="1" applyNumberFormat="1" applyFont="1" applyBorder="1"/>
    <xf numFmtId="0" fontId="0" fillId="0" borderId="22" xfId="0" applyBorder="1"/>
    <xf numFmtId="164" fontId="0" fillId="0" borderId="22" xfId="0" applyNumberFormat="1" applyBorder="1"/>
    <xf numFmtId="168" fontId="0" fillId="0" borderId="22" xfId="2" applyNumberFormat="1" applyFont="1" applyBorder="1"/>
    <xf numFmtId="0" fontId="2" fillId="2" borderId="22" xfId="0" applyFont="1" applyFill="1" applyBorder="1"/>
    <xf numFmtId="164" fontId="2" fillId="3" borderId="22" xfId="1" applyNumberFormat="1" applyFont="1" applyFill="1" applyBorder="1"/>
    <xf numFmtId="164" fontId="0" fillId="0" borderId="23" xfId="0" applyNumberFormat="1" applyBorder="1"/>
    <xf numFmtId="0" fontId="2" fillId="3" borderId="10" xfId="0" applyFont="1" applyFill="1" applyBorder="1" applyAlignment="1">
      <alignment horizontal="center" vertical="center" wrapText="1"/>
    </xf>
    <xf numFmtId="164" fontId="0" fillId="0" borderId="7" xfId="1" applyNumberFormat="1" applyFont="1" applyBorder="1"/>
    <xf numFmtId="164" fontId="0" fillId="0" borderId="2" xfId="1" applyNumberFormat="1" applyFont="1" applyBorder="1"/>
    <xf numFmtId="164" fontId="0" fillId="0" borderId="2" xfId="0" applyNumberFormat="1" applyBorder="1"/>
    <xf numFmtId="164" fontId="2" fillId="3" borderId="2" xfId="1" applyNumberFormat="1" applyFont="1" applyFill="1" applyBorder="1"/>
    <xf numFmtId="164" fontId="0" fillId="0" borderId="4" xfId="0" applyNumberFormat="1" applyBorder="1"/>
    <xf numFmtId="0" fontId="0" fillId="0" borderId="13" xfId="0" applyBorder="1"/>
    <xf numFmtId="0" fontId="0" fillId="0" borderId="14" xfId="0" applyBorder="1"/>
    <xf numFmtId="0" fontId="0" fillId="0" borderId="24" xfId="0" applyBorder="1"/>
    <xf numFmtId="164" fontId="0" fillId="0" borderId="13" xfId="1" applyNumberFormat="1" applyFont="1" applyBorder="1"/>
    <xf numFmtId="164" fontId="0" fillId="0" borderId="15" xfId="1" applyNumberFormat="1" applyFont="1" applyBorder="1"/>
    <xf numFmtId="0" fontId="0" fillId="0" borderId="17" xfId="0" applyBorder="1"/>
    <xf numFmtId="164" fontId="0" fillId="0" borderId="18" xfId="0" applyNumberFormat="1" applyBorder="1"/>
    <xf numFmtId="164" fontId="0" fillId="0" borderId="25" xfId="0" applyNumberFormat="1" applyBorder="1"/>
    <xf numFmtId="164" fontId="0" fillId="0" borderId="17" xfId="0" applyNumberFormat="1" applyBorder="1"/>
    <xf numFmtId="164" fontId="0" fillId="0" borderId="19" xfId="0" applyNumberFormat="1" applyBorder="1"/>
    <xf numFmtId="0" fontId="3" fillId="2" borderId="1" xfId="0" applyFont="1" applyFill="1" applyBorder="1"/>
    <xf numFmtId="165" fontId="0" fillId="0" borderId="3" xfId="1" applyNumberFormat="1" applyFont="1" applyBorder="1"/>
    <xf numFmtId="165" fontId="0" fillId="0" borderId="3" xfId="0" applyNumberFormat="1" applyBorder="1"/>
    <xf numFmtId="0" fontId="0" fillId="0" borderId="5" xfId="0" applyBorder="1"/>
    <xf numFmtId="165" fontId="0" fillId="0" borderId="6" xfId="0" applyNumberFormat="1" applyBorder="1"/>
    <xf numFmtId="164" fontId="0" fillId="0" borderId="8" xfId="0" applyNumberFormat="1" applyBorder="1"/>
    <xf numFmtId="165" fontId="0" fillId="0" borderId="9" xfId="1" applyNumberFormat="1" applyFont="1" applyBorder="1"/>
    <xf numFmtId="0" fontId="3" fillId="2" borderId="7" xfId="0" applyFont="1" applyFill="1" applyBorder="1" applyAlignment="1">
      <alignment horizontal="left"/>
    </xf>
    <xf numFmtId="0" fontId="3" fillId="2" borderId="2" xfId="0" applyFont="1" applyFill="1" applyBorder="1"/>
    <xf numFmtId="0" fontId="2" fillId="3" borderId="10" xfId="0" applyFont="1" applyFill="1" applyBorder="1" applyAlignment="1">
      <alignment horizontal="left"/>
    </xf>
    <xf numFmtId="164" fontId="2" fillId="3" borderId="11" xfId="0" applyNumberFormat="1" applyFont="1" applyFill="1" applyBorder="1"/>
    <xf numFmtId="164" fontId="2" fillId="3" borderId="12" xfId="0" applyNumberFormat="1" applyFont="1" applyFill="1" applyBorder="1"/>
    <xf numFmtId="165" fontId="2" fillId="3" borderId="11" xfId="1" applyNumberFormat="1" applyFont="1" applyFill="1" applyBorder="1"/>
    <xf numFmtId="0" fontId="2" fillId="3" borderId="12"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5" borderId="2" xfId="0" applyFont="1" applyFill="1" applyBorder="1"/>
    <xf numFmtId="0" fontId="2" fillId="5" borderId="1" xfId="0" applyFont="1" applyFill="1" applyBorder="1"/>
    <xf numFmtId="164" fontId="2" fillId="5" borderId="1" xfId="1" applyNumberFormat="1" applyFont="1" applyFill="1" applyBorder="1"/>
    <xf numFmtId="164" fontId="2" fillId="5" borderId="22" xfId="1" applyNumberFormat="1" applyFont="1" applyFill="1" applyBorder="1"/>
    <xf numFmtId="164" fontId="2" fillId="5" borderId="2" xfId="1" applyNumberFormat="1" applyFont="1" applyFill="1" applyBorder="1"/>
    <xf numFmtId="164" fontId="2" fillId="5" borderId="3" xfId="1" applyNumberFormat="1" applyFont="1" applyFill="1" applyBorder="1"/>
    <xf numFmtId="164" fontId="0" fillId="0" borderId="0" xfId="1" applyNumberFormat="1" applyFont="1" applyBorder="1"/>
    <xf numFmtId="164" fontId="3" fillId="0" borderId="0" xfId="1" applyNumberFormat="1" applyFont="1" applyBorder="1"/>
    <xf numFmtId="164" fontId="3" fillId="0" borderId="16" xfId="1" applyNumberFormat="1" applyFont="1" applyBorder="1"/>
    <xf numFmtId="164"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4" fontId="7" fillId="0" borderId="1" xfId="1" applyNumberFormat="1" applyFont="1" applyBorder="1"/>
    <xf numFmtId="43" fontId="0" fillId="0" borderId="1" xfId="1" applyNumberFormat="1" applyFont="1" applyBorder="1"/>
    <xf numFmtId="0" fontId="6" fillId="3" borderId="1" xfId="0" applyFont="1" applyFill="1" applyBorder="1" applyAlignment="1">
      <alignment horizontal="center" vertical="center"/>
    </xf>
    <xf numFmtId="164" fontId="6" fillId="3" borderId="1" xfId="1" applyNumberFormat="1" applyFont="1" applyFill="1" applyBorder="1" applyAlignment="1">
      <alignment horizontal="center" vertical="center"/>
    </xf>
    <xf numFmtId="164"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4" fontId="2" fillId="3" borderId="1" xfId="1" applyNumberFormat="1" applyFont="1" applyFill="1" applyBorder="1" applyAlignment="1">
      <alignment horizontal="center" vertical="center"/>
    </xf>
    <xf numFmtId="10" fontId="0" fillId="0" borderId="1" xfId="0" applyNumberFormat="1" applyBorder="1"/>
    <xf numFmtId="0" fontId="3" fillId="2" borderId="3"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26" xfId="0" applyFont="1" applyFill="1" applyBorder="1"/>
    <xf numFmtId="0" fontId="0" fillId="2" borderId="27" xfId="0" applyFill="1" applyBorder="1"/>
    <xf numFmtId="0" fontId="0" fillId="2" borderId="28" xfId="0" applyFill="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4" fontId="0" fillId="0" borderId="3" xfId="1" applyNumberFormat="1" applyFont="1" applyFill="1" applyBorder="1"/>
    <xf numFmtId="0" fontId="0" fillId="0" borderId="0" xfId="0" applyFill="1"/>
    <xf numFmtId="0" fontId="0" fillId="0" borderId="4" xfId="0" applyFill="1" applyBorder="1" applyAlignment="1">
      <alignment horizontal="left"/>
    </xf>
    <xf numFmtId="164" fontId="0" fillId="0" borderId="5" xfId="1" applyNumberFormat="1" applyFont="1" applyFill="1" applyBorder="1"/>
    <xf numFmtId="164" fontId="0" fillId="0" borderId="6" xfId="1" applyNumberFormat="1" applyFont="1" applyFill="1" applyBorder="1"/>
    <xf numFmtId="0" fontId="0" fillId="0" borderId="2" xfId="0" applyBorder="1" applyAlignment="1">
      <alignment horizontal="left" vertical="center"/>
    </xf>
    <xf numFmtId="167" fontId="0" fillId="0" borderId="3" xfId="0" applyNumberFormat="1" applyBorder="1"/>
    <xf numFmtId="0" fontId="0" fillId="0" borderId="2" xfId="0" applyBorder="1" applyAlignment="1">
      <alignment vertical="center"/>
    </xf>
    <xf numFmtId="0" fontId="0" fillId="0" borderId="4" xfId="0" applyFill="1" applyBorder="1" applyAlignment="1">
      <alignment vertical="center"/>
    </xf>
    <xf numFmtId="164" fontId="0" fillId="0" borderId="5" xfId="0" applyNumberFormat="1" applyFill="1" applyBorder="1" applyAlignment="1">
      <alignment vertical="center"/>
    </xf>
    <xf numFmtId="164" fontId="0" fillId="0" borderId="6" xfId="0" applyNumberFormat="1" applyFill="1" applyBorder="1" applyAlignment="1">
      <alignment vertical="center"/>
    </xf>
    <xf numFmtId="0" fontId="0" fillId="0" borderId="29" xfId="0" applyBorder="1"/>
    <xf numFmtId="0" fontId="0" fillId="0" borderId="30" xfId="0" applyBorder="1"/>
    <xf numFmtId="0" fontId="0" fillId="0" borderId="31" xfId="0" applyBorder="1" applyAlignment="1">
      <alignment wrapText="1"/>
    </xf>
    <xf numFmtId="0" fontId="3" fillId="2" borderId="10" xfId="0" applyFont="1" applyFill="1" applyBorder="1" applyAlignment="1">
      <alignment horizontal="left"/>
    </xf>
    <xf numFmtId="0" fontId="2" fillId="2" borderId="11" xfId="0" applyFont="1" applyFill="1" applyBorder="1"/>
    <xf numFmtId="0" fontId="2" fillId="2" borderId="12" xfId="0" applyFont="1" applyFill="1" applyBorder="1"/>
    <xf numFmtId="0" fontId="0" fillId="0" borderId="17" xfId="0" applyBorder="1" applyAlignment="1">
      <alignment horizontal="left"/>
    </xf>
    <xf numFmtId="164" fontId="0" fillId="0" borderId="18" xfId="1" applyNumberFormat="1" applyFont="1" applyBorder="1"/>
    <xf numFmtId="0" fontId="0" fillId="0" borderId="19" xfId="0" applyBorder="1"/>
    <xf numFmtId="0" fontId="0" fillId="0" borderId="6" xfId="0" applyBorder="1"/>
    <xf numFmtId="10" fontId="0" fillId="0" borderId="18" xfId="1" applyNumberFormat="1" applyFont="1" applyBorder="1"/>
    <xf numFmtId="10" fontId="0" fillId="0" borderId="14" xfId="1" applyNumberFormat="1" applyFont="1" applyBorder="1"/>
    <xf numFmtId="0" fontId="2" fillId="3" borderId="10" xfId="0" applyFont="1" applyFill="1" applyBorder="1"/>
    <xf numFmtId="10" fontId="2" fillId="3" borderId="11" xfId="1" applyNumberFormat="1" applyFont="1" applyFill="1" applyBorder="1"/>
    <xf numFmtId="164" fontId="0" fillId="0" borderId="9" xfId="0" applyNumberFormat="1" applyBorder="1"/>
    <xf numFmtId="0" fontId="0" fillId="0" borderId="17" xfId="0" applyBorder="1" applyAlignment="1">
      <alignment horizontal="left" vertical="center"/>
    </xf>
    <xf numFmtId="167" fontId="0" fillId="0" borderId="18" xfId="2" applyNumberFormat="1" applyFont="1" applyBorder="1"/>
    <xf numFmtId="167" fontId="0" fillId="0" borderId="19" xfId="0" applyNumberFormat="1" applyBorder="1"/>
    <xf numFmtId="0" fontId="0" fillId="0" borderId="4" xfId="0" applyBorder="1" applyAlignment="1">
      <alignment horizontal="left" vertical="center"/>
    </xf>
    <xf numFmtId="0" fontId="0" fillId="0" borderId="13" xfId="0" applyBorder="1" applyAlignment="1">
      <alignment vertical="center"/>
    </xf>
    <xf numFmtId="164" fontId="0" fillId="0" borderId="18" xfId="1" applyNumberFormat="1" applyFont="1" applyBorder="1" applyAlignment="1">
      <alignment vertical="center"/>
    </xf>
    <xf numFmtId="164" fontId="0" fillId="0" borderId="19" xfId="1" applyNumberFormat="1" applyFont="1" applyBorder="1" applyAlignment="1">
      <alignment vertical="center"/>
    </xf>
    <xf numFmtId="164" fontId="0" fillId="0" borderId="5" xfId="1" applyNumberFormat="1" applyFont="1" applyBorder="1" applyAlignment="1">
      <alignment vertical="center"/>
    </xf>
    <xf numFmtId="164" fontId="0" fillId="0" borderId="6" xfId="1" applyNumberFormat="1" applyFont="1" applyBorder="1" applyAlignment="1">
      <alignment vertical="center"/>
    </xf>
    <xf numFmtId="164" fontId="0" fillId="0" borderId="19" xfId="1" applyNumberFormat="1" applyFont="1" applyBorder="1"/>
    <xf numFmtId="0" fontId="0" fillId="0" borderId="17" xfId="0" applyFill="1" applyBorder="1" applyAlignment="1">
      <alignment vertical="center"/>
    </xf>
    <xf numFmtId="164" fontId="0" fillId="0" borderId="18" xfId="0" applyNumberFormat="1" applyFill="1" applyBorder="1" applyAlignment="1">
      <alignment vertical="center"/>
    </xf>
    <xf numFmtId="164" fontId="0" fillId="0" borderId="19" xfId="0" applyNumberFormat="1" applyFill="1" applyBorder="1" applyAlignment="1">
      <alignment vertical="center"/>
    </xf>
    <xf numFmtId="0" fontId="4" fillId="0" borderId="0" xfId="3"/>
    <xf numFmtId="168" fontId="0" fillId="0" borderId="0" xfId="6" applyNumberFormat="1" applyFont="1"/>
    <xf numFmtId="0" fontId="10" fillId="0" borderId="32" xfId="3" applyFont="1" applyFill="1" applyBorder="1" applyAlignment="1">
      <alignment horizontal="centerContinuous"/>
    </xf>
    <xf numFmtId="0" fontId="4" fillId="0" borderId="0" xfId="3" applyFill="1" applyBorder="1" applyAlignment="1"/>
    <xf numFmtId="0" fontId="4" fillId="0" borderId="16" xfId="3" applyFill="1" applyBorder="1" applyAlignment="1"/>
    <xf numFmtId="0" fontId="10" fillId="0" borderId="32" xfId="3" applyFont="1" applyFill="1" applyBorder="1" applyAlignment="1">
      <alignment horizontal="center"/>
    </xf>
    <xf numFmtId="169" fontId="4" fillId="0" borderId="0" xfId="3" applyNumberFormat="1" applyFill="1" applyBorder="1" applyAlignment="1"/>
    <xf numFmtId="168" fontId="4" fillId="0" borderId="0" xfId="3" applyNumberFormat="1"/>
    <xf numFmtId="169" fontId="4" fillId="0" borderId="16" xfId="3" applyNumberFormat="1" applyFill="1" applyBorder="1" applyAlignment="1"/>
    <xf numFmtId="0" fontId="4" fillId="0" borderId="0" xfId="3" applyAlignment="1">
      <alignment horizontal="center" vertical="center" wrapText="1"/>
    </xf>
    <xf numFmtId="0" fontId="12" fillId="0" borderId="0" xfId="3" applyFont="1" applyBorder="1"/>
    <xf numFmtId="0" fontId="12" fillId="0" borderId="16" xfId="3" applyFont="1" applyBorder="1"/>
    <xf numFmtId="0" fontId="12" fillId="2" borderId="26" xfId="3" applyFont="1" applyFill="1" applyBorder="1"/>
    <xf numFmtId="0" fontId="12" fillId="2" borderId="27" xfId="3" applyFont="1" applyFill="1" applyBorder="1"/>
    <xf numFmtId="0" fontId="12" fillId="2" borderId="28" xfId="3" applyFont="1" applyFill="1" applyBorder="1"/>
    <xf numFmtId="0" fontId="9" fillId="3" borderId="10" xfId="3" applyFont="1" applyFill="1" applyBorder="1" applyAlignment="1">
      <alignment horizontal="center" vertical="center"/>
    </xf>
    <xf numFmtId="0" fontId="9" fillId="3" borderId="11" xfId="3" applyFont="1" applyFill="1" applyBorder="1" applyAlignment="1">
      <alignment horizontal="center" vertical="center"/>
    </xf>
    <xf numFmtId="0" fontId="9" fillId="3" borderId="12" xfId="3" applyFont="1" applyFill="1" applyBorder="1" applyAlignment="1">
      <alignment horizontal="center" vertical="center"/>
    </xf>
    <xf numFmtId="0" fontId="9" fillId="3" borderId="33" xfId="3" applyFont="1" applyFill="1" applyBorder="1" applyAlignment="1">
      <alignment horizontal="center" vertical="center"/>
    </xf>
    <xf numFmtId="0" fontId="4" fillId="0" borderId="7" xfId="3" applyBorder="1" applyAlignment="1">
      <alignment horizontal="left"/>
    </xf>
    <xf numFmtId="170" fontId="0" fillId="0" borderId="8" xfId="9" applyNumberFormat="1" applyFont="1" applyBorder="1"/>
    <xf numFmtId="170" fontId="0" fillId="0" borderId="9" xfId="9" applyNumberFormat="1" applyFont="1" applyBorder="1"/>
    <xf numFmtId="0" fontId="4" fillId="0" borderId="34" xfId="3" applyBorder="1"/>
    <xf numFmtId="170" fontId="0" fillId="0" borderId="0" xfId="9" applyNumberFormat="1" applyFont="1"/>
    <xf numFmtId="0" fontId="4" fillId="0" borderId="2" xfId="3" applyBorder="1" applyAlignment="1">
      <alignment horizontal="left"/>
    </xf>
    <xf numFmtId="170" fontId="0" fillId="0" borderId="1" xfId="9" applyNumberFormat="1" applyFont="1" applyBorder="1"/>
    <xf numFmtId="170" fontId="0" fillId="0" borderId="3" xfId="9" applyNumberFormat="1" applyFont="1" applyBorder="1"/>
    <xf numFmtId="0" fontId="4" fillId="0" borderId="35" xfId="3" applyBorder="1"/>
    <xf numFmtId="0" fontId="4" fillId="0" borderId="13" xfId="3" applyBorder="1" applyAlignment="1">
      <alignment horizontal="left"/>
    </xf>
    <xf numFmtId="170" fontId="0" fillId="0" borderId="14" xfId="9" applyNumberFormat="1" applyFont="1" applyBorder="1"/>
    <xf numFmtId="170" fontId="0" fillId="0" borderId="15" xfId="9" applyNumberFormat="1" applyFont="1" applyBorder="1"/>
    <xf numFmtId="0" fontId="4" fillId="0" borderId="36" xfId="3" applyBorder="1"/>
    <xf numFmtId="0" fontId="9" fillId="0" borderId="26" xfId="3" applyFont="1" applyBorder="1"/>
    <xf numFmtId="10" fontId="9" fillId="0" borderId="27" xfId="6" applyNumberFormat="1" applyFont="1" applyBorder="1"/>
    <xf numFmtId="10" fontId="9" fillId="0" borderId="28" xfId="6" applyNumberFormat="1" applyFont="1" applyBorder="1"/>
    <xf numFmtId="10" fontId="4" fillId="0" borderId="36" xfId="3" applyNumberFormat="1" applyBorder="1"/>
    <xf numFmtId="0" fontId="9" fillId="5" borderId="10" xfId="3" applyFont="1" applyFill="1" applyBorder="1"/>
    <xf numFmtId="170" fontId="9" fillId="5" borderId="11" xfId="9" applyNumberFormat="1" applyFont="1" applyFill="1" applyBorder="1"/>
    <xf numFmtId="170" fontId="9" fillId="5" borderId="12" xfId="9" applyNumberFormat="1" applyFont="1" applyFill="1" applyBorder="1"/>
    <xf numFmtId="170" fontId="4" fillId="0" borderId="0" xfId="3" applyNumberFormat="1"/>
    <xf numFmtId="0" fontId="2" fillId="3" borderId="10" xfId="3" applyFont="1" applyFill="1" applyBorder="1" applyAlignment="1">
      <alignment horizontal="center" vertical="center"/>
    </xf>
    <xf numFmtId="0" fontId="2" fillId="3" borderId="11" xfId="3" applyFont="1" applyFill="1" applyBorder="1" applyAlignment="1">
      <alignment horizontal="center" vertical="center" wrapText="1"/>
    </xf>
    <xf numFmtId="0" fontId="2" fillId="3" borderId="12" xfId="3" applyFont="1" applyFill="1" applyBorder="1" applyAlignment="1">
      <alignment horizontal="center" vertical="center" wrapText="1"/>
    </xf>
    <xf numFmtId="3" fontId="4" fillId="0" borderId="1" xfId="3" applyNumberFormat="1" applyBorder="1"/>
    <xf numFmtId="0" fontId="4" fillId="0" borderId="1" xfId="3" applyBorder="1"/>
    <xf numFmtId="3" fontId="4" fillId="0" borderId="3" xfId="3" applyNumberFormat="1" applyBorder="1"/>
    <xf numFmtId="0" fontId="4" fillId="0" borderId="13" xfId="3" applyBorder="1" applyAlignment="1">
      <alignment horizontal="left" wrapText="1"/>
    </xf>
    <xf numFmtId="3" fontId="4" fillId="0" borderId="14" xfId="3" applyNumberFormat="1" applyBorder="1"/>
    <xf numFmtId="0" fontId="4" fillId="0" borderId="14" xfId="3" applyBorder="1"/>
    <xf numFmtId="3" fontId="4" fillId="0" borderId="15" xfId="3" applyNumberFormat="1" applyBorder="1"/>
    <xf numFmtId="0" fontId="9" fillId="3" borderId="17" xfId="3" applyFont="1" applyFill="1" applyBorder="1"/>
    <xf numFmtId="170" fontId="9" fillId="3" borderId="18" xfId="9" applyNumberFormat="1" applyFont="1" applyFill="1" applyBorder="1"/>
    <xf numFmtId="170" fontId="9" fillId="3" borderId="19" xfId="9" applyNumberFormat="1" applyFont="1" applyFill="1" applyBorder="1"/>
    <xf numFmtId="0" fontId="4" fillId="0" borderId="13" xfId="3" applyBorder="1"/>
    <xf numFmtId="167" fontId="0" fillId="0" borderId="14" xfId="6" applyNumberFormat="1" applyFont="1" applyBorder="1"/>
    <xf numFmtId="170" fontId="4" fillId="0" borderId="15" xfId="3" applyNumberFormat="1" applyBorder="1"/>
    <xf numFmtId="170" fontId="9" fillId="5" borderId="12" xfId="3" applyNumberFormat="1" applyFont="1" applyFill="1" applyBorder="1"/>
    <xf numFmtId="10" fontId="0" fillId="0" borderId="14" xfId="6" applyNumberFormat="1" applyFont="1" applyBorder="1"/>
    <xf numFmtId="0" fontId="4" fillId="0" borderId="15" xfId="3" applyBorder="1"/>
    <xf numFmtId="0" fontId="4" fillId="0" borderId="2" xfId="3" applyBorder="1"/>
    <xf numFmtId="170" fontId="4" fillId="0" borderId="3" xfId="3" applyNumberFormat="1" applyBorder="1"/>
    <xf numFmtId="0" fontId="14" fillId="0" borderId="13" xfId="3" applyFont="1" applyBorder="1"/>
    <xf numFmtId="170" fontId="14" fillId="0" borderId="14" xfId="9" applyNumberFormat="1" applyFont="1" applyBorder="1"/>
    <xf numFmtId="170" fontId="14" fillId="0" borderId="15" xfId="3" applyNumberFormat="1" applyFont="1" applyBorder="1"/>
    <xf numFmtId="0" fontId="9" fillId="5" borderId="29" xfId="3" applyFont="1" applyFill="1" applyBorder="1" applyAlignment="1">
      <alignment horizontal="left" vertical="center"/>
    </xf>
    <xf numFmtId="0" fontId="9" fillId="5" borderId="30" xfId="3" applyFont="1" applyFill="1" applyBorder="1" applyAlignment="1">
      <alignment horizontal="center" vertical="center"/>
    </xf>
    <xf numFmtId="0" fontId="9" fillId="5" borderId="31" xfId="3" applyFont="1" applyFill="1" applyBorder="1" applyAlignment="1">
      <alignment horizontal="center" vertical="center"/>
    </xf>
    <xf numFmtId="0" fontId="9" fillId="5" borderId="38" xfId="3" applyFont="1" applyFill="1" applyBorder="1" applyAlignment="1">
      <alignment horizontal="center" vertical="center"/>
    </xf>
    <xf numFmtId="0" fontId="9" fillId="4" borderId="10" xfId="3" applyFont="1" applyFill="1" applyBorder="1"/>
    <xf numFmtId="170" fontId="9" fillId="4" borderId="11" xfId="9" applyNumberFormat="1" applyFont="1" applyFill="1" applyBorder="1"/>
    <xf numFmtId="170" fontId="9" fillId="4" borderId="12" xfId="9" applyNumberFormat="1" applyFont="1" applyFill="1" applyBorder="1"/>
    <xf numFmtId="170" fontId="9" fillId="4" borderId="33" xfId="9" applyNumberFormat="1" applyFont="1" applyFill="1" applyBorder="1"/>
    <xf numFmtId="0" fontId="4" fillId="5" borderId="37" xfId="3" applyFill="1" applyBorder="1"/>
    <xf numFmtId="0" fontId="4" fillId="2" borderId="40" xfId="3" applyFill="1" applyBorder="1"/>
    <xf numFmtId="170" fontId="0" fillId="2" borderId="40" xfId="9" applyNumberFormat="1" applyFont="1" applyFill="1" applyBorder="1"/>
    <xf numFmtId="0" fontId="4" fillId="2" borderId="33" xfId="3" applyFill="1" applyBorder="1"/>
    <xf numFmtId="0" fontId="12" fillId="2" borderId="39" xfId="3" applyFont="1" applyFill="1" applyBorder="1"/>
    <xf numFmtId="0" fontId="9" fillId="4" borderId="17" xfId="3" applyFont="1" applyFill="1" applyBorder="1"/>
    <xf numFmtId="0" fontId="9" fillId="4" borderId="18" xfId="3" applyFont="1" applyFill="1" applyBorder="1"/>
    <xf numFmtId="170" fontId="9" fillId="4" borderId="18" xfId="9" applyNumberFormat="1" applyFont="1" applyFill="1" applyBorder="1"/>
    <xf numFmtId="0" fontId="9" fillId="4" borderId="19" xfId="3" applyFont="1" applyFill="1" applyBorder="1"/>
    <xf numFmtId="0" fontId="9" fillId="4" borderId="7" xfId="3" applyFont="1" applyFill="1" applyBorder="1"/>
    <xf numFmtId="0" fontId="9" fillId="4" borderId="8" xfId="3" applyFont="1" applyFill="1" applyBorder="1"/>
    <xf numFmtId="170" fontId="9" fillId="4" borderId="8" xfId="9" applyNumberFormat="1" applyFont="1" applyFill="1" applyBorder="1"/>
    <xf numFmtId="0" fontId="9" fillId="4" borderId="9" xfId="3" applyFont="1" applyFill="1" applyBorder="1"/>
    <xf numFmtId="0" fontId="4" fillId="0" borderId="0" xfId="3" applyFont="1"/>
    <xf numFmtId="171" fontId="0" fillId="0" borderId="1" xfId="0" applyNumberFormat="1" applyBorder="1"/>
    <xf numFmtId="172" fontId="0" fillId="0" borderId="3" xfId="0" applyNumberFormat="1" applyBorder="1"/>
    <xf numFmtId="171" fontId="0" fillId="0" borderId="14" xfId="0" applyNumberFormat="1" applyBorder="1"/>
    <xf numFmtId="164" fontId="2" fillId="0" borderId="11" xfId="1" applyNumberFormat="1" applyFont="1" applyBorder="1"/>
    <xf numFmtId="172" fontId="0" fillId="0" borderId="0" xfId="0" applyNumberFormat="1"/>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xf numFmtId="0" fontId="0" fillId="3" borderId="10" xfId="0" applyFill="1" applyBorder="1" applyAlignment="1">
      <alignment horizontal="center" vertical="center" wrapText="1"/>
    </xf>
    <xf numFmtId="0" fontId="2" fillId="3" borderId="11" xfId="0" applyFont="1" applyFill="1" applyBorder="1"/>
    <xf numFmtId="164" fontId="2" fillId="3" borderId="11" xfId="1" applyNumberFormat="1" applyFont="1" applyFill="1" applyBorder="1"/>
    <xf numFmtId="164" fontId="2" fillId="3" borderId="12" xfId="1" applyNumberFormat="1" applyFont="1" applyFill="1" applyBorder="1"/>
    <xf numFmtId="0" fontId="0" fillId="0" borderId="8" xfId="0" applyFont="1" applyBorder="1"/>
    <xf numFmtId="10" fontId="1" fillId="0" borderId="8" xfId="2" applyNumberFormat="1" applyFont="1" applyBorder="1"/>
    <xf numFmtId="10" fontId="1" fillId="0" borderId="9" xfId="2" applyNumberFormat="1" applyFont="1" applyBorder="1"/>
    <xf numFmtId="0" fontId="0" fillId="0" borderId="14" xfId="0" applyFill="1" applyBorder="1"/>
    <xf numFmtId="171" fontId="0" fillId="0" borderId="15" xfId="0" applyNumberFormat="1" applyBorder="1"/>
    <xf numFmtId="171" fontId="2" fillId="5" borderId="11" xfId="0" applyNumberFormat="1" applyFont="1" applyFill="1" applyBorder="1"/>
    <xf numFmtId="171" fontId="2" fillId="5" borderId="12" xfId="0" applyNumberFormat="1" applyFont="1" applyFill="1" applyBorder="1"/>
    <xf numFmtId="0" fontId="0" fillId="0" borderId="8" xfId="0" applyBorder="1" applyAlignment="1">
      <alignment vertical="center" wrapText="1"/>
    </xf>
    <xf numFmtId="173" fontId="0" fillId="0" borderId="8" xfId="0" applyNumberFormat="1" applyBorder="1" applyAlignment="1">
      <alignment vertical="center"/>
    </xf>
    <xf numFmtId="173" fontId="0" fillId="0" borderId="9" xfId="0" applyNumberFormat="1" applyBorder="1" applyAlignment="1">
      <alignment vertical="center"/>
    </xf>
    <xf numFmtId="0" fontId="0" fillId="0" borderId="1" xfId="0" applyBorder="1" applyAlignment="1">
      <alignment vertical="center" wrapText="1"/>
    </xf>
    <xf numFmtId="173" fontId="0" fillId="0" borderId="1" xfId="0" applyNumberFormat="1" applyBorder="1" applyAlignment="1">
      <alignment vertical="center"/>
    </xf>
    <xf numFmtId="173" fontId="0" fillId="0" borderId="3" xfId="0" applyNumberFormat="1" applyBorder="1" applyAlignment="1">
      <alignment vertical="center"/>
    </xf>
    <xf numFmtId="0" fontId="0" fillId="0" borderId="14" xfId="0" applyBorder="1" applyAlignment="1">
      <alignment vertical="center" wrapText="1"/>
    </xf>
    <xf numFmtId="173" fontId="0" fillId="0" borderId="14" xfId="0" applyNumberFormat="1" applyBorder="1" applyAlignment="1">
      <alignment vertical="center"/>
    </xf>
    <xf numFmtId="173" fontId="0" fillId="0" borderId="15" xfId="0" applyNumberFormat="1" applyBorder="1" applyAlignment="1">
      <alignment vertical="center"/>
    </xf>
    <xf numFmtId="0" fontId="2" fillId="5" borderId="11" xfId="0" applyFont="1" applyFill="1" applyBorder="1" applyAlignment="1">
      <alignment vertical="center"/>
    </xf>
    <xf numFmtId="173" fontId="2" fillId="5" borderId="11" xfId="0" applyNumberFormat="1" applyFont="1" applyFill="1" applyBorder="1" applyAlignment="1">
      <alignment vertical="center"/>
    </xf>
    <xf numFmtId="173" fontId="2"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6" fillId="2" borderId="18" xfId="0" applyFont="1" applyFill="1" applyBorder="1"/>
    <xf numFmtId="0" fontId="0" fillId="2" borderId="18" xfId="0" applyFill="1" applyBorder="1"/>
    <xf numFmtId="0" fontId="0" fillId="2" borderId="19" xfId="0" applyFill="1" applyBorder="1"/>
    <xf numFmtId="0" fontId="0" fillId="0" borderId="13" xfId="0" applyBorder="1" applyAlignment="1">
      <alignment horizontal="center"/>
    </xf>
    <xf numFmtId="172" fontId="0" fillId="0" borderId="15" xfId="0" applyNumberFormat="1" applyBorder="1"/>
    <xf numFmtId="0" fontId="2" fillId="0" borderId="10" xfId="0" applyFont="1" applyBorder="1" applyAlignment="1">
      <alignment horizontal="center"/>
    </xf>
    <xf numFmtId="0" fontId="2" fillId="3" borderId="10" xfId="0" applyFont="1" applyFill="1" applyBorder="1" applyAlignment="1">
      <alignment horizontal="center"/>
    </xf>
    <xf numFmtId="172" fontId="2" fillId="3" borderId="12" xfId="0" applyNumberFormat="1" applyFont="1" applyFill="1" applyBorder="1"/>
    <xf numFmtId="164" fontId="2" fillId="3"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1" fontId="2" fillId="3" borderId="5" xfId="0" applyNumberFormat="1" applyFont="1" applyFill="1" applyBorder="1" applyAlignment="1">
      <alignment horizontal="center" vertical="center" wrapText="1"/>
    </xf>
    <xf numFmtId="172" fontId="2" fillId="3" borderId="6" xfId="0" applyNumberFormat="1" applyFont="1" applyFill="1" applyBorder="1" applyAlignment="1">
      <alignment horizontal="center" vertical="center" wrapText="1"/>
    </xf>
    <xf numFmtId="0" fontId="8" fillId="2" borderId="25" xfId="0" applyFont="1" applyFill="1" applyBorder="1"/>
    <xf numFmtId="0" fontId="2" fillId="3" borderId="20" xfId="0" applyFont="1" applyFill="1" applyBorder="1"/>
    <xf numFmtId="164" fontId="2" fillId="3" borderId="4" xfId="1" applyNumberFormat="1" applyFont="1" applyFill="1" applyBorder="1" applyAlignment="1">
      <alignment horizontal="center" vertical="center" wrapText="1"/>
    </xf>
    <xf numFmtId="164" fontId="0" fillId="2" borderId="17" xfId="1" applyNumberFormat="1" applyFont="1" applyFill="1" applyBorder="1"/>
    <xf numFmtId="164" fontId="2" fillId="3" borderId="10" xfId="1" applyNumberFormat="1" applyFont="1" applyFill="1" applyBorder="1"/>
    <xf numFmtId="0" fontId="2" fillId="3" borderId="4" xfId="0" applyFont="1" applyFill="1" applyBorder="1" applyAlignment="1">
      <alignment horizontal="center" vertical="center" wrapText="1"/>
    </xf>
    <xf numFmtId="0" fontId="0" fillId="2" borderId="17" xfId="0" applyFill="1" applyBorder="1"/>
    <xf numFmtId="0" fontId="6" fillId="7" borderId="10" xfId="0" applyFont="1" applyFill="1" applyBorder="1" applyAlignment="1">
      <alignment horizontal="center"/>
    </xf>
    <xf numFmtId="0" fontId="6" fillId="7" borderId="11" xfId="0" applyFont="1" applyFill="1" applyBorder="1"/>
    <xf numFmtId="164" fontId="6" fillId="7" borderId="11" xfId="1" applyNumberFormat="1" applyFont="1" applyFill="1" applyBorder="1"/>
    <xf numFmtId="172" fontId="6" fillId="7" borderId="11" xfId="0" applyNumberFormat="1" applyFont="1" applyFill="1" applyBorder="1"/>
    <xf numFmtId="172" fontId="6" fillId="7" borderId="12" xfId="0" applyNumberFormat="1"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71" fontId="0" fillId="0" borderId="3" xfId="0" applyNumberFormat="1" applyBorder="1"/>
    <xf numFmtId="171" fontId="0" fillId="0" borderId="5" xfId="0" applyNumberFormat="1" applyBorder="1"/>
    <xf numFmtId="171" fontId="0" fillId="0" borderId="6" xfId="0" applyNumberFormat="1" applyBorder="1"/>
    <xf numFmtId="171" fontId="0" fillId="0" borderId="8" xfId="0" applyNumberFormat="1" applyBorder="1"/>
    <xf numFmtId="171" fontId="0" fillId="0" borderId="9" xfId="0" applyNumberFormat="1" applyBorder="1"/>
    <xf numFmtId="0" fontId="2" fillId="3" borderId="5" xfId="0" applyFont="1" applyFill="1" applyBorder="1" applyAlignment="1">
      <alignment horizontal="center" vertical="center"/>
    </xf>
    <xf numFmtId="165" fontId="0" fillId="0" borderId="8" xfId="1" applyNumberFormat="1" applyFont="1" applyBorder="1"/>
    <xf numFmtId="165" fontId="0" fillId="0" borderId="5" xfId="1" applyNumberFormat="1" applyFont="1" applyBorder="1"/>
    <xf numFmtId="165" fontId="0" fillId="0" borderId="6" xfId="1" applyNumberFormat="1" applyFont="1" applyBorder="1"/>
    <xf numFmtId="164" fontId="2" fillId="0" borderId="12" xfId="1" applyNumberFormat="1" applyFont="1" applyBorder="1"/>
    <xf numFmtId="0" fontId="2" fillId="3" borderId="6" xfId="0" applyFont="1" applyFill="1" applyBorder="1" applyAlignment="1">
      <alignment horizontal="center" vertical="center"/>
    </xf>
    <xf numFmtId="174" fontId="0" fillId="0" borderId="0" xfId="5" applyNumberFormat="1" applyFont="1"/>
    <xf numFmtId="0" fontId="17" fillId="3" borderId="10" xfId="0" applyFont="1" applyFill="1" applyBorder="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18" fillId="0" borderId="17" xfId="0" applyFont="1" applyBorder="1" applyAlignment="1">
      <alignment vertical="center"/>
    </xf>
    <xf numFmtId="0" fontId="18" fillId="0" borderId="2" xfId="0" applyFont="1" applyBorder="1" applyAlignment="1">
      <alignment vertical="center"/>
    </xf>
    <xf numFmtId="0" fontId="0" fillId="0" borderId="2" xfId="0" applyFill="1" applyBorder="1" applyAlignment="1">
      <alignment horizontal="left" vertical="center"/>
    </xf>
    <xf numFmtId="164" fontId="0" fillId="0" borderId="3" xfId="0" applyNumberFormat="1" applyFill="1" applyBorder="1" applyAlignment="1">
      <alignment vertical="center"/>
    </xf>
    <xf numFmtId="0" fontId="0" fillId="0" borderId="4" xfId="0" applyFill="1" applyBorder="1" applyAlignment="1">
      <alignment horizontal="left" vertical="center"/>
    </xf>
    <xf numFmtId="0" fontId="3" fillId="2" borderId="17" xfId="0" applyFont="1" applyFill="1" applyBorder="1"/>
    <xf numFmtId="0" fontId="2" fillId="2" borderId="18" xfId="0" applyFont="1" applyFill="1" applyBorder="1"/>
    <xf numFmtId="0" fontId="2" fillId="2" borderId="19" xfId="0" applyFont="1" applyFill="1" applyBorder="1" applyAlignment="1">
      <alignment wrapText="1"/>
    </xf>
    <xf numFmtId="0" fontId="3" fillId="2" borderId="29" xfId="0" applyFont="1" applyFill="1" applyBorder="1" applyAlignment="1">
      <alignment horizontal="left"/>
    </xf>
    <xf numFmtId="0" fontId="2" fillId="2" borderId="30" xfId="0" applyFont="1" applyFill="1" applyBorder="1"/>
    <xf numFmtId="43" fontId="2" fillId="2" borderId="30" xfId="0" applyNumberFormat="1" applyFont="1" applyFill="1" applyBorder="1"/>
    <xf numFmtId="0" fontId="2" fillId="2" borderId="31" xfId="0" applyFont="1" applyFill="1" applyBorder="1"/>
    <xf numFmtId="168" fontId="0" fillId="0" borderId="18" xfId="2" applyNumberFormat="1" applyFont="1" applyBorder="1"/>
    <xf numFmtId="168" fontId="0" fillId="0" borderId="5" xfId="2" applyNumberFormat="1" applyFont="1" applyBorder="1"/>
    <xf numFmtId="168" fontId="2" fillId="3" borderId="11" xfId="2" applyNumberFormat="1" applyFont="1" applyFill="1" applyBorder="1"/>
    <xf numFmtId="0" fontId="2" fillId="3" borderId="5" xfId="0" applyFont="1" applyFill="1" applyBorder="1" applyAlignment="1">
      <alignment horizontal="center" vertical="center"/>
    </xf>
    <xf numFmtId="0" fontId="2" fillId="0" borderId="20" xfId="0" applyFont="1" applyBorder="1"/>
    <xf numFmtId="0" fontId="2" fillId="3" borderId="41" xfId="0" applyFont="1" applyFill="1" applyBorder="1" applyAlignment="1">
      <alignment horizontal="center" vertical="center"/>
    </xf>
    <xf numFmtId="164" fontId="0" fillId="0" borderId="46" xfId="1" applyNumberFormat="1" applyFont="1" applyBorder="1"/>
    <xf numFmtId="164" fontId="0" fillId="0" borderId="47" xfId="1" applyNumberFormat="1" applyFont="1" applyBorder="1"/>
    <xf numFmtId="164" fontId="2" fillId="0" borderId="48" xfId="1" applyNumberFormat="1" applyFont="1" applyBorder="1"/>
    <xf numFmtId="0" fontId="2" fillId="3" borderId="4" xfId="0" applyFont="1" applyFill="1" applyBorder="1" applyAlignment="1">
      <alignment horizontal="center" vertical="center"/>
    </xf>
    <xf numFmtId="164" fontId="2" fillId="0" borderId="10" xfId="1" applyNumberFormat="1" applyFont="1" applyBorder="1"/>
    <xf numFmtId="0" fontId="3" fillId="2" borderId="17" xfId="0" applyFont="1" applyFill="1" applyBorder="1" applyAlignment="1">
      <alignment horizontal="left"/>
    </xf>
    <xf numFmtId="0" fontId="2" fillId="2" borderId="19" xfId="0" applyFont="1" applyFill="1" applyBorder="1"/>
    <xf numFmtId="164" fontId="4" fillId="0" borderId="0" xfId="1" applyNumberFormat="1" applyFont="1"/>
    <xf numFmtId="43" fontId="4" fillId="0" borderId="0" xfId="1" applyNumberFormat="1" applyFont="1"/>
    <xf numFmtId="164" fontId="4" fillId="0" borderId="16" xfId="1" applyNumberFormat="1" applyFont="1" applyBorder="1"/>
    <xf numFmtId="0" fontId="4" fillId="0" borderId="16" xfId="3" applyBorder="1"/>
    <xf numFmtId="43" fontId="4" fillId="0" borderId="16" xfId="1" applyNumberFormat="1" applyFont="1" applyBorder="1"/>
    <xf numFmtId="168" fontId="0" fillId="0" borderId="16" xfId="6" applyNumberFormat="1" applyFont="1" applyBorder="1"/>
    <xf numFmtId="164" fontId="4" fillId="0" borderId="0" xfId="1" applyNumberFormat="1" applyFont="1" applyFill="1" applyBorder="1" applyAlignment="1"/>
    <xf numFmtId="164" fontId="4" fillId="0" borderId="16" xfId="1" applyNumberFormat="1" applyFont="1" applyFill="1" applyBorder="1" applyAlignment="1"/>
    <xf numFmtId="164" fontId="4" fillId="0" borderId="1" xfId="1" applyNumberFormat="1" applyFont="1" applyBorder="1"/>
    <xf numFmtId="43" fontId="4" fillId="0" borderId="1" xfId="1" applyNumberFormat="1" applyFont="1" applyBorder="1"/>
    <xf numFmtId="168" fontId="0" fillId="0" borderId="1" xfId="6" applyNumberFormat="1" applyFont="1" applyBorder="1"/>
    <xf numFmtId="168" fontId="0" fillId="0" borderId="3" xfId="6" applyNumberFormat="1" applyFont="1" applyBorder="1"/>
    <xf numFmtId="0" fontId="4" fillId="0" borderId="4" xfId="3" applyBorder="1"/>
    <xf numFmtId="164" fontId="4" fillId="0" borderId="5" xfId="1" applyNumberFormat="1" applyFont="1" applyBorder="1"/>
    <xf numFmtId="0" fontId="4" fillId="0" borderId="5" xfId="3" applyBorder="1"/>
    <xf numFmtId="43" fontId="4" fillId="0" borderId="5" xfId="1" applyNumberFormat="1" applyFont="1" applyBorder="1"/>
    <xf numFmtId="168" fontId="0" fillId="0" borderId="5" xfId="6" applyNumberFormat="1" applyFont="1" applyBorder="1"/>
    <xf numFmtId="168" fontId="0" fillId="0" borderId="6" xfId="6" applyNumberFormat="1" applyFont="1" applyBorder="1"/>
    <xf numFmtId="0" fontId="4" fillId="0" borderId="7" xfId="3" applyBorder="1"/>
    <xf numFmtId="164" fontId="4" fillId="0" borderId="8" xfId="1" applyNumberFormat="1" applyFont="1" applyBorder="1"/>
    <xf numFmtId="0" fontId="4" fillId="0" borderId="8" xfId="3" applyBorder="1"/>
    <xf numFmtId="43" fontId="4" fillId="0" borderId="8" xfId="1" applyNumberFormat="1" applyFont="1" applyBorder="1"/>
    <xf numFmtId="168" fontId="0" fillId="0" borderId="8" xfId="6" applyNumberFormat="1" applyFont="1" applyBorder="1"/>
    <xf numFmtId="168" fontId="0" fillId="0" borderId="9" xfId="6" applyNumberFormat="1" applyFont="1" applyBorder="1"/>
    <xf numFmtId="0" fontId="9" fillId="3" borderId="10" xfId="3" applyFont="1" applyFill="1" applyBorder="1" applyAlignment="1">
      <alignment horizontal="center" vertical="center" wrapText="1"/>
    </xf>
    <xf numFmtId="164" fontId="9" fillId="3" borderId="11" xfId="1" applyNumberFormat="1" applyFont="1" applyFill="1" applyBorder="1" applyAlignment="1">
      <alignment horizontal="center" vertical="center" wrapText="1"/>
    </xf>
    <xf numFmtId="0" fontId="9" fillId="3" borderId="11" xfId="3" applyFont="1" applyFill="1" applyBorder="1" applyAlignment="1">
      <alignment horizontal="center" vertical="center" wrapText="1"/>
    </xf>
    <xf numFmtId="43" fontId="9" fillId="3" borderId="11" xfId="1" applyNumberFormat="1" applyFont="1" applyFill="1" applyBorder="1" applyAlignment="1">
      <alignment horizontal="center" vertical="center" wrapText="1"/>
    </xf>
    <xf numFmtId="168" fontId="2" fillId="3" borderId="11" xfId="6" applyNumberFormat="1" applyFont="1" applyFill="1" applyBorder="1" applyAlignment="1">
      <alignment horizontal="center" vertical="center" wrapText="1"/>
    </xf>
    <xf numFmtId="168" fontId="2" fillId="3" borderId="12" xfId="6" applyNumberFormat="1" applyFont="1" applyFill="1" applyBorder="1" applyAlignment="1">
      <alignment horizontal="center" vertical="center" wrapText="1"/>
    </xf>
    <xf numFmtId="10" fontId="4" fillId="0" borderId="0" xfId="2" applyNumberFormat="1" applyFont="1" applyFill="1" applyBorder="1" applyAlignment="1"/>
    <xf numFmtId="0" fontId="15" fillId="3" borderId="10" xfId="3" applyFont="1" applyFill="1" applyBorder="1"/>
    <xf numFmtId="170" fontId="15" fillId="3" borderId="11" xfId="9" applyNumberFormat="1" applyFont="1" applyFill="1" applyBorder="1"/>
    <xf numFmtId="170" fontId="15" fillId="3" borderId="12" xfId="3" applyNumberFormat="1" applyFont="1" applyFill="1" applyBorder="1"/>
    <xf numFmtId="0" fontId="9" fillId="2" borderId="17" xfId="3" applyFont="1" applyFill="1" applyBorder="1"/>
    <xf numFmtId="0" fontId="9" fillId="2" borderId="18" xfId="3" applyFont="1" applyFill="1" applyBorder="1"/>
    <xf numFmtId="170" fontId="9" fillId="2" borderId="18" xfId="9" applyNumberFormat="1" applyFont="1" applyFill="1" applyBorder="1"/>
    <xf numFmtId="0" fontId="9" fillId="2" borderId="19" xfId="3" applyFont="1" applyFill="1" applyBorder="1"/>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9" fillId="3" borderId="10" xfId="0" applyFont="1" applyFill="1" applyBorder="1" applyAlignment="1">
      <alignment horizontal="left"/>
    </xf>
    <xf numFmtId="0" fontId="0" fillId="0" borderId="1" xfId="0" applyBorder="1" applyAlignment="1">
      <alignment horizontal="center"/>
    </xf>
    <xf numFmtId="164" fontId="0" fillId="8" borderId="1" xfId="1" applyNumberFormat="1" applyFont="1" applyFill="1" applyBorder="1"/>
    <xf numFmtId="0" fontId="3" fillId="0" borderId="0" xfId="0" applyFont="1" applyAlignment="1">
      <alignment horizontal="left"/>
    </xf>
    <xf numFmtId="173" fontId="0" fillId="0" borderId="0" xfId="0" applyNumberFormat="1"/>
    <xf numFmtId="0" fontId="0" fillId="0" borderId="8" xfId="0" applyBorder="1" applyAlignment="1">
      <alignment horizontal="center"/>
    </xf>
    <xf numFmtId="173" fontId="0" fillId="0" borderId="1" xfId="0" applyNumberFormat="1" applyBorder="1"/>
    <xf numFmtId="173" fontId="0" fillId="0" borderId="3" xfId="0" applyNumberFormat="1" applyBorder="1"/>
    <xf numFmtId="0" fontId="2" fillId="2" borderId="7" xfId="0" applyFont="1" applyFill="1" applyBorder="1" applyAlignment="1">
      <alignment horizontal="center"/>
    </xf>
    <xf numFmtId="0" fontId="2" fillId="2" borderId="17" xfId="0" applyFont="1" applyFill="1" applyBorder="1" applyAlignment="1">
      <alignment horizontal="center"/>
    </xf>
    <xf numFmtId="173" fontId="0" fillId="0" borderId="14" xfId="0" applyNumberFormat="1" applyBorder="1"/>
    <xf numFmtId="173" fontId="0" fillId="0" borderId="15" xfId="0" applyNumberFormat="1" applyBorder="1"/>
    <xf numFmtId="0" fontId="9" fillId="3" borderId="11" xfId="3" applyFont="1" applyFill="1" applyBorder="1"/>
    <xf numFmtId="173" fontId="2" fillId="3" borderId="11" xfId="0" applyNumberFormat="1" applyFont="1" applyFill="1" applyBorder="1"/>
    <xf numFmtId="173" fontId="2" fillId="3" borderId="12" xfId="0" applyNumberFormat="1" applyFont="1" applyFill="1" applyBorder="1"/>
    <xf numFmtId="0" fontId="2" fillId="4" borderId="42" xfId="0" applyFont="1" applyFill="1" applyBorder="1" applyAlignment="1">
      <alignment horizontal="center" vertical="center"/>
    </xf>
    <xf numFmtId="0" fontId="2" fillId="4" borderId="43" xfId="0" applyFont="1" applyFill="1" applyBorder="1" applyAlignment="1">
      <alignment vertical="center"/>
    </xf>
    <xf numFmtId="164" fontId="2" fillId="4" borderId="43" xfId="1" applyNumberFormat="1" applyFont="1" applyFill="1" applyBorder="1" applyAlignment="1">
      <alignment vertical="center"/>
    </xf>
    <xf numFmtId="173" fontId="2" fillId="4" borderId="43" xfId="0" applyNumberFormat="1" applyFont="1" applyFill="1" applyBorder="1" applyAlignment="1">
      <alignment vertical="center"/>
    </xf>
    <xf numFmtId="173" fontId="2" fillId="4" borderId="51" xfId="0" applyNumberFormat="1" applyFont="1" applyFill="1" applyBorder="1" applyAlignment="1">
      <alignment vertical="center"/>
    </xf>
    <xf numFmtId="164" fontId="2" fillId="2" borderId="18" xfId="1" applyNumberFormat="1" applyFont="1" applyFill="1" applyBorder="1"/>
    <xf numFmtId="0" fontId="2" fillId="2" borderId="25" xfId="0" applyFont="1" applyFill="1" applyBorder="1"/>
    <xf numFmtId="0" fontId="4" fillId="0" borderId="22" xfId="3" applyBorder="1"/>
    <xf numFmtId="0" fontId="4" fillId="0" borderId="24" xfId="3" applyBorder="1"/>
    <xf numFmtId="0" fontId="9" fillId="3" borderId="20" xfId="3" applyFont="1" applyFill="1" applyBorder="1"/>
    <xf numFmtId="0" fontId="9" fillId="2" borderId="25" xfId="3" applyFont="1" applyFill="1" applyBorder="1"/>
    <xf numFmtId="0" fontId="0" fillId="0" borderId="22" xfId="0" applyFill="1" applyBorder="1"/>
    <xf numFmtId="0" fontId="0" fillId="0" borderId="24" xfId="0" applyFill="1" applyBorder="1"/>
    <xf numFmtId="0" fontId="2" fillId="4" borderId="53" xfId="0" applyFont="1" applyFill="1" applyBorder="1" applyAlignment="1">
      <alignment vertical="center"/>
    </xf>
    <xf numFmtId="0" fontId="2" fillId="2" borderId="50" xfId="0" applyFont="1" applyFill="1" applyBorder="1"/>
    <xf numFmtId="173" fontId="0" fillId="0" borderId="46" xfId="0" applyNumberFormat="1" applyBorder="1"/>
    <xf numFmtId="173" fontId="0" fillId="0" borderId="47" xfId="0" applyNumberFormat="1" applyBorder="1"/>
    <xf numFmtId="0" fontId="2" fillId="3" borderId="6" xfId="0" applyFont="1" applyFill="1" applyBorder="1" applyAlignment="1">
      <alignment horizontal="center" vertical="center" wrapText="1"/>
    </xf>
    <xf numFmtId="0" fontId="2" fillId="2" borderId="17" xfId="0" applyFont="1" applyFill="1" applyBorder="1"/>
    <xf numFmtId="164" fontId="2" fillId="2" borderId="17" xfId="1" applyNumberFormat="1" applyFont="1" applyFill="1" applyBorder="1"/>
    <xf numFmtId="164" fontId="2" fillId="2" borderId="19" xfId="1" applyNumberFormat="1" applyFont="1" applyFill="1" applyBorder="1"/>
    <xf numFmtId="43" fontId="0" fillId="0" borderId="2" xfId="1" applyNumberFormat="1" applyFont="1" applyBorder="1"/>
    <xf numFmtId="164" fontId="2" fillId="4" borderId="42" xfId="1" applyNumberFormat="1" applyFont="1" applyFill="1" applyBorder="1" applyAlignment="1">
      <alignment vertical="center"/>
    </xf>
    <xf numFmtId="164" fontId="2" fillId="4" borderId="51" xfId="1" applyNumberFormat="1" applyFont="1" applyFill="1" applyBorder="1" applyAlignment="1">
      <alignment vertical="center"/>
    </xf>
    <xf numFmtId="173" fontId="2" fillId="3" borderId="48" xfId="0" applyNumberFormat="1" applyFont="1" applyFill="1" applyBorder="1"/>
    <xf numFmtId="173" fontId="2" fillId="4" borderId="54" xfId="0" applyNumberFormat="1" applyFont="1" applyFill="1" applyBorder="1" applyAlignment="1">
      <alignment vertical="center"/>
    </xf>
    <xf numFmtId="173" fontId="0" fillId="0" borderId="2" xfId="0" applyNumberFormat="1" applyBorder="1"/>
    <xf numFmtId="173" fontId="0" fillId="0" borderId="13" xfId="0" applyNumberFormat="1" applyBorder="1"/>
    <xf numFmtId="171" fontId="0" fillId="0" borderId="2" xfId="0" applyNumberFormat="1" applyBorder="1"/>
    <xf numFmtId="171" fontId="0" fillId="0" borderId="13" xfId="0" applyNumberFormat="1" applyBorder="1"/>
    <xf numFmtId="0" fontId="2" fillId="4" borderId="42" xfId="0" applyFont="1" applyFill="1" applyBorder="1" applyAlignment="1">
      <alignment vertical="center"/>
    </xf>
    <xf numFmtId="0" fontId="2" fillId="4" borderId="51" xfId="0" applyFont="1" applyFill="1" applyBorder="1" applyAlignment="1">
      <alignment vertical="center"/>
    </xf>
    <xf numFmtId="167" fontId="0" fillId="0" borderId="3" xfId="2" applyNumberFormat="1" applyFont="1" applyBorder="1"/>
    <xf numFmtId="167" fontId="0" fillId="0" borderId="46" xfId="2" applyNumberFormat="1" applyFont="1" applyBorder="1"/>
    <xf numFmtId="0" fontId="0" fillId="0" borderId="46" xfId="0" applyBorder="1"/>
    <xf numFmtId="164" fontId="0" fillId="8" borderId="2" xfId="1" applyNumberFormat="1" applyFont="1" applyFill="1" applyBorder="1"/>
    <xf numFmtId="164" fontId="0" fillId="8" borderId="3" xfId="1" applyNumberFormat="1" applyFont="1" applyFill="1" applyBorder="1"/>
    <xf numFmtId="0" fontId="2" fillId="2" borderId="21" xfId="0" applyFont="1" applyFill="1" applyBorder="1"/>
    <xf numFmtId="0" fontId="2" fillId="2" borderId="7" xfId="0" applyFont="1" applyFill="1" applyBorder="1"/>
    <xf numFmtId="0" fontId="2" fillId="2" borderId="55" xfId="0" applyFont="1" applyFill="1" applyBorder="1"/>
    <xf numFmtId="0" fontId="2" fillId="5" borderId="13" xfId="0" applyFont="1" applyFill="1" applyBorder="1" applyAlignment="1">
      <alignment horizontal="center"/>
    </xf>
    <xf numFmtId="0" fontId="9" fillId="5" borderId="24" xfId="3" applyFont="1" applyFill="1" applyBorder="1"/>
    <xf numFmtId="164" fontId="9" fillId="5" borderId="13" xfId="1" applyNumberFormat="1" applyFont="1" applyFill="1" applyBorder="1"/>
    <xf numFmtId="164" fontId="9" fillId="5" borderId="14" xfId="1" applyNumberFormat="1" applyFont="1" applyFill="1" applyBorder="1"/>
    <xf numFmtId="164" fontId="9" fillId="5" borderId="15" xfId="1" applyNumberFormat="1" applyFont="1" applyFill="1" applyBorder="1"/>
    <xf numFmtId="0" fontId="2" fillId="5" borderId="47" xfId="0" applyFont="1" applyFill="1" applyBorder="1"/>
    <xf numFmtId="0" fontId="2" fillId="5" borderId="14" xfId="0" applyFont="1" applyFill="1" applyBorder="1"/>
    <xf numFmtId="0" fontId="2" fillId="5" borderId="15" xfId="0" applyFont="1" applyFill="1" applyBorder="1"/>
    <xf numFmtId="0" fontId="2" fillId="5" borderId="4" xfId="0" applyFont="1" applyFill="1" applyBorder="1" applyAlignment="1">
      <alignment horizontal="center"/>
    </xf>
    <xf numFmtId="0" fontId="9" fillId="5" borderId="23" xfId="3" applyFont="1" applyFill="1" applyBorder="1"/>
    <xf numFmtId="164" fontId="9" fillId="5" borderId="4" xfId="1" applyNumberFormat="1" applyFont="1" applyFill="1" applyBorder="1"/>
    <xf numFmtId="164" fontId="9" fillId="5" borderId="5" xfId="1" applyNumberFormat="1" applyFont="1" applyFill="1" applyBorder="1"/>
    <xf numFmtId="164" fontId="9" fillId="5" borderId="6" xfId="1" applyNumberFormat="1" applyFont="1" applyFill="1" applyBorder="1"/>
    <xf numFmtId="0" fontId="2" fillId="5" borderId="41" xfId="0" applyFont="1" applyFill="1" applyBorder="1"/>
    <xf numFmtId="0" fontId="2" fillId="5" borderId="5" xfId="0" applyFont="1" applyFill="1" applyBorder="1"/>
    <xf numFmtId="0" fontId="2" fillId="5" borderId="6" xfId="0" applyFont="1" applyFill="1" applyBorder="1"/>
    <xf numFmtId="0" fontId="3" fillId="0" borderId="16" xfId="0" applyFont="1" applyBorder="1" applyAlignment="1">
      <alignment horizontal="left"/>
    </xf>
    <xf numFmtId="0" fontId="8" fillId="9" borderId="29" xfId="0" applyFont="1" applyFill="1" applyBorder="1" applyAlignment="1">
      <alignment horizontal="center" vertical="center"/>
    </xf>
    <xf numFmtId="0" fontId="8" fillId="9" borderId="30" xfId="0" applyFont="1" applyFill="1" applyBorder="1" applyAlignment="1">
      <alignment vertical="center"/>
    </xf>
    <xf numFmtId="0" fontId="8" fillId="9" borderId="56" xfId="0" applyFont="1" applyFill="1" applyBorder="1" applyAlignment="1">
      <alignment vertical="center"/>
    </xf>
    <xf numFmtId="164" fontId="8" fillId="9" borderId="29" xfId="1" applyNumberFormat="1" applyFont="1" applyFill="1" applyBorder="1" applyAlignment="1">
      <alignment vertical="center"/>
    </xf>
    <xf numFmtId="164" fontId="8" fillId="9" borderId="30" xfId="1" applyNumberFormat="1" applyFont="1" applyFill="1" applyBorder="1" applyAlignment="1">
      <alignment vertical="center"/>
    </xf>
    <xf numFmtId="164" fontId="8" fillId="9" borderId="31" xfId="1" applyNumberFormat="1" applyFont="1" applyFill="1" applyBorder="1" applyAlignment="1">
      <alignment vertical="center"/>
    </xf>
    <xf numFmtId="0" fontId="8" fillId="9" borderId="29" xfId="0" applyFont="1" applyFill="1" applyBorder="1" applyAlignment="1">
      <alignment vertical="center"/>
    </xf>
    <xf numFmtId="0" fontId="8" fillId="9" borderId="31" xfId="0" applyFont="1" applyFill="1" applyBorder="1" applyAlignment="1">
      <alignment vertical="center"/>
    </xf>
    <xf numFmtId="173" fontId="8" fillId="9" borderId="57" xfId="0" applyNumberFormat="1" applyFont="1" applyFill="1" applyBorder="1" applyAlignment="1">
      <alignment vertical="center"/>
    </xf>
    <xf numFmtId="173" fontId="8" fillId="9" borderId="30" xfId="0" applyNumberFormat="1" applyFont="1" applyFill="1" applyBorder="1" applyAlignment="1">
      <alignment vertical="center"/>
    </xf>
    <xf numFmtId="173" fontId="8" fillId="9" borderId="31" xfId="0" applyNumberFormat="1" applyFont="1" applyFill="1" applyBorder="1" applyAlignment="1">
      <alignment vertical="center"/>
    </xf>
    <xf numFmtId="0" fontId="22" fillId="9" borderId="30" xfId="0" applyFont="1" applyFill="1" applyBorder="1" applyAlignment="1">
      <alignment horizontal="left" vertical="center"/>
    </xf>
    <xf numFmtId="172" fontId="0" fillId="0" borderId="46" xfId="0" applyNumberFormat="1" applyBorder="1"/>
    <xf numFmtId="172" fontId="0" fillId="0" borderId="1" xfId="0" applyNumberFormat="1" applyBorder="1"/>
    <xf numFmtId="172" fontId="0" fillId="0" borderId="47" xfId="0" applyNumberFormat="1" applyBorder="1"/>
    <xf numFmtId="172" fontId="0" fillId="0" borderId="14" xfId="0" applyNumberFormat="1" applyBorder="1"/>
    <xf numFmtId="173" fontId="0" fillId="0" borderId="16" xfId="0" applyNumberFormat="1" applyBorder="1"/>
    <xf numFmtId="164" fontId="4" fillId="0" borderId="14" xfId="1" applyNumberFormat="1" applyFont="1" applyBorder="1"/>
    <xf numFmtId="175" fontId="4" fillId="0" borderId="0" xfId="3" applyNumberFormat="1"/>
    <xf numFmtId="0" fontId="23" fillId="0" borderId="0" xfId="10"/>
    <xf numFmtId="0" fontId="2" fillId="3" borderId="4" xfId="0" applyFont="1" applyFill="1" applyBorder="1" applyAlignment="1">
      <alignment horizontal="center" vertical="center"/>
    </xf>
    <xf numFmtId="0" fontId="0" fillId="0" borderId="1" xfId="0" applyBorder="1" applyAlignment="1">
      <alignment horizontal="left" indent="1"/>
    </xf>
    <xf numFmtId="164" fontId="24" fillId="0" borderId="1" xfId="1" applyNumberFormat="1" applyFont="1" applyBorder="1"/>
    <xf numFmtId="164" fontId="24" fillId="0" borderId="3" xfId="1" applyNumberFormat="1" applyFont="1" applyBorder="1"/>
    <xf numFmtId="0" fontId="0" fillId="0" borderId="60" xfId="0" applyBorder="1" applyAlignment="1">
      <alignment horizontal="center"/>
    </xf>
    <xf numFmtId="0" fontId="2" fillId="0" borderId="39" xfId="0" applyFont="1" applyBorder="1" applyAlignment="1">
      <alignment horizontal="center"/>
    </xf>
    <xf numFmtId="164" fontId="24" fillId="0" borderId="46" xfId="1" applyNumberFormat="1" applyFont="1" applyBorder="1"/>
    <xf numFmtId="0" fontId="0" fillId="0" borderId="63" xfId="0" applyBorder="1"/>
    <xf numFmtId="0" fontId="24" fillId="0" borderId="63" xfId="0" applyFont="1" applyBorder="1" applyAlignment="1">
      <alignment horizontal="left" indent="2"/>
    </xf>
    <xf numFmtId="0" fontId="0" fillId="0" borderId="64" xfId="0" applyBorder="1"/>
    <xf numFmtId="0" fontId="2" fillId="0" borderId="58" xfId="0" applyFont="1" applyBorder="1"/>
    <xf numFmtId="164" fontId="24" fillId="0" borderId="2" xfId="1" applyNumberFormat="1" applyFont="1" applyBorder="1"/>
    <xf numFmtId="0" fontId="0" fillId="0" borderId="63" xfId="0" applyBorder="1" applyAlignment="1">
      <alignment horizontal="left"/>
    </xf>
    <xf numFmtId="170" fontId="0" fillId="0" borderId="1" xfId="9" applyNumberFormat="1" applyFont="1" applyFill="1" applyBorder="1"/>
    <xf numFmtId="0" fontId="0" fillId="0" borderId="0" xfId="0" applyAlignment="1">
      <alignment horizontal="left" vertical="top" wrapText="1"/>
    </xf>
    <xf numFmtId="0" fontId="2" fillId="3" borderId="2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9"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61"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23" xfId="0" applyFont="1" applyFill="1" applyBorder="1" applyAlignment="1">
      <alignment horizontal="center"/>
    </xf>
    <xf numFmtId="0" fontId="2" fillId="3" borderId="41" xfId="0" applyFont="1" applyFill="1" applyBorder="1" applyAlignment="1">
      <alignment horizontal="center"/>
    </xf>
    <xf numFmtId="0" fontId="2" fillId="3" borderId="44"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7"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0" fillId="0" borderId="0" xfId="0" applyAlignment="1">
      <alignment horizontal="left"/>
    </xf>
    <xf numFmtId="0" fontId="0" fillId="2" borderId="40" xfId="0" applyFill="1" applyBorder="1"/>
    <xf numFmtId="0" fontId="0" fillId="2" borderId="33" xfId="0" applyFill="1" applyBorder="1"/>
    <xf numFmtId="0" fontId="6" fillId="2" borderId="39" xfId="0" applyFont="1" applyFill="1" applyBorder="1"/>
  </cellXfs>
  <cellStyles count="11">
    <cellStyle name="Comma" xfId="1" builtinId="3"/>
    <cellStyle name="Comma 2" xfId="4"/>
    <cellStyle name="Comma 3" xfId="7"/>
    <cellStyle name="Comma 4" xfId="9"/>
    <cellStyle name="Currency" xfId="5" builtinId="4"/>
    <cellStyle name="Good 2" xfId="8"/>
    <cellStyle name="Hyperlink" xfId="10" builtinId="8"/>
    <cellStyle name="Normal" xfId="0" builtinId="0"/>
    <cellStyle name="Normal 2" xfId="3"/>
    <cellStyle name="Percent" xfId="2" builtinId="5"/>
    <cellStyle name="Percent 2" xfId="6"/>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9</xdr:row>
      <xdr:rowOff>180976</xdr:rowOff>
    </xdr:from>
    <xdr:to>
      <xdr:col>4</xdr:col>
      <xdr:colOff>817724</xdr:colOff>
      <xdr:row>19</xdr:row>
      <xdr:rowOff>115994</xdr:rowOff>
    </xdr:to>
    <xdr:pic>
      <xdr:nvPicPr>
        <xdr:cNvPr id="4" name="Picture 3"/>
        <xdr:cNvPicPr>
          <a:picLocks noChangeAspect="1"/>
        </xdr:cNvPicPr>
      </xdr:nvPicPr>
      <xdr:blipFill>
        <a:blip xmlns:r="http://schemas.openxmlformats.org/officeDocument/2006/relationships" r:embed="rId1"/>
        <a:stretch>
          <a:fillRect/>
        </a:stretch>
      </xdr:blipFill>
      <xdr:spPr>
        <a:xfrm>
          <a:off x="47625" y="2047876"/>
          <a:ext cx="5294474" cy="18400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1.bin"/><Relationship Id="rId1" Type="http://schemas.openxmlformats.org/officeDocument/2006/relationships/hyperlink" Target="http://www.ontarioenergyboard.ca/oeb/Industry/Regulatory%20Proceedings/Policy%20Initiatives%20and%20Consultations/Regulated%20Price%20Pla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5"/>
  <sheetViews>
    <sheetView workbookViewId="0">
      <pane ySplit="5" topLeftCell="A6" activePane="bottomLeft" state="frozen"/>
      <selection activeCell="D11" sqref="D11"/>
      <selection pane="bottomLeft" activeCell="O5" sqref="O5"/>
    </sheetView>
  </sheetViews>
  <sheetFormatPr defaultRowHeight="15" x14ac:dyDescent="0.25"/>
  <cols>
    <col min="1" max="1" width="7.7109375" style="162" bestFit="1" customWidth="1"/>
    <col min="2" max="5" width="12.7109375" style="354" customWidth="1"/>
    <col min="6" max="6" width="12.7109375" style="162" customWidth="1"/>
    <col min="7" max="9" width="12.7109375" style="354" customWidth="1"/>
    <col min="10" max="10" width="12.7109375" style="355" customWidth="1"/>
    <col min="11" max="11" width="12.7109375" style="354" customWidth="1"/>
    <col min="12" max="13" width="12.7109375" style="163" customWidth="1"/>
    <col min="14" max="14" width="12.5703125" style="162" bestFit="1" customWidth="1"/>
    <col min="15" max="15" width="14.28515625" style="162" bestFit="1" customWidth="1"/>
    <col min="16" max="16384" width="9.140625" style="162"/>
  </cols>
  <sheetData>
    <row r="1" spans="1:13" ht="18.75" x14ac:dyDescent="0.3">
      <c r="A1" s="30" t="s">
        <v>0</v>
      </c>
    </row>
    <row r="2" spans="1:13" ht="18.75" x14ac:dyDescent="0.3">
      <c r="A2" s="30" t="s">
        <v>413</v>
      </c>
    </row>
    <row r="3" spans="1:13" ht="19.5" thickBot="1" x14ac:dyDescent="0.35">
      <c r="A3" s="32" t="s">
        <v>372</v>
      </c>
      <c r="B3" s="356"/>
      <c r="C3" s="356"/>
      <c r="D3" s="356"/>
      <c r="E3" s="356"/>
      <c r="F3" s="357"/>
      <c r="G3" s="356"/>
      <c r="H3" s="356"/>
      <c r="I3" s="356"/>
      <c r="J3" s="358"/>
      <c r="K3" s="356"/>
      <c r="L3" s="359"/>
      <c r="M3" s="359"/>
    </row>
    <row r="5" spans="1:13" s="171" customFormat="1" ht="45" x14ac:dyDescent="0.25">
      <c r="A5" s="378" t="s">
        <v>92</v>
      </c>
      <c r="B5" s="379" t="s">
        <v>261</v>
      </c>
      <c r="C5" s="379" t="s">
        <v>262</v>
      </c>
      <c r="D5" s="379" t="s">
        <v>263</v>
      </c>
      <c r="E5" s="379" t="s">
        <v>374</v>
      </c>
      <c r="F5" s="380" t="s">
        <v>20</v>
      </c>
      <c r="G5" s="379" t="s">
        <v>375</v>
      </c>
      <c r="H5" s="379" t="s">
        <v>376</v>
      </c>
      <c r="I5" s="379" t="s">
        <v>377</v>
      </c>
      <c r="J5" s="381" t="s">
        <v>358</v>
      </c>
      <c r="K5" s="379" t="s">
        <v>93</v>
      </c>
      <c r="L5" s="382" t="s">
        <v>235</v>
      </c>
      <c r="M5" s="383" t="s">
        <v>236</v>
      </c>
    </row>
    <row r="6" spans="1:13" x14ac:dyDescent="0.25">
      <c r="A6" s="372" t="s">
        <v>94</v>
      </c>
      <c r="B6" s="373">
        <v>92275261.504992813</v>
      </c>
      <c r="C6" s="373">
        <v>4080530.0899352999</v>
      </c>
      <c r="D6" s="373">
        <v>1554252.736451613</v>
      </c>
      <c r="E6" s="373">
        <f>B6-C6-D6</f>
        <v>86640478.678605899</v>
      </c>
      <c r="F6" s="374">
        <v>2006</v>
      </c>
      <c r="G6" s="373">
        <v>514.4</v>
      </c>
      <c r="H6" s="375">
        <v>0</v>
      </c>
      <c r="I6" s="373">
        <v>48705740</v>
      </c>
      <c r="J6" s="375">
        <v>0.41911749784950603</v>
      </c>
      <c r="K6" s="47">
        <f>'Regression Analysis'!B$19+'Regression Analysis'!B$20*F6+'Regression Analysis'!B$21*G6+'Regression Analysis'!B$22*H6+'Regression Analysis'!B$23*I6+'Regression Analysis'!B$24*J6</f>
        <v>88894838.466953173</v>
      </c>
      <c r="L6" s="376">
        <f t="shared" ref="L6:L69" si="0">(K6-E6)/E6</f>
        <v>2.6019706062680635E-2</v>
      </c>
      <c r="M6" s="377">
        <f t="shared" ref="M6:M17" si="1">ABS(K6-E6)/K6</f>
        <v>2.5359850214310663E-2</v>
      </c>
    </row>
    <row r="7" spans="1:13" x14ac:dyDescent="0.25">
      <c r="A7" s="221" t="s">
        <v>95</v>
      </c>
      <c r="B7" s="362">
        <v>85895793.720881715</v>
      </c>
      <c r="C7" s="362">
        <v>3698718.8483095099</v>
      </c>
      <c r="D7" s="362">
        <v>1201808.080967742</v>
      </c>
      <c r="E7" s="362">
        <f t="shared" ref="E7:E70" si="2">B7-C7-D7</f>
        <v>80995266.791604459</v>
      </c>
      <c r="F7" s="206">
        <v>2006</v>
      </c>
      <c r="G7" s="362">
        <v>577.9</v>
      </c>
      <c r="H7" s="362">
        <v>0</v>
      </c>
      <c r="I7" s="362">
        <v>48533977</v>
      </c>
      <c r="J7" s="363">
        <v>-0.50700916400478402</v>
      </c>
      <c r="K7" s="5">
        <f>'Regression Analysis'!B$19+'Regression Analysis'!B$20*F7+'Regression Analysis'!B$21*G7+'Regression Analysis'!B$22*H7+'Regression Analysis'!B$23*I7+'Regression Analysis'!B$24*J7</f>
        <v>83754318.87853229</v>
      </c>
      <c r="L7" s="364">
        <f t="shared" si="0"/>
        <v>3.4064361983357522E-2</v>
      </c>
      <c r="M7" s="365">
        <f t="shared" si="1"/>
        <v>3.2942206728816523E-2</v>
      </c>
    </row>
    <row r="8" spans="1:13" x14ac:dyDescent="0.25">
      <c r="A8" s="221" t="s">
        <v>96</v>
      </c>
      <c r="B8" s="362">
        <v>91568195.673591882</v>
      </c>
      <c r="C8" s="362">
        <v>4382301.6419677697</v>
      </c>
      <c r="D8" s="362">
        <v>1811912.1977419355</v>
      </c>
      <c r="E8" s="362">
        <f t="shared" si="2"/>
        <v>85373981.833882168</v>
      </c>
      <c r="F8" s="206">
        <v>2006</v>
      </c>
      <c r="G8" s="362">
        <v>512.19999999999993</v>
      </c>
      <c r="H8" s="362">
        <v>0</v>
      </c>
      <c r="I8" s="362">
        <v>51567190</v>
      </c>
      <c r="J8" s="363">
        <v>6.2739784171715995E-2</v>
      </c>
      <c r="K8" s="5">
        <f>'Regression Analysis'!B$19+'Regression Analysis'!B$20*F8+'Regression Analysis'!B$21*G8+'Regression Analysis'!B$22*H8+'Regression Analysis'!B$23*I8+'Regression Analysis'!B$24*J8</f>
        <v>88474487.763320491</v>
      </c>
      <c r="L8" s="364">
        <f t="shared" si="0"/>
        <v>3.6316754388604988E-2</v>
      </c>
      <c r="M8" s="365">
        <f t="shared" si="1"/>
        <v>3.5044067593050503E-2</v>
      </c>
    </row>
    <row r="9" spans="1:13" x14ac:dyDescent="0.25">
      <c r="A9" s="221" t="s">
        <v>97</v>
      </c>
      <c r="B9" s="362">
        <v>79275484.352247581</v>
      </c>
      <c r="C9" s="362">
        <v>3964441.9018554599</v>
      </c>
      <c r="D9" s="362">
        <v>1283786.3377419356</v>
      </c>
      <c r="E9" s="362">
        <f t="shared" si="2"/>
        <v>74027256.112650186</v>
      </c>
      <c r="F9" s="206">
        <v>2006</v>
      </c>
      <c r="G9" s="362">
        <v>298.3</v>
      </c>
      <c r="H9" s="362">
        <v>0</v>
      </c>
      <c r="I9" s="362">
        <v>49484981</v>
      </c>
      <c r="J9" s="363">
        <v>-0.69420914264628397</v>
      </c>
      <c r="K9" s="5">
        <f>'Regression Analysis'!B$19+'Regression Analysis'!B$20*F9+'Regression Analysis'!B$21*G9+'Regression Analysis'!B$22*H9+'Regression Analysis'!B$23*I9+'Regression Analysis'!B$24*J9</f>
        <v>77598722.694851726</v>
      </c>
      <c r="L9" s="364">
        <f t="shared" si="0"/>
        <v>4.8245291933645351E-2</v>
      </c>
      <c r="M9" s="365">
        <f t="shared" si="1"/>
        <v>4.6024811468172389E-2</v>
      </c>
    </row>
    <row r="10" spans="1:13" x14ac:dyDescent="0.25">
      <c r="A10" s="221" t="s">
        <v>98</v>
      </c>
      <c r="B10" s="362">
        <v>86461042.875110298</v>
      </c>
      <c r="C10" s="362">
        <v>4321758.2631988497</v>
      </c>
      <c r="D10" s="362">
        <v>1263782.2103225808</v>
      </c>
      <c r="E10" s="362">
        <f t="shared" si="2"/>
        <v>80875502.401588872</v>
      </c>
      <c r="F10" s="206">
        <v>2006</v>
      </c>
      <c r="G10" s="362">
        <v>145.99999999999997</v>
      </c>
      <c r="H10" s="362">
        <v>29.2</v>
      </c>
      <c r="I10" s="362">
        <v>50769986</v>
      </c>
      <c r="J10" s="363">
        <v>-0.29386468836728802</v>
      </c>
      <c r="K10" s="5">
        <f>'Regression Analysis'!B$19+'Regression Analysis'!B$20*F10+'Regression Analysis'!B$21*G10+'Regression Analysis'!B$22*H10+'Regression Analysis'!B$23*I10+'Regression Analysis'!B$24*J10</f>
        <v>82910744.113814935</v>
      </c>
      <c r="L10" s="364">
        <f t="shared" si="0"/>
        <v>2.5165119866829771E-2</v>
      </c>
      <c r="M10" s="365">
        <f t="shared" si="1"/>
        <v>2.4547382054998859E-2</v>
      </c>
    </row>
    <row r="11" spans="1:13" x14ac:dyDescent="0.25">
      <c r="A11" s="221" t="s">
        <v>99</v>
      </c>
      <c r="B11" s="362">
        <v>91381449.570177242</v>
      </c>
      <c r="C11" s="362">
        <v>4360325.99438476</v>
      </c>
      <c r="D11" s="362">
        <v>1625891.6051612902</v>
      </c>
      <c r="E11" s="362">
        <f t="shared" si="2"/>
        <v>85395231.970631182</v>
      </c>
      <c r="F11" s="206">
        <v>2006</v>
      </c>
      <c r="G11" s="362">
        <v>35.700000000000003</v>
      </c>
      <c r="H11" s="362">
        <v>40.299999999999997</v>
      </c>
      <c r="I11" s="362">
        <v>51542946</v>
      </c>
      <c r="J11" s="363">
        <v>0.37476870063614698</v>
      </c>
      <c r="K11" s="5">
        <f>'Regression Analysis'!B$19+'Regression Analysis'!B$20*F11+'Regression Analysis'!B$21*G11+'Regression Analysis'!B$22*H11+'Regression Analysis'!B$23*I11+'Regression Analysis'!B$24*J11</f>
        <v>87592984.751933873</v>
      </c>
      <c r="L11" s="364">
        <f t="shared" si="0"/>
        <v>2.5736246984591992E-2</v>
      </c>
      <c r="M11" s="365">
        <f t="shared" si="1"/>
        <v>2.5090511386577322E-2</v>
      </c>
    </row>
    <row r="12" spans="1:13" x14ac:dyDescent="0.25">
      <c r="A12" s="221" t="s">
        <v>100</v>
      </c>
      <c r="B12" s="362">
        <v>105443392.79937209</v>
      </c>
      <c r="C12" s="362">
        <v>3930918.0851631099</v>
      </c>
      <c r="D12" s="362">
        <v>1131201.8793548387</v>
      </c>
      <c r="E12" s="362">
        <f t="shared" si="2"/>
        <v>100381272.83485414</v>
      </c>
      <c r="F12" s="206">
        <v>2006</v>
      </c>
      <c r="G12" s="362">
        <v>6.2</v>
      </c>
      <c r="H12" s="362">
        <v>125.50000000000001</v>
      </c>
      <c r="I12" s="362">
        <v>45043016</v>
      </c>
      <c r="J12" s="363">
        <v>1.1308832727931699</v>
      </c>
      <c r="K12" s="5">
        <f>'Regression Analysis'!B$19+'Regression Analysis'!B$20*F12+'Regression Analysis'!B$21*G12+'Regression Analysis'!B$22*H12+'Regression Analysis'!B$23*I12+'Regression Analysis'!B$24*J12</f>
        <v>101244734.64642642</v>
      </c>
      <c r="L12" s="364">
        <f t="shared" si="0"/>
        <v>8.6018217062543006E-3</v>
      </c>
      <c r="M12" s="365">
        <f t="shared" si="1"/>
        <v>8.5284614018469422E-3</v>
      </c>
    </row>
    <row r="13" spans="1:13" x14ac:dyDescent="0.25">
      <c r="A13" s="221" t="s">
        <v>101</v>
      </c>
      <c r="B13" s="362">
        <v>104180145.08444953</v>
      </c>
      <c r="C13" s="362">
        <v>4748540.6031951904</v>
      </c>
      <c r="D13" s="362">
        <v>1744245.6551612904</v>
      </c>
      <c r="E13" s="362">
        <f t="shared" si="2"/>
        <v>97687358.826093048</v>
      </c>
      <c r="F13" s="206">
        <v>2006</v>
      </c>
      <c r="G13" s="362">
        <v>10.100000000000001</v>
      </c>
      <c r="H13" s="362">
        <v>66.8</v>
      </c>
      <c r="I13" s="362">
        <v>50664482</v>
      </c>
      <c r="J13" s="363">
        <v>1.5427178235774599</v>
      </c>
      <c r="K13" s="5">
        <f>'Regression Analysis'!B$19+'Regression Analysis'!B$20*F13+'Regression Analysis'!B$21*G13+'Regression Analysis'!B$22*H13+'Regression Analysis'!B$23*I13+'Regression Analysis'!B$24*J13</f>
        <v>98654335.785890639</v>
      </c>
      <c r="L13" s="364">
        <f t="shared" si="0"/>
        <v>9.8986907970256641E-3</v>
      </c>
      <c r="M13" s="365">
        <f t="shared" si="1"/>
        <v>9.8016671248612897E-3</v>
      </c>
    </row>
    <row r="14" spans="1:13" x14ac:dyDescent="0.25">
      <c r="A14" s="221" t="s">
        <v>102</v>
      </c>
      <c r="B14" s="362">
        <v>86627861.844049975</v>
      </c>
      <c r="C14" s="362">
        <v>4018353.8822212201</v>
      </c>
      <c r="D14" s="362">
        <v>1395584.0722580645</v>
      </c>
      <c r="E14" s="362">
        <f t="shared" si="2"/>
        <v>81213923.889570683</v>
      </c>
      <c r="F14" s="206">
        <v>2006</v>
      </c>
      <c r="G14" s="362">
        <v>89.3</v>
      </c>
      <c r="H14" s="362">
        <v>8.3999999999999986</v>
      </c>
      <c r="I14" s="362">
        <v>48620316</v>
      </c>
      <c r="J14" s="363">
        <v>0.608962832123631</v>
      </c>
      <c r="K14" s="5">
        <f>'Regression Analysis'!B$19+'Regression Analysis'!B$20*F14+'Regression Analysis'!B$21*G14+'Regression Analysis'!B$22*H14+'Regression Analysis'!B$23*I14+'Regression Analysis'!B$24*J14</f>
        <v>83017256.573413715</v>
      </c>
      <c r="L14" s="364">
        <f t="shared" si="0"/>
        <v>2.220472300162573E-2</v>
      </c>
      <c r="M14" s="365">
        <f t="shared" si="1"/>
        <v>2.1722383493223613E-2</v>
      </c>
    </row>
    <row r="15" spans="1:13" x14ac:dyDescent="0.25">
      <c r="A15" s="221" t="s">
        <v>103</v>
      </c>
      <c r="B15" s="362">
        <v>88742310.730512187</v>
      </c>
      <c r="C15" s="362">
        <v>3794587.2472534101</v>
      </c>
      <c r="D15" s="362">
        <v>1169193.3325806451</v>
      </c>
      <c r="E15" s="362">
        <f t="shared" si="2"/>
        <v>83778530.150678143</v>
      </c>
      <c r="F15" s="206">
        <v>2006</v>
      </c>
      <c r="G15" s="362">
        <v>293.89999999999998</v>
      </c>
      <c r="H15" s="362">
        <v>1.7</v>
      </c>
      <c r="I15" s="362">
        <v>48023316</v>
      </c>
      <c r="J15" s="363">
        <v>0.23319624263806399</v>
      </c>
      <c r="K15" s="5">
        <f>'Regression Analysis'!B$19+'Regression Analysis'!B$20*F15+'Regression Analysis'!B$21*G15+'Regression Analysis'!B$22*H15+'Regression Analysis'!B$23*I15+'Regression Analysis'!B$24*J15</f>
        <v>83033398.899213359</v>
      </c>
      <c r="L15" s="364">
        <f t="shared" si="0"/>
        <v>-8.894059732542977E-3</v>
      </c>
      <c r="M15" s="365">
        <f t="shared" si="1"/>
        <v>8.9738739030691822E-3</v>
      </c>
    </row>
    <row r="16" spans="1:13" x14ac:dyDescent="0.25">
      <c r="A16" s="221" t="s">
        <v>104</v>
      </c>
      <c r="B16" s="362">
        <v>90712236.515321776</v>
      </c>
      <c r="C16" s="362">
        <v>3731625.8161315899</v>
      </c>
      <c r="D16" s="362">
        <v>1118961.8341935484</v>
      </c>
      <c r="E16" s="362">
        <f t="shared" si="2"/>
        <v>85861648.864996642</v>
      </c>
      <c r="F16" s="206">
        <v>2006</v>
      </c>
      <c r="G16" s="362">
        <v>378.30000000000018</v>
      </c>
      <c r="H16" s="362">
        <v>0</v>
      </c>
      <c r="I16" s="362">
        <v>49712772</v>
      </c>
      <c r="J16" s="363">
        <v>-2.0326425795801999E-2</v>
      </c>
      <c r="K16" s="5">
        <f>'Regression Analysis'!B$19+'Regression Analysis'!B$20*F16+'Regression Analysis'!B$21*G16+'Regression Analysis'!B$22*H16+'Regression Analysis'!B$23*I16+'Regression Analysis'!B$24*J16</f>
        <v>83923960.198437035</v>
      </c>
      <c r="L16" s="364">
        <f t="shared" si="0"/>
        <v>-2.2567568782732143E-2</v>
      </c>
      <c r="M16" s="365">
        <f t="shared" si="1"/>
        <v>2.3088622867390541E-2</v>
      </c>
    </row>
    <row r="17" spans="1:13" x14ac:dyDescent="0.25">
      <c r="A17" s="221" t="s">
        <v>105</v>
      </c>
      <c r="B17" s="362">
        <v>89905616.114059135</v>
      </c>
      <c r="C17" s="362">
        <v>2986152.8601531899</v>
      </c>
      <c r="D17" s="362">
        <v>957899.81967741938</v>
      </c>
      <c r="E17" s="362">
        <f t="shared" si="2"/>
        <v>85961563.434228539</v>
      </c>
      <c r="F17" s="206">
        <v>2006</v>
      </c>
      <c r="G17" s="362">
        <v>491.8</v>
      </c>
      <c r="H17" s="362">
        <v>0</v>
      </c>
      <c r="I17" s="362">
        <v>48603292</v>
      </c>
      <c r="J17" s="363">
        <v>5.2494343901185E-2</v>
      </c>
      <c r="K17" s="5">
        <f>'Regression Analysis'!B$19+'Regression Analysis'!B$20*F17+'Regression Analysis'!B$21*G17+'Regression Analysis'!B$22*H17+'Regression Analysis'!B$23*I17+'Regression Analysis'!B$24*J17</f>
        <v>85885321.635668054</v>
      </c>
      <c r="L17" s="364">
        <f t="shared" si="0"/>
        <v>-8.8692894259444059E-4</v>
      </c>
      <c r="M17" s="365">
        <f t="shared" si="1"/>
        <v>8.8771628385940786E-4</v>
      </c>
    </row>
    <row r="18" spans="1:13" x14ac:dyDescent="0.25">
      <c r="A18" s="221" t="s">
        <v>106</v>
      </c>
      <c r="B18" s="362">
        <v>94330491.542609349</v>
      </c>
      <c r="C18" s="362">
        <v>3572942.4690551702</v>
      </c>
      <c r="D18" s="362">
        <v>1116755.5054838709</v>
      </c>
      <c r="E18" s="362">
        <f t="shared" si="2"/>
        <v>89640793.568070307</v>
      </c>
      <c r="F18" s="206">
        <v>2007</v>
      </c>
      <c r="G18" s="362">
        <v>633.19999999999993</v>
      </c>
      <c r="H18" s="362">
        <v>0</v>
      </c>
      <c r="I18" s="362">
        <v>47937774</v>
      </c>
      <c r="J18" s="363">
        <v>0.41911749784950603</v>
      </c>
      <c r="K18" s="5">
        <f>'Regression Analysis'!B$19+'Regression Analysis'!B$20*F18+'Regression Analysis'!B$21*G18+'Regression Analysis'!B$22*H18+'Regression Analysis'!B$23*I18+'Regression Analysis'!B$24*J18</f>
        <v>90129549.565526605</v>
      </c>
      <c r="L18" s="364">
        <f t="shared" si="0"/>
        <v>5.4523836525962018E-3</v>
      </c>
      <c r="M18" s="365">
        <f t="shared" ref="M18:M81" si="3">ABS((K18-E18)/E18)</f>
        <v>5.4523836525962018E-3</v>
      </c>
    </row>
    <row r="19" spans="1:13" x14ac:dyDescent="0.25">
      <c r="A19" s="221" t="s">
        <v>107</v>
      </c>
      <c r="B19" s="362">
        <v>91108273.655656114</v>
      </c>
      <c r="C19" s="362">
        <v>3562267.1908874498</v>
      </c>
      <c r="D19" s="362">
        <v>888613.15935483866</v>
      </c>
      <c r="E19" s="362">
        <f t="shared" si="2"/>
        <v>86657393.305413827</v>
      </c>
      <c r="F19" s="206">
        <v>2007</v>
      </c>
      <c r="G19" s="362">
        <v>742.8</v>
      </c>
      <c r="H19" s="362">
        <v>0</v>
      </c>
      <c r="I19" s="362">
        <v>47414981</v>
      </c>
      <c r="J19" s="363">
        <v>-0.50700916400478402</v>
      </c>
      <c r="K19" s="5">
        <f>'Regression Analysis'!B$19+'Regression Analysis'!B$20*F19+'Regression Analysis'!B$21*G19+'Regression Analysis'!B$22*H19+'Regression Analysis'!B$23*I19+'Regression Analysis'!B$24*J19</f>
        <v>85656088.092894882</v>
      </c>
      <c r="L19" s="364">
        <f t="shared" si="0"/>
        <v>-1.1554758045744146E-2</v>
      </c>
      <c r="M19" s="365">
        <f t="shared" si="3"/>
        <v>1.1554758045744146E-2</v>
      </c>
    </row>
    <row r="20" spans="1:13" x14ac:dyDescent="0.25">
      <c r="A20" s="221" t="s">
        <v>108</v>
      </c>
      <c r="B20" s="362">
        <v>91427560.722322777</v>
      </c>
      <c r="C20" s="362">
        <v>3623409.8639526302</v>
      </c>
      <c r="D20" s="362">
        <v>1189209.6883870969</v>
      </c>
      <c r="E20" s="362">
        <f t="shared" si="2"/>
        <v>86614941.169983044</v>
      </c>
      <c r="F20" s="206">
        <v>2007</v>
      </c>
      <c r="G20" s="362">
        <v>485.29999999999995</v>
      </c>
      <c r="H20" s="362">
        <v>0</v>
      </c>
      <c r="I20" s="362">
        <v>51609130</v>
      </c>
      <c r="J20" s="363">
        <v>6.2739784171715995E-2</v>
      </c>
      <c r="K20" s="5">
        <f>'Regression Analysis'!B$19+'Regression Analysis'!B$20*F20+'Regression Analysis'!B$21*G20+'Regression Analysis'!B$22*H20+'Regression Analysis'!B$23*I20+'Regression Analysis'!B$24*J20</f>
        <v>87387336.273752764</v>
      </c>
      <c r="L20" s="364">
        <f t="shared" si="0"/>
        <v>8.9175734964003876E-3</v>
      </c>
      <c r="M20" s="365">
        <f t="shared" si="3"/>
        <v>8.9175734964003876E-3</v>
      </c>
    </row>
    <row r="21" spans="1:13" x14ac:dyDescent="0.25">
      <c r="A21" s="221" t="s">
        <v>109</v>
      </c>
      <c r="B21" s="362">
        <v>82574746.641553551</v>
      </c>
      <c r="C21" s="362">
        <v>3224311.66625976</v>
      </c>
      <c r="D21" s="362">
        <v>854276.63967741933</v>
      </c>
      <c r="E21" s="362">
        <f t="shared" si="2"/>
        <v>78496158.335616365</v>
      </c>
      <c r="F21" s="206">
        <v>2007</v>
      </c>
      <c r="G21" s="362">
        <v>351.89999999999986</v>
      </c>
      <c r="H21" s="362">
        <v>0</v>
      </c>
      <c r="I21" s="362">
        <v>49374218</v>
      </c>
      <c r="J21" s="363">
        <v>-0.69420914264628397</v>
      </c>
      <c r="K21" s="5">
        <f>'Regression Analysis'!B$19+'Regression Analysis'!B$20*F21+'Regression Analysis'!B$21*G21+'Regression Analysis'!B$22*H21+'Regression Analysis'!B$23*I21+'Regression Analysis'!B$24*J21</f>
        <v>78004631.213217199</v>
      </c>
      <c r="L21" s="364">
        <f t="shared" si="0"/>
        <v>-6.2617984474807572E-3</v>
      </c>
      <c r="M21" s="365">
        <f t="shared" si="3"/>
        <v>6.2617984474807572E-3</v>
      </c>
    </row>
    <row r="22" spans="1:13" x14ac:dyDescent="0.25">
      <c r="A22" s="221" t="s">
        <v>110</v>
      </c>
      <c r="B22" s="362">
        <v>85488174.49984917</v>
      </c>
      <c r="C22" s="362">
        <v>3090738.7011060701</v>
      </c>
      <c r="D22" s="362">
        <v>686927.99</v>
      </c>
      <c r="E22" s="362">
        <f t="shared" si="2"/>
        <v>81710507.808743104</v>
      </c>
      <c r="F22" s="206">
        <v>2007</v>
      </c>
      <c r="G22" s="362">
        <v>137.5</v>
      </c>
      <c r="H22" s="362">
        <v>24.900000000000002</v>
      </c>
      <c r="I22" s="362">
        <v>50724181</v>
      </c>
      <c r="J22" s="363">
        <v>-0.29386468836728802</v>
      </c>
      <c r="K22" s="5">
        <f>'Regression Analysis'!B$19+'Regression Analysis'!B$20*F22+'Regression Analysis'!B$21*G22+'Regression Analysis'!B$22*H22+'Regression Analysis'!B$23*I22+'Regression Analysis'!B$24*J22</f>
        <v>81433440.602321133</v>
      </c>
      <c r="L22" s="364">
        <f t="shared" si="0"/>
        <v>-3.3908393651217138E-3</v>
      </c>
      <c r="M22" s="365">
        <f t="shared" si="3"/>
        <v>3.3908393651217138E-3</v>
      </c>
    </row>
    <row r="23" spans="1:13" x14ac:dyDescent="0.25">
      <c r="A23" s="221" t="s">
        <v>111</v>
      </c>
      <c r="B23" s="362">
        <v>95477353.21636501</v>
      </c>
      <c r="C23" s="362">
        <v>3366406.4738159101</v>
      </c>
      <c r="D23" s="362">
        <v>935416.05290322576</v>
      </c>
      <c r="E23" s="362">
        <f t="shared" si="2"/>
        <v>91175530.689645886</v>
      </c>
      <c r="F23" s="206">
        <v>2007</v>
      </c>
      <c r="G23" s="362">
        <v>29.999999999999996</v>
      </c>
      <c r="H23" s="362">
        <v>65.8</v>
      </c>
      <c r="I23" s="362">
        <v>48667556</v>
      </c>
      <c r="J23" s="363">
        <v>0.37476870063614698</v>
      </c>
      <c r="K23" s="5">
        <f>'Regression Analysis'!B$19+'Regression Analysis'!B$20*F23+'Regression Analysis'!B$21*G23+'Regression Analysis'!B$22*H23+'Regression Analysis'!B$23*I23+'Regression Analysis'!B$24*J23</f>
        <v>88961247.71340026</v>
      </c>
      <c r="L23" s="364">
        <f t="shared" si="0"/>
        <v>-2.4285934608736928E-2</v>
      </c>
      <c r="M23" s="365">
        <f t="shared" si="3"/>
        <v>2.4285934608736928E-2</v>
      </c>
    </row>
    <row r="24" spans="1:13" x14ac:dyDescent="0.25">
      <c r="A24" s="221" t="s">
        <v>112</v>
      </c>
      <c r="B24" s="362">
        <v>95358391.637254909</v>
      </c>
      <c r="C24" s="362">
        <v>3496124.95468139</v>
      </c>
      <c r="D24" s="362">
        <v>640251.1893548388</v>
      </c>
      <c r="E24" s="362">
        <f t="shared" si="2"/>
        <v>91222015.493218675</v>
      </c>
      <c r="F24" s="206">
        <v>2007</v>
      </c>
      <c r="G24" s="362">
        <v>16.8</v>
      </c>
      <c r="H24" s="362">
        <v>67.499999999999986</v>
      </c>
      <c r="I24" s="362">
        <v>45502574</v>
      </c>
      <c r="J24" s="363">
        <v>1.1308832727931699</v>
      </c>
      <c r="K24" s="5">
        <f>'Regression Analysis'!B$19+'Regression Analysis'!B$20*F24+'Regression Analysis'!B$21*G24+'Regression Analysis'!B$22*H24+'Regression Analysis'!B$23*I24+'Regression Analysis'!B$24*J24</f>
        <v>91844255.432933301</v>
      </c>
      <c r="L24" s="364">
        <f t="shared" si="0"/>
        <v>6.8211597425281833E-3</v>
      </c>
      <c r="M24" s="365">
        <f t="shared" si="3"/>
        <v>6.8211597425281833E-3</v>
      </c>
    </row>
    <row r="25" spans="1:13" x14ac:dyDescent="0.25">
      <c r="A25" s="221" t="s">
        <v>113</v>
      </c>
      <c r="B25" s="362">
        <v>105721318.11696832</v>
      </c>
      <c r="C25" s="362">
        <v>4247265.7207031203</v>
      </c>
      <c r="D25" s="362">
        <v>1013036.6490322582</v>
      </c>
      <c r="E25" s="362">
        <f t="shared" si="2"/>
        <v>100461015.74723293</v>
      </c>
      <c r="F25" s="206">
        <v>2007</v>
      </c>
      <c r="G25" s="362">
        <v>14</v>
      </c>
      <c r="H25" s="362">
        <v>86.8</v>
      </c>
      <c r="I25" s="362">
        <v>48002098</v>
      </c>
      <c r="J25" s="363">
        <v>1.5427178235774599</v>
      </c>
      <c r="K25" s="5">
        <f>'Regression Analysis'!B$19+'Regression Analysis'!B$20*F25+'Regression Analysis'!B$21*G25+'Regression Analysis'!B$22*H25+'Regression Analysis'!B$23*I25+'Regression Analysis'!B$24*J25</f>
        <v>99478205.35209173</v>
      </c>
      <c r="L25" s="364">
        <f t="shared" si="0"/>
        <v>-9.7830027680988231E-3</v>
      </c>
      <c r="M25" s="365">
        <f t="shared" si="3"/>
        <v>9.7830027680988231E-3</v>
      </c>
    </row>
    <row r="26" spans="1:13" x14ac:dyDescent="0.25">
      <c r="A26" s="221" t="s">
        <v>114</v>
      </c>
      <c r="B26" s="362">
        <v>92270416.738763198</v>
      </c>
      <c r="C26" s="362">
        <v>3717095.5415191599</v>
      </c>
      <c r="D26" s="362">
        <v>860376.36096774193</v>
      </c>
      <c r="E26" s="362">
        <f t="shared" si="2"/>
        <v>87692944.836276293</v>
      </c>
      <c r="F26" s="206">
        <v>2007</v>
      </c>
      <c r="G26" s="362">
        <v>63.7</v>
      </c>
      <c r="H26" s="362">
        <v>40.200000000000003</v>
      </c>
      <c r="I26" s="362">
        <v>46749201</v>
      </c>
      <c r="J26" s="363">
        <v>0.608962832123631</v>
      </c>
      <c r="K26" s="5">
        <f>'Regression Analysis'!B$19+'Regression Analysis'!B$20*F26+'Regression Analysis'!B$21*G26+'Regression Analysis'!B$22*H26+'Regression Analysis'!B$23*I26+'Regression Analysis'!B$24*J26</f>
        <v>85722116.242460236</v>
      </c>
      <c r="L26" s="364">
        <f t="shared" si="0"/>
        <v>-2.2474197867292697E-2</v>
      </c>
      <c r="M26" s="365">
        <f t="shared" si="3"/>
        <v>2.2474197867292697E-2</v>
      </c>
    </row>
    <row r="27" spans="1:13" x14ac:dyDescent="0.25">
      <c r="A27" s="221" t="s">
        <v>115</v>
      </c>
      <c r="B27" s="362">
        <v>89573639.481975868</v>
      </c>
      <c r="C27" s="362">
        <v>3438960.7632141099</v>
      </c>
      <c r="D27" s="362">
        <v>866900.77419354836</v>
      </c>
      <c r="E27" s="362">
        <f t="shared" si="2"/>
        <v>85267777.944568202</v>
      </c>
      <c r="F27" s="206">
        <v>2007</v>
      </c>
      <c r="G27" s="362">
        <v>144.00000000000003</v>
      </c>
      <c r="H27" s="362">
        <v>29.6</v>
      </c>
      <c r="I27" s="362">
        <v>48531421</v>
      </c>
      <c r="J27" s="363">
        <v>0.23319624263806399</v>
      </c>
      <c r="K27" s="5">
        <f>'Regression Analysis'!B$19+'Regression Analysis'!B$20*F27+'Regression Analysis'!B$21*G27+'Regression Analysis'!B$22*H27+'Regression Analysis'!B$23*I27+'Regression Analysis'!B$24*J27</f>
        <v>84332213.933903113</v>
      </c>
      <c r="L27" s="364">
        <f t="shared" si="0"/>
        <v>-1.0972069792569128E-2</v>
      </c>
      <c r="M27" s="365">
        <f t="shared" si="3"/>
        <v>1.0972069792569128E-2</v>
      </c>
    </row>
    <row r="28" spans="1:13" x14ac:dyDescent="0.25">
      <c r="A28" s="221" t="s">
        <v>116</v>
      </c>
      <c r="B28" s="362">
        <v>87837471.402337864</v>
      </c>
      <c r="C28" s="362">
        <v>2960291.37338256</v>
      </c>
      <c r="D28" s="362">
        <v>675073.64612903213</v>
      </c>
      <c r="E28" s="362">
        <f t="shared" si="2"/>
        <v>84202106.382826284</v>
      </c>
      <c r="F28" s="206">
        <v>2007</v>
      </c>
      <c r="G28" s="362">
        <v>445.9</v>
      </c>
      <c r="H28" s="362">
        <v>0</v>
      </c>
      <c r="I28" s="362">
        <v>48279982</v>
      </c>
      <c r="J28" s="363">
        <v>-2.0326425795801999E-2</v>
      </c>
      <c r="K28" s="5">
        <f>'Regression Analysis'!B$19+'Regression Analysis'!B$20*F28+'Regression Analysis'!B$21*G28+'Regression Analysis'!B$22*H28+'Regression Analysis'!B$23*I28+'Regression Analysis'!B$24*J28</f>
        <v>83665663.714607462</v>
      </c>
      <c r="L28" s="364">
        <f t="shared" si="0"/>
        <v>-6.3708936897596807E-3</v>
      </c>
      <c r="M28" s="365">
        <f t="shared" si="3"/>
        <v>6.3708936897596807E-3</v>
      </c>
    </row>
    <row r="29" spans="1:13" x14ac:dyDescent="0.25">
      <c r="A29" s="221" t="s">
        <v>117</v>
      </c>
      <c r="B29" s="362">
        <v>87667482.642911017</v>
      </c>
      <c r="C29" s="362">
        <v>2804858.44841003</v>
      </c>
      <c r="D29" s="362">
        <v>569647.00096774194</v>
      </c>
      <c r="E29" s="362">
        <f t="shared" si="2"/>
        <v>84292977.193533242</v>
      </c>
      <c r="F29" s="206">
        <v>2007</v>
      </c>
      <c r="G29" s="362">
        <v>624.19999999999993</v>
      </c>
      <c r="H29" s="362">
        <v>0</v>
      </c>
      <c r="I29" s="362">
        <v>41182527</v>
      </c>
      <c r="J29" s="363">
        <v>5.2494343901185E-2</v>
      </c>
      <c r="K29" s="5">
        <f>'Regression Analysis'!B$19+'Regression Analysis'!B$20*F29+'Regression Analysis'!B$21*G29+'Regression Analysis'!B$22*H29+'Regression Analysis'!B$23*I29+'Regression Analysis'!B$24*J29</f>
        <v>82646214.407556459</v>
      </c>
      <c r="L29" s="364">
        <f t="shared" si="0"/>
        <v>-1.9536180127982455E-2</v>
      </c>
      <c r="M29" s="365">
        <f t="shared" si="3"/>
        <v>1.9536180127982455E-2</v>
      </c>
    </row>
    <row r="30" spans="1:13" x14ac:dyDescent="0.25">
      <c r="A30" s="221" t="s">
        <v>118</v>
      </c>
      <c r="B30" s="362">
        <v>93143101.301960796</v>
      </c>
      <c r="C30" s="362">
        <v>3315213.5600128099</v>
      </c>
      <c r="D30" s="362">
        <v>578743.77516129031</v>
      </c>
      <c r="E30" s="362">
        <f t="shared" si="2"/>
        <v>89249143.966786683</v>
      </c>
      <c r="F30" s="206">
        <v>2008</v>
      </c>
      <c r="G30" s="362">
        <v>636.80000000000007</v>
      </c>
      <c r="H30" s="362">
        <v>0</v>
      </c>
      <c r="I30" s="362">
        <v>42681474</v>
      </c>
      <c r="J30" s="363">
        <v>0.41911749784950603</v>
      </c>
      <c r="K30" s="5">
        <f>'Regression Analysis'!B$19+'Regression Analysis'!B$20*F30+'Regression Analysis'!B$21*G30+'Regression Analysis'!B$22*H30+'Regression Analysis'!B$23*I30+'Regression Analysis'!B$24*J30</f>
        <v>85870899.070316494</v>
      </c>
      <c r="L30" s="364">
        <f t="shared" si="0"/>
        <v>-3.7851846486363777E-2</v>
      </c>
      <c r="M30" s="365">
        <f t="shared" si="3"/>
        <v>3.7851846486363777E-2</v>
      </c>
    </row>
    <row r="31" spans="1:13" x14ac:dyDescent="0.25">
      <c r="A31" s="221" t="s">
        <v>119</v>
      </c>
      <c r="B31" s="362">
        <v>88770189.936802417</v>
      </c>
      <c r="C31" s="362">
        <v>3234025.3358764602</v>
      </c>
      <c r="D31" s="362">
        <v>798075.42870967765</v>
      </c>
      <c r="E31" s="362">
        <f t="shared" si="2"/>
        <v>84738089.172216281</v>
      </c>
      <c r="F31" s="206">
        <v>2008</v>
      </c>
      <c r="G31" s="362">
        <v>669.8</v>
      </c>
      <c r="H31" s="362">
        <v>0</v>
      </c>
      <c r="I31" s="362">
        <v>44980567</v>
      </c>
      <c r="J31" s="363">
        <v>-0.50700916400478402</v>
      </c>
      <c r="K31" s="5">
        <f>'Regression Analysis'!B$19+'Regression Analysis'!B$20*F31+'Regression Analysis'!B$21*G31+'Regression Analysis'!B$22*H31+'Regression Analysis'!B$23*I31+'Regression Analysis'!B$24*J31</f>
        <v>81885522.57600072</v>
      </c>
      <c r="L31" s="364">
        <f t="shared" si="0"/>
        <v>-3.3663333975093385E-2</v>
      </c>
      <c r="M31" s="365">
        <f t="shared" si="3"/>
        <v>3.3663333975093385E-2</v>
      </c>
    </row>
    <row r="32" spans="1:13" x14ac:dyDescent="0.25">
      <c r="A32" s="221" t="s">
        <v>120</v>
      </c>
      <c r="B32" s="362">
        <v>90987188.058521867</v>
      </c>
      <c r="C32" s="362">
        <v>3367292.3364257799</v>
      </c>
      <c r="D32" s="362">
        <v>324813.41870967741</v>
      </c>
      <c r="E32" s="362">
        <f t="shared" si="2"/>
        <v>87295082.303386405</v>
      </c>
      <c r="F32" s="206">
        <v>2008</v>
      </c>
      <c r="G32" s="362">
        <v>606.90000000000009</v>
      </c>
      <c r="H32" s="362">
        <v>0</v>
      </c>
      <c r="I32" s="362">
        <v>44399361</v>
      </c>
      <c r="J32" s="363">
        <v>6.2739784171715995E-2</v>
      </c>
      <c r="K32" s="5">
        <f>'Regression Analysis'!B$19+'Regression Analysis'!B$20*F32+'Regression Analysis'!B$21*G32+'Regression Analysis'!B$22*H32+'Regression Analysis'!B$23*I32+'Regression Analysis'!B$24*J32</f>
        <v>84083779.953446642</v>
      </c>
      <c r="L32" s="364">
        <f t="shared" si="0"/>
        <v>-3.6786749782526849E-2</v>
      </c>
      <c r="M32" s="365">
        <f t="shared" si="3"/>
        <v>3.6786749782526849E-2</v>
      </c>
    </row>
    <row r="33" spans="1:13" x14ac:dyDescent="0.25">
      <c r="A33" s="221" t="s">
        <v>121</v>
      </c>
      <c r="B33" s="362">
        <v>81859112.378808439</v>
      </c>
      <c r="C33" s="362">
        <v>3326520.8597869799</v>
      </c>
      <c r="D33" s="362">
        <v>272732.77451612905</v>
      </c>
      <c r="E33" s="362">
        <f t="shared" si="2"/>
        <v>78259858.744505316</v>
      </c>
      <c r="F33" s="206">
        <v>2008</v>
      </c>
      <c r="G33" s="362">
        <v>278.5</v>
      </c>
      <c r="H33" s="362">
        <v>0</v>
      </c>
      <c r="I33" s="362">
        <v>45575941</v>
      </c>
      <c r="J33" s="363">
        <v>-0.69420914264628397</v>
      </c>
      <c r="K33" s="5">
        <f>'Regression Analysis'!B$19+'Regression Analysis'!B$20*F33+'Regression Analysis'!B$21*G33+'Regression Analysis'!B$22*H33+'Regression Analysis'!B$23*I33+'Regression Analysis'!B$24*J33</f>
        <v>73253463.363152385</v>
      </c>
      <c r="L33" s="364">
        <f t="shared" si="0"/>
        <v>-6.3971433908375591E-2</v>
      </c>
      <c r="M33" s="365">
        <f t="shared" si="3"/>
        <v>6.3971433908375591E-2</v>
      </c>
    </row>
    <row r="34" spans="1:13" x14ac:dyDescent="0.25">
      <c r="A34" s="221" t="s">
        <v>122</v>
      </c>
      <c r="B34" s="362">
        <v>81977434.43589744</v>
      </c>
      <c r="C34" s="362">
        <v>3166229.8803100502</v>
      </c>
      <c r="D34" s="362">
        <v>423731.035483871</v>
      </c>
      <c r="E34" s="362">
        <f t="shared" si="2"/>
        <v>78387473.520103529</v>
      </c>
      <c r="F34" s="206">
        <v>2008</v>
      </c>
      <c r="G34" s="362">
        <v>211.70000000000005</v>
      </c>
      <c r="H34" s="362">
        <v>4.0999999999999996</v>
      </c>
      <c r="I34" s="362">
        <v>46853489</v>
      </c>
      <c r="J34" s="363">
        <v>-0.29386468836728802</v>
      </c>
      <c r="K34" s="5">
        <f>'Regression Analysis'!B$19+'Regression Analysis'!B$20*F34+'Regression Analysis'!B$21*G34+'Regression Analysis'!B$22*H34+'Regression Analysis'!B$23*I34+'Regression Analysis'!B$24*J34</f>
        <v>76212129.035007909</v>
      </c>
      <c r="L34" s="364">
        <f t="shared" si="0"/>
        <v>-2.7751174867725818E-2</v>
      </c>
      <c r="M34" s="365">
        <f t="shared" si="3"/>
        <v>2.7751174867725818E-2</v>
      </c>
    </row>
    <row r="35" spans="1:13" x14ac:dyDescent="0.25">
      <c r="A35" s="221" t="s">
        <v>123</v>
      </c>
      <c r="B35" s="362">
        <v>93849983.736274511</v>
      </c>
      <c r="C35" s="362">
        <v>3589956.8756103502</v>
      </c>
      <c r="D35" s="362">
        <v>324924.99193548388</v>
      </c>
      <c r="E35" s="362">
        <f t="shared" si="2"/>
        <v>89935101.868728682</v>
      </c>
      <c r="F35" s="206">
        <v>2008</v>
      </c>
      <c r="G35" s="362">
        <v>21.8</v>
      </c>
      <c r="H35" s="362">
        <v>72.599999999999994</v>
      </c>
      <c r="I35" s="362">
        <v>48111832</v>
      </c>
      <c r="J35" s="363">
        <v>0.37476870063614698</v>
      </c>
      <c r="K35" s="5">
        <f>'Regression Analysis'!B$19+'Regression Analysis'!B$20*F35+'Regression Analysis'!B$21*G35+'Regression Analysis'!B$22*H35+'Regression Analysis'!B$23*I35+'Regression Analysis'!B$24*J35</f>
        <v>88917078.520274982</v>
      </c>
      <c r="L35" s="364">
        <f t="shared" si="0"/>
        <v>-1.1319532944318344E-2</v>
      </c>
      <c r="M35" s="365">
        <f t="shared" si="3"/>
        <v>1.1319532944318344E-2</v>
      </c>
    </row>
    <row r="36" spans="1:13" x14ac:dyDescent="0.25">
      <c r="A36" s="221" t="s">
        <v>124</v>
      </c>
      <c r="B36" s="362">
        <v>102502726.39668176</v>
      </c>
      <c r="C36" s="362">
        <v>3283392.4124145498</v>
      </c>
      <c r="D36" s="362">
        <v>229771.80516129028</v>
      </c>
      <c r="E36" s="362">
        <f t="shared" si="2"/>
        <v>98989562.179105908</v>
      </c>
      <c r="F36" s="206">
        <v>2008</v>
      </c>
      <c r="G36" s="362">
        <v>9.2000000000000011</v>
      </c>
      <c r="H36" s="362">
        <v>97.3</v>
      </c>
      <c r="I36" s="362">
        <v>46431669</v>
      </c>
      <c r="J36" s="363">
        <v>1.1308832727931699</v>
      </c>
      <c r="K36" s="5">
        <f>'Regression Analysis'!B$19+'Regression Analysis'!B$20*F36+'Regression Analysis'!B$21*G36+'Regression Analysis'!B$22*H36+'Regression Analysis'!B$23*I36+'Regression Analysis'!B$24*J36</f>
        <v>96581624.923419744</v>
      </c>
      <c r="L36" s="364">
        <f t="shared" si="0"/>
        <v>-2.4325163205888147E-2</v>
      </c>
      <c r="M36" s="365">
        <f t="shared" si="3"/>
        <v>2.4325163205888147E-2</v>
      </c>
    </row>
    <row r="37" spans="1:13" x14ac:dyDescent="0.25">
      <c r="A37" s="221" t="s">
        <v>125</v>
      </c>
      <c r="B37" s="362">
        <v>94902367.017647058</v>
      </c>
      <c r="C37" s="362">
        <v>3144912.8173370301</v>
      </c>
      <c r="D37" s="362">
        <v>519977.68064516131</v>
      </c>
      <c r="E37" s="362">
        <f t="shared" si="2"/>
        <v>91237476.519664854</v>
      </c>
      <c r="F37" s="206">
        <v>2008</v>
      </c>
      <c r="G37" s="362">
        <v>23.3</v>
      </c>
      <c r="H37" s="362">
        <v>45.699999999999996</v>
      </c>
      <c r="I37" s="362">
        <v>46291039</v>
      </c>
      <c r="J37" s="363">
        <v>1.5427178235774599</v>
      </c>
      <c r="K37" s="5">
        <f>'Regression Analysis'!B$19+'Regression Analysis'!B$20*F37+'Regression Analysis'!B$21*G37+'Regression Analysis'!B$22*H37+'Regression Analysis'!B$23*I37+'Regression Analysis'!B$24*J37</f>
        <v>91230430.14461869</v>
      </c>
      <c r="L37" s="364">
        <f t="shared" si="0"/>
        <v>-7.7231147933437831E-5</v>
      </c>
      <c r="M37" s="365">
        <f t="shared" si="3"/>
        <v>7.7231147933437831E-5</v>
      </c>
    </row>
    <row r="38" spans="1:13" x14ac:dyDescent="0.25">
      <c r="A38" s="221" t="s">
        <v>126</v>
      </c>
      <c r="B38" s="362">
        <v>86560477.223076925</v>
      </c>
      <c r="C38" s="362">
        <v>2760353.51422119</v>
      </c>
      <c r="D38" s="362">
        <v>317350.61806451605</v>
      </c>
      <c r="E38" s="362">
        <f t="shared" si="2"/>
        <v>83482773.090791211</v>
      </c>
      <c r="F38" s="206">
        <v>2008</v>
      </c>
      <c r="G38" s="362">
        <v>64.5</v>
      </c>
      <c r="H38" s="362">
        <v>25.3</v>
      </c>
      <c r="I38" s="362">
        <v>46613408</v>
      </c>
      <c r="J38" s="363">
        <v>0.608962832123631</v>
      </c>
      <c r="K38" s="5">
        <f>'Regression Analysis'!B$19+'Regression Analysis'!B$20*F38+'Regression Analysis'!B$21*G38+'Regression Analysis'!B$22*H38+'Regression Analysis'!B$23*I38+'Regression Analysis'!B$24*J38</f>
        <v>82655561.813500315</v>
      </c>
      <c r="L38" s="364">
        <f t="shared" si="0"/>
        <v>-9.9087661641434292E-3</v>
      </c>
      <c r="M38" s="365">
        <f t="shared" si="3"/>
        <v>9.9087661641434292E-3</v>
      </c>
    </row>
    <row r="39" spans="1:13" x14ac:dyDescent="0.25">
      <c r="A39" s="221" t="s">
        <v>127</v>
      </c>
      <c r="B39" s="362">
        <v>81010658.821417794</v>
      </c>
      <c r="C39" s="362">
        <v>2369884.8213806101</v>
      </c>
      <c r="D39" s="362">
        <v>468384.42322580644</v>
      </c>
      <c r="E39" s="362">
        <f t="shared" si="2"/>
        <v>78172389.576811373</v>
      </c>
      <c r="F39" s="206">
        <v>2008</v>
      </c>
      <c r="G39" s="362">
        <v>291.39999999999998</v>
      </c>
      <c r="H39" s="362">
        <v>0.1</v>
      </c>
      <c r="I39" s="362">
        <v>45988896</v>
      </c>
      <c r="J39" s="363">
        <v>0.23319624263806399</v>
      </c>
      <c r="K39" s="5">
        <f>'Regression Analysis'!B$19+'Regression Analysis'!B$20*F39+'Regression Analysis'!B$21*G39+'Regression Analysis'!B$22*H39+'Regression Analysis'!B$23*I39+'Regression Analysis'!B$24*J39</f>
        <v>80111166.341284499</v>
      </c>
      <c r="L39" s="364">
        <f t="shared" si="0"/>
        <v>2.4801298450370428E-2</v>
      </c>
      <c r="M39" s="365">
        <f t="shared" si="3"/>
        <v>2.4801298450370428E-2</v>
      </c>
    </row>
    <row r="40" spans="1:13" x14ac:dyDescent="0.25">
      <c r="A40" s="221" t="s">
        <v>128</v>
      </c>
      <c r="B40" s="362">
        <v>82084258.67730014</v>
      </c>
      <c r="C40" s="362">
        <v>2358679.9074859601</v>
      </c>
      <c r="D40" s="362">
        <v>367796.45806451613</v>
      </c>
      <c r="E40" s="362">
        <f t="shared" si="2"/>
        <v>79357782.311749667</v>
      </c>
      <c r="F40" s="206">
        <v>2008</v>
      </c>
      <c r="G40" s="362">
        <v>452.3</v>
      </c>
      <c r="H40" s="362">
        <v>0</v>
      </c>
      <c r="I40" s="362">
        <v>43334946</v>
      </c>
      <c r="J40" s="363">
        <v>-2.0326425795801999E-2</v>
      </c>
      <c r="K40" s="5">
        <f>'Regression Analysis'!B$19+'Regression Analysis'!B$20*F40+'Regression Analysis'!B$21*G40+'Regression Analysis'!B$22*H40+'Regression Analysis'!B$23*I40+'Regression Analysis'!B$24*J40</f>
        <v>79684712.27923353</v>
      </c>
      <c r="L40" s="364">
        <f t="shared" si="0"/>
        <v>4.1196963670122391E-3</v>
      </c>
      <c r="M40" s="365">
        <f t="shared" si="3"/>
        <v>4.1196963670122391E-3</v>
      </c>
    </row>
    <row r="41" spans="1:13" x14ac:dyDescent="0.25">
      <c r="A41" s="221" t="s">
        <v>129</v>
      </c>
      <c r="B41" s="362">
        <v>84438799.796606332</v>
      </c>
      <c r="C41" s="362">
        <v>2136379.0502967802</v>
      </c>
      <c r="D41" s="362">
        <v>299356.21580645163</v>
      </c>
      <c r="E41" s="362">
        <f t="shared" si="2"/>
        <v>82003064.530503094</v>
      </c>
      <c r="F41" s="206">
        <v>2008</v>
      </c>
      <c r="G41" s="362">
        <v>656.99999999999989</v>
      </c>
      <c r="H41" s="362">
        <v>0</v>
      </c>
      <c r="I41" s="362">
        <v>37504764</v>
      </c>
      <c r="J41" s="363">
        <v>5.2494343901185E-2</v>
      </c>
      <c r="K41" s="5">
        <f>'Regression Analysis'!B$19+'Regression Analysis'!B$20*F41+'Regression Analysis'!B$21*G41+'Regression Analysis'!B$22*H41+'Regression Analysis'!B$23*I41+'Regression Analysis'!B$24*J41</f>
        <v>80094385.308654323</v>
      </c>
      <c r="L41" s="364">
        <f t="shared" si="0"/>
        <v>-2.3275706008996651E-2</v>
      </c>
      <c r="M41" s="365">
        <f t="shared" si="3"/>
        <v>2.3275706008996651E-2</v>
      </c>
    </row>
    <row r="42" spans="1:13" x14ac:dyDescent="0.25">
      <c r="A42" s="221" t="s">
        <v>130</v>
      </c>
      <c r="B42" s="362">
        <v>86947552.082051277</v>
      </c>
      <c r="C42" s="362">
        <v>3023377.9320678702</v>
      </c>
      <c r="D42" s="362">
        <v>257414.28774193549</v>
      </c>
      <c r="E42" s="362">
        <f t="shared" si="2"/>
        <v>83666759.862241477</v>
      </c>
      <c r="F42" s="206">
        <v>2009</v>
      </c>
      <c r="G42" s="362">
        <v>871.70000000000016</v>
      </c>
      <c r="H42" s="362">
        <v>0</v>
      </c>
      <c r="I42" s="362">
        <v>33349265</v>
      </c>
      <c r="J42" s="363">
        <v>0.41911749784950603</v>
      </c>
      <c r="K42" s="5">
        <f>'Regression Analysis'!B$19+'Regression Analysis'!B$20*F42+'Regression Analysis'!B$21*G42+'Regression Analysis'!B$22*H42+'Regression Analysis'!B$23*I42+'Regression Analysis'!B$24*J42</f>
        <v>83308404.222356483</v>
      </c>
      <c r="L42" s="364">
        <f t="shared" si="0"/>
        <v>-4.2831303671258588E-3</v>
      </c>
      <c r="M42" s="365">
        <f t="shared" si="3"/>
        <v>4.2831303671258588E-3</v>
      </c>
    </row>
    <row r="43" spans="1:13" x14ac:dyDescent="0.25">
      <c r="A43" s="221" t="s">
        <v>131</v>
      </c>
      <c r="B43" s="362">
        <v>76764740.823227748</v>
      </c>
      <c r="C43" s="362">
        <v>2605509.4699706999</v>
      </c>
      <c r="D43" s="362">
        <v>337005.72870967735</v>
      </c>
      <c r="E43" s="362">
        <f t="shared" si="2"/>
        <v>73822225.624547362</v>
      </c>
      <c r="F43" s="206">
        <v>2009</v>
      </c>
      <c r="G43" s="362">
        <v>610.40000000000009</v>
      </c>
      <c r="H43" s="362">
        <v>0</v>
      </c>
      <c r="I43" s="362">
        <v>35341102</v>
      </c>
      <c r="J43" s="363">
        <v>-0.50700916400478402</v>
      </c>
      <c r="K43" s="5">
        <f>'Regression Analysis'!B$19+'Regression Analysis'!B$20*F43+'Regression Analysis'!B$21*G43+'Regression Analysis'!B$22*H43+'Regression Analysis'!B$23*I43+'Regression Analysis'!B$24*J43</f>
        <v>73247298.849031955</v>
      </c>
      <c r="L43" s="364">
        <f t="shared" si="0"/>
        <v>-7.787990278692339E-3</v>
      </c>
      <c r="M43" s="365">
        <f t="shared" si="3"/>
        <v>7.787990278692339E-3</v>
      </c>
    </row>
    <row r="44" spans="1:13" x14ac:dyDescent="0.25">
      <c r="A44" s="221" t="s">
        <v>132</v>
      </c>
      <c r="B44" s="362">
        <v>79621092.436274514</v>
      </c>
      <c r="C44" s="362">
        <v>2599571.3484878498</v>
      </c>
      <c r="D44" s="362">
        <v>251363.23032258064</v>
      </c>
      <c r="E44" s="362">
        <f t="shared" si="2"/>
        <v>76770157.857464075</v>
      </c>
      <c r="F44" s="206">
        <v>2009</v>
      </c>
      <c r="G44" s="362">
        <v>524.59999999999991</v>
      </c>
      <c r="H44" s="362">
        <v>0</v>
      </c>
      <c r="I44" s="362">
        <v>36682400</v>
      </c>
      <c r="J44" s="363">
        <v>6.2739784171715995E-2</v>
      </c>
      <c r="K44" s="5">
        <f>'Regression Analysis'!B$19+'Regression Analysis'!B$20*F44+'Regression Analysis'!B$21*G44+'Regression Analysis'!B$22*H44+'Regression Analysis'!B$23*I44+'Regression Analysis'!B$24*J44</f>
        <v>76360881.726104543</v>
      </c>
      <c r="L44" s="364">
        <f t="shared" si="0"/>
        <v>-5.3311878310764744E-3</v>
      </c>
      <c r="M44" s="365">
        <f t="shared" si="3"/>
        <v>5.3311878310764744E-3</v>
      </c>
    </row>
    <row r="45" spans="1:13" x14ac:dyDescent="0.25">
      <c r="A45" s="221" t="s">
        <v>133</v>
      </c>
      <c r="B45" s="362">
        <v>70191994.718702868</v>
      </c>
      <c r="C45" s="362">
        <v>2127458.4418945299</v>
      </c>
      <c r="D45" s="362">
        <v>468803.64387096767</v>
      </c>
      <c r="E45" s="362">
        <f t="shared" si="2"/>
        <v>67595732.632937372</v>
      </c>
      <c r="F45" s="206">
        <v>2009</v>
      </c>
      <c r="G45" s="362">
        <v>307.3</v>
      </c>
      <c r="H45" s="362">
        <v>1.6</v>
      </c>
      <c r="I45" s="362">
        <v>36521367</v>
      </c>
      <c r="J45" s="363">
        <v>-0.69420914264628397</v>
      </c>
      <c r="K45" s="5">
        <f>'Regression Analysis'!B$19+'Regression Analysis'!B$20*F45+'Regression Analysis'!B$21*G45+'Regression Analysis'!B$22*H45+'Regression Analysis'!B$23*I45+'Regression Analysis'!B$24*J45</f>
        <v>67045683.033284336</v>
      </c>
      <c r="L45" s="364">
        <f t="shared" si="0"/>
        <v>-8.1373420810445171E-3</v>
      </c>
      <c r="M45" s="365">
        <f t="shared" si="3"/>
        <v>8.1373420810445171E-3</v>
      </c>
    </row>
    <row r="46" spans="1:13" x14ac:dyDescent="0.25">
      <c r="A46" s="221" t="s">
        <v>134</v>
      </c>
      <c r="B46" s="362">
        <v>67121822.639894426</v>
      </c>
      <c r="C46" s="362">
        <v>2083263.82945251</v>
      </c>
      <c r="D46" s="362">
        <v>440549.50322580646</v>
      </c>
      <c r="E46" s="362">
        <f t="shared" si="2"/>
        <v>64598009.307216115</v>
      </c>
      <c r="F46" s="206">
        <v>2009</v>
      </c>
      <c r="G46" s="362">
        <v>159.49999999999997</v>
      </c>
      <c r="H46" s="362">
        <v>4.0999999999999996</v>
      </c>
      <c r="I46" s="362">
        <v>34102278</v>
      </c>
      <c r="J46" s="363">
        <v>-0.29386468836728802</v>
      </c>
      <c r="K46" s="5">
        <f>'Regression Analysis'!B$19+'Regression Analysis'!B$20*F46+'Regression Analysis'!B$21*G46+'Regression Analysis'!B$22*H46+'Regression Analysis'!B$23*I46+'Regression Analysis'!B$24*J46</f>
        <v>65498036.872892581</v>
      </c>
      <c r="L46" s="364">
        <f t="shared" si="0"/>
        <v>1.3932744605117814E-2</v>
      </c>
      <c r="M46" s="365">
        <f t="shared" si="3"/>
        <v>1.3932744605117814E-2</v>
      </c>
    </row>
    <row r="47" spans="1:13" x14ac:dyDescent="0.25">
      <c r="A47" s="221" t="s">
        <v>135</v>
      </c>
      <c r="B47" s="362">
        <v>72356018.497134238</v>
      </c>
      <c r="C47" s="362">
        <v>1692829.84088134</v>
      </c>
      <c r="D47" s="362">
        <v>292499.32322580647</v>
      </c>
      <c r="E47" s="362">
        <f t="shared" si="2"/>
        <v>70370689.333027095</v>
      </c>
      <c r="F47" s="206">
        <v>2009</v>
      </c>
      <c r="G47" s="362">
        <v>53.000000000000007</v>
      </c>
      <c r="H47" s="362">
        <v>31.5</v>
      </c>
      <c r="I47" s="362">
        <v>35283385</v>
      </c>
      <c r="J47" s="363">
        <v>0.37476870063614698</v>
      </c>
      <c r="K47" s="5">
        <f>'Regression Analysis'!B$19+'Regression Analysis'!B$20*F47+'Regression Analysis'!B$21*G47+'Regression Analysis'!B$22*H47+'Regression Analysis'!B$23*I47+'Regression Analysis'!B$24*J47</f>
        <v>73176723.354361117</v>
      </c>
      <c r="L47" s="364">
        <f t="shared" si="0"/>
        <v>3.9875039564477674E-2</v>
      </c>
      <c r="M47" s="365">
        <f t="shared" si="3"/>
        <v>3.9875039564477674E-2</v>
      </c>
    </row>
    <row r="48" spans="1:13" x14ac:dyDescent="0.25">
      <c r="A48" s="221" t="s">
        <v>136</v>
      </c>
      <c r="B48" s="362">
        <v>76458807.397812977</v>
      </c>
      <c r="C48" s="362">
        <v>654889.87072682299</v>
      </c>
      <c r="D48" s="362">
        <v>281046.14548387099</v>
      </c>
      <c r="E48" s="362">
        <f t="shared" si="2"/>
        <v>75522871.381602287</v>
      </c>
      <c r="F48" s="206">
        <v>2009</v>
      </c>
      <c r="G48" s="362">
        <v>23.599999999999998</v>
      </c>
      <c r="H48" s="362">
        <v>38.199999999999996</v>
      </c>
      <c r="I48" s="362">
        <v>36559330</v>
      </c>
      <c r="J48" s="363">
        <v>1.1308832727931699</v>
      </c>
      <c r="K48" s="5">
        <f>'Regression Analysis'!B$19+'Regression Analysis'!B$20*F48+'Regression Analysis'!B$21*G48+'Regression Analysis'!B$22*H48+'Regression Analysis'!B$23*I48+'Regression Analysis'!B$24*J48</f>
        <v>79711080.156640172</v>
      </c>
      <c r="L48" s="364">
        <f t="shared" si="0"/>
        <v>5.5456164449517356E-2</v>
      </c>
      <c r="M48" s="365">
        <f t="shared" si="3"/>
        <v>5.5456164449517356E-2</v>
      </c>
    </row>
    <row r="49" spans="1:13" x14ac:dyDescent="0.25">
      <c r="A49" s="221" t="s">
        <v>137</v>
      </c>
      <c r="B49" s="362">
        <v>86609625.164027154</v>
      </c>
      <c r="C49" s="362">
        <v>677717.22112655605</v>
      </c>
      <c r="D49" s="362">
        <v>267654.81387096772</v>
      </c>
      <c r="E49" s="362">
        <f t="shared" si="2"/>
        <v>85664253.129029632</v>
      </c>
      <c r="F49" s="206">
        <v>2009</v>
      </c>
      <c r="G49" s="362">
        <v>23.5</v>
      </c>
      <c r="H49" s="362">
        <v>71.8</v>
      </c>
      <c r="I49" s="362">
        <v>36544471</v>
      </c>
      <c r="J49" s="363">
        <v>1.5427178235774599</v>
      </c>
      <c r="K49" s="5">
        <f>'Regression Analysis'!B$19+'Regression Analysis'!B$20*F49+'Regression Analysis'!B$21*G49+'Regression Analysis'!B$22*H49+'Regression Analysis'!B$23*I49+'Regression Analysis'!B$24*J49</f>
        <v>87912707.018461913</v>
      </c>
      <c r="L49" s="364">
        <f t="shared" si="0"/>
        <v>2.6247282936624733E-2</v>
      </c>
      <c r="M49" s="365">
        <f t="shared" si="3"/>
        <v>2.6247282936624733E-2</v>
      </c>
    </row>
    <row r="50" spans="1:13" x14ac:dyDescent="0.25">
      <c r="A50" s="221" t="s">
        <v>138</v>
      </c>
      <c r="B50" s="362">
        <v>76835104.657466054</v>
      </c>
      <c r="C50" s="362">
        <v>682956.84535407997</v>
      </c>
      <c r="D50" s="362">
        <v>256989.42354838707</v>
      </c>
      <c r="E50" s="362">
        <f t="shared" si="2"/>
        <v>75895158.388563588</v>
      </c>
      <c r="F50" s="206">
        <v>2009</v>
      </c>
      <c r="G50" s="362">
        <v>76.7</v>
      </c>
      <c r="H50" s="362">
        <v>18.899999999999999</v>
      </c>
      <c r="I50" s="362">
        <v>38926914</v>
      </c>
      <c r="J50" s="363">
        <v>0.608962832123631</v>
      </c>
      <c r="K50" s="5">
        <f>'Regression Analysis'!B$19+'Regression Analysis'!B$20*F50+'Regression Analysis'!B$21*G50+'Regression Analysis'!B$22*H50+'Regression Analysis'!B$23*I50+'Regression Analysis'!B$24*J50</f>
        <v>75802411.999322519</v>
      </c>
      <c r="L50" s="364">
        <f t="shared" si="0"/>
        <v>-1.2220330151527193E-3</v>
      </c>
      <c r="M50" s="365">
        <f t="shared" si="3"/>
        <v>1.2220330151527193E-3</v>
      </c>
    </row>
    <row r="51" spans="1:13" x14ac:dyDescent="0.25">
      <c r="A51" s="221" t="s">
        <v>139</v>
      </c>
      <c r="B51" s="362">
        <v>74146762.420211166</v>
      </c>
      <c r="C51" s="362">
        <v>666502.85945510794</v>
      </c>
      <c r="D51" s="362">
        <v>167840.09387096774</v>
      </c>
      <c r="E51" s="362">
        <f t="shared" si="2"/>
        <v>73312419.46688509</v>
      </c>
      <c r="F51" s="206">
        <v>2009</v>
      </c>
      <c r="G51" s="362">
        <v>291.29999999999995</v>
      </c>
      <c r="H51" s="362">
        <v>0</v>
      </c>
      <c r="I51" s="362">
        <v>38337783</v>
      </c>
      <c r="J51" s="363">
        <v>0.23319624263806399</v>
      </c>
      <c r="K51" s="5">
        <f>'Regression Analysis'!B$19+'Regression Analysis'!B$20*F51+'Regression Analysis'!B$21*G51+'Regression Analysis'!B$22*H51+'Regression Analysis'!B$23*I51+'Regression Analysis'!B$24*J51</f>
        <v>74054885.06996052</v>
      </c>
      <c r="L51" s="364">
        <f t="shared" si="0"/>
        <v>1.0127419180467756E-2</v>
      </c>
      <c r="M51" s="365">
        <f t="shared" si="3"/>
        <v>1.0127419180467756E-2</v>
      </c>
    </row>
    <row r="52" spans="1:13" x14ac:dyDescent="0.25">
      <c r="A52" s="221" t="s">
        <v>140</v>
      </c>
      <c r="B52" s="362">
        <v>73824072.376923069</v>
      </c>
      <c r="C52" s="362">
        <v>516762.80983543303</v>
      </c>
      <c r="D52" s="362">
        <v>218904.94451612904</v>
      </c>
      <c r="E52" s="362">
        <f t="shared" si="2"/>
        <v>73088404.622571513</v>
      </c>
      <c r="F52" s="206">
        <v>2009</v>
      </c>
      <c r="G52" s="362">
        <v>353.2999999999999</v>
      </c>
      <c r="H52" s="362">
        <v>0</v>
      </c>
      <c r="I52" s="362">
        <v>38015352</v>
      </c>
      <c r="J52" s="363">
        <v>-2.0326425795801999E-2</v>
      </c>
      <c r="K52" s="5">
        <f>'Regression Analysis'!B$19+'Regression Analysis'!B$20*F52+'Regression Analysis'!B$21*G52+'Regression Analysis'!B$22*H52+'Regression Analysis'!B$23*I52+'Regression Analysis'!B$24*J52</f>
        <v>73339170.088722572</v>
      </c>
      <c r="L52" s="364">
        <f t="shared" si="0"/>
        <v>3.4309883687571431E-3</v>
      </c>
      <c r="M52" s="365">
        <f t="shared" si="3"/>
        <v>3.4309883687571431E-3</v>
      </c>
    </row>
    <row r="53" spans="1:13" x14ac:dyDescent="0.25">
      <c r="A53" s="221" t="s">
        <v>141</v>
      </c>
      <c r="B53" s="362">
        <v>80093124.595776767</v>
      </c>
      <c r="C53" s="362">
        <v>579144.011512756</v>
      </c>
      <c r="D53" s="362">
        <v>85110.967741935485</v>
      </c>
      <c r="E53" s="362">
        <f t="shared" si="2"/>
        <v>79428869.616522074</v>
      </c>
      <c r="F53" s="206">
        <v>2009</v>
      </c>
      <c r="G53" s="362">
        <v>634.20000000000005</v>
      </c>
      <c r="H53" s="362">
        <v>0</v>
      </c>
      <c r="I53" s="362">
        <v>37905631</v>
      </c>
      <c r="J53" s="363">
        <v>5.2494343901185E-2</v>
      </c>
      <c r="K53" s="5">
        <f>'Regression Analysis'!B$19+'Regression Analysis'!B$20*F53+'Regression Analysis'!B$21*G53+'Regression Analysis'!B$22*H53+'Regression Analysis'!B$23*I53+'Regression Analysis'!B$24*J53</f>
        <v>79344794.035644934</v>
      </c>
      <c r="L53" s="364">
        <f t="shared" si="0"/>
        <v>-1.0585015408509796E-3</v>
      </c>
      <c r="M53" s="365">
        <f t="shared" si="3"/>
        <v>1.0585015408509796E-3</v>
      </c>
    </row>
    <row r="54" spans="1:13" x14ac:dyDescent="0.25">
      <c r="A54" s="221" t="s">
        <v>142</v>
      </c>
      <c r="B54" s="362">
        <v>83935336.179986745</v>
      </c>
      <c r="C54" s="362">
        <v>620679.12614250102</v>
      </c>
      <c r="D54" s="362">
        <v>0</v>
      </c>
      <c r="E54" s="362">
        <f t="shared" si="2"/>
        <v>83314657.053844243</v>
      </c>
      <c r="F54" s="206">
        <v>2010</v>
      </c>
      <c r="G54" s="362">
        <v>726.79999999999984</v>
      </c>
      <c r="H54" s="362">
        <v>0</v>
      </c>
      <c r="I54" s="362">
        <v>37285840</v>
      </c>
      <c r="J54" s="363">
        <v>0.41911749784950603</v>
      </c>
      <c r="K54" s="5">
        <f>'Regression Analysis'!B$19+'Regression Analysis'!B$20*F54+'Regression Analysis'!B$21*G54+'Regression Analysis'!B$22*H54+'Regression Analysis'!B$23*I54+'Regression Analysis'!B$24*J54</f>
        <v>82650505.904893562</v>
      </c>
      <c r="L54" s="364">
        <f t="shared" si="0"/>
        <v>-7.9716003454404945E-3</v>
      </c>
      <c r="M54" s="365">
        <f t="shared" si="3"/>
        <v>7.9716003454404945E-3</v>
      </c>
    </row>
    <row r="55" spans="1:13" x14ac:dyDescent="0.25">
      <c r="A55" s="221" t="s">
        <v>143</v>
      </c>
      <c r="B55" s="362">
        <v>75293523.757307813</v>
      </c>
      <c r="C55" s="362">
        <v>531012.84810829104</v>
      </c>
      <c r="D55" s="362">
        <v>0</v>
      </c>
      <c r="E55" s="362">
        <f t="shared" si="2"/>
        <v>74762510.909199521</v>
      </c>
      <c r="F55" s="206">
        <v>2010</v>
      </c>
      <c r="G55" s="362">
        <v>636.9</v>
      </c>
      <c r="H55" s="362">
        <v>0</v>
      </c>
      <c r="I55" s="362">
        <v>38195753</v>
      </c>
      <c r="J55" s="363">
        <v>-0.50700916400478402</v>
      </c>
      <c r="K55" s="5">
        <f>'Regression Analysis'!B$19+'Regression Analysis'!B$20*F55+'Regression Analysis'!B$21*G55+'Regression Analysis'!B$22*H55+'Regression Analysis'!B$23*I55+'Regression Analysis'!B$24*J55</f>
        <v>75228706.170502052</v>
      </c>
      <c r="L55" s="364">
        <f t="shared" si="0"/>
        <v>6.2356822374349322E-3</v>
      </c>
      <c r="M55" s="365">
        <f t="shared" si="3"/>
        <v>6.2356822374349322E-3</v>
      </c>
    </row>
    <row r="56" spans="1:13" x14ac:dyDescent="0.25">
      <c r="A56" s="221" t="s">
        <v>144</v>
      </c>
      <c r="B56" s="362">
        <v>75774298.172033697</v>
      </c>
      <c r="C56" s="362">
        <v>500341.84064292902</v>
      </c>
      <c r="D56" s="362">
        <v>0</v>
      </c>
      <c r="E56" s="362">
        <f t="shared" si="2"/>
        <v>75273956.331390768</v>
      </c>
      <c r="F56" s="206">
        <v>2010</v>
      </c>
      <c r="G56" s="362">
        <v>453.19999999999993</v>
      </c>
      <c r="H56" s="362">
        <v>0</v>
      </c>
      <c r="I56" s="362">
        <v>41328149</v>
      </c>
      <c r="J56" s="363">
        <v>6.2739784171715995E-2</v>
      </c>
      <c r="K56" s="5">
        <f>'Regression Analysis'!B$19+'Regression Analysis'!B$20*F56+'Regression Analysis'!B$21*G56+'Regression Analysis'!B$22*H56+'Regression Analysis'!B$23*I56+'Regression Analysis'!B$24*J56</f>
        <v>77671392.220840618</v>
      </c>
      <c r="L56" s="364">
        <f t="shared" si="0"/>
        <v>3.1849473659856915E-2</v>
      </c>
      <c r="M56" s="365">
        <f t="shared" si="3"/>
        <v>3.1849473659856915E-2</v>
      </c>
    </row>
    <row r="57" spans="1:13" x14ac:dyDescent="0.25">
      <c r="A57" s="221" t="s">
        <v>145</v>
      </c>
      <c r="B57" s="362">
        <v>67215175.353699118</v>
      </c>
      <c r="C57" s="362">
        <v>418758.56623268098</v>
      </c>
      <c r="D57" s="362">
        <v>0</v>
      </c>
      <c r="E57" s="362">
        <f t="shared" si="2"/>
        <v>66796416.787466437</v>
      </c>
      <c r="F57" s="206">
        <v>2010</v>
      </c>
      <c r="G57" s="362">
        <v>246.19999999999996</v>
      </c>
      <c r="H57" s="362">
        <v>0</v>
      </c>
      <c r="I57" s="362">
        <v>40413693</v>
      </c>
      <c r="J57" s="363">
        <v>-0.69420914264628397</v>
      </c>
      <c r="K57" s="5">
        <f>'Regression Analysis'!B$19+'Regression Analysis'!B$20*F57+'Regression Analysis'!B$21*G57+'Regression Analysis'!B$22*H57+'Regression Analysis'!B$23*I57+'Regression Analysis'!B$24*J57</f>
        <v>67765724.00302428</v>
      </c>
      <c r="L57" s="364">
        <f t="shared" si="0"/>
        <v>1.4511365462042607E-2</v>
      </c>
      <c r="M57" s="365">
        <f t="shared" si="3"/>
        <v>1.4511365462042607E-2</v>
      </c>
    </row>
    <row r="58" spans="1:13" x14ac:dyDescent="0.25">
      <c r="A58" s="221" t="s">
        <v>146</v>
      </c>
      <c r="B58" s="362">
        <v>74380495.879336879</v>
      </c>
      <c r="C58" s="362">
        <v>397677.80594253499</v>
      </c>
      <c r="D58" s="362">
        <v>0</v>
      </c>
      <c r="E58" s="362">
        <f t="shared" si="2"/>
        <v>73982818.073394343</v>
      </c>
      <c r="F58" s="206">
        <v>2010</v>
      </c>
      <c r="G58" s="362">
        <v>117.2</v>
      </c>
      <c r="H58" s="362">
        <v>20</v>
      </c>
      <c r="I58" s="362">
        <v>41055161</v>
      </c>
      <c r="J58" s="363">
        <v>-0.29386468836728802</v>
      </c>
      <c r="K58" s="5">
        <f>'Regression Analysis'!B$19+'Regression Analysis'!B$20*F58+'Regression Analysis'!B$21*G58+'Regression Analysis'!B$22*H58+'Regression Analysis'!B$23*I58+'Regression Analysis'!B$24*J58</f>
        <v>71598199.961426675</v>
      </c>
      <c r="L58" s="364">
        <f t="shared" si="0"/>
        <v>-3.223205298292392E-2</v>
      </c>
      <c r="M58" s="365">
        <f t="shared" si="3"/>
        <v>3.223205298292392E-2</v>
      </c>
    </row>
    <row r="59" spans="1:13" x14ac:dyDescent="0.25">
      <c r="A59" s="221" t="s">
        <v>147</v>
      </c>
      <c r="B59" s="362">
        <v>84087070.929453045</v>
      </c>
      <c r="C59" s="362">
        <v>383437.64016151399</v>
      </c>
      <c r="D59" s="362">
        <v>0</v>
      </c>
      <c r="E59" s="362">
        <f t="shared" si="2"/>
        <v>83703633.289291531</v>
      </c>
      <c r="F59" s="206">
        <v>2010</v>
      </c>
      <c r="G59" s="362">
        <v>22.7</v>
      </c>
      <c r="H59" s="362">
        <v>62.699999999999996</v>
      </c>
      <c r="I59" s="362">
        <v>42286604</v>
      </c>
      <c r="J59" s="363">
        <v>0.37476870063614698</v>
      </c>
      <c r="K59" s="5">
        <f>'Regression Analysis'!B$19+'Regression Analysis'!B$20*F59+'Regression Analysis'!B$21*G59+'Regression Analysis'!B$22*H59+'Regression Analysis'!B$23*I59+'Regression Analysis'!B$24*J59</f>
        <v>82020004.937260777</v>
      </c>
      <c r="L59" s="364">
        <f t="shared" si="0"/>
        <v>-2.0114160949404641E-2</v>
      </c>
      <c r="M59" s="365">
        <f t="shared" si="3"/>
        <v>2.0114160949404641E-2</v>
      </c>
    </row>
    <row r="60" spans="1:13" x14ac:dyDescent="0.25">
      <c r="A60" s="221" t="s">
        <v>148</v>
      </c>
      <c r="B60" s="362">
        <v>96932864.478530467</v>
      </c>
      <c r="C60" s="362">
        <v>461309.91030883702</v>
      </c>
      <c r="D60" s="362">
        <v>0</v>
      </c>
      <c r="E60" s="362">
        <f t="shared" si="2"/>
        <v>96471554.568221629</v>
      </c>
      <c r="F60" s="206">
        <v>2010</v>
      </c>
      <c r="G60" s="362">
        <v>6.5</v>
      </c>
      <c r="H60" s="362">
        <v>136.30000000000001</v>
      </c>
      <c r="I60" s="362">
        <v>38393943</v>
      </c>
      <c r="J60" s="363">
        <v>1.1308832727931699</v>
      </c>
      <c r="K60" s="5">
        <f>'Regression Analysis'!B$19+'Regression Analysis'!B$20*F60+'Regression Analysis'!B$21*G60+'Regression Analysis'!B$22*H60+'Regression Analysis'!B$23*I60+'Regression Analysis'!B$24*J60</f>
        <v>95924325.336650729</v>
      </c>
      <c r="L60" s="364">
        <f t="shared" si="0"/>
        <v>-5.672441312054491E-3</v>
      </c>
      <c r="M60" s="365">
        <f t="shared" si="3"/>
        <v>5.672441312054491E-3</v>
      </c>
    </row>
    <row r="61" spans="1:13" x14ac:dyDescent="0.25">
      <c r="A61" s="221" t="s">
        <v>149</v>
      </c>
      <c r="B61" s="362">
        <v>97743567.159840733</v>
      </c>
      <c r="C61" s="362">
        <v>273584.72761154099</v>
      </c>
      <c r="D61" s="362">
        <v>0</v>
      </c>
      <c r="E61" s="362">
        <f t="shared" si="2"/>
        <v>97469982.432229191</v>
      </c>
      <c r="F61" s="206">
        <v>2010</v>
      </c>
      <c r="G61" s="362">
        <v>5.4</v>
      </c>
      <c r="H61" s="362">
        <v>88.4</v>
      </c>
      <c r="I61" s="362">
        <v>41231739</v>
      </c>
      <c r="J61" s="363">
        <v>1.5427178235774599</v>
      </c>
      <c r="K61" s="5">
        <f>'Regression Analysis'!B$19+'Regression Analysis'!B$20*F61+'Regression Analysis'!B$21*G61+'Regression Analysis'!B$22*H61+'Regression Analysis'!B$23*I61+'Regression Analysis'!B$24*J61</f>
        <v>92991658.550652325</v>
      </c>
      <c r="L61" s="364">
        <f t="shared" si="0"/>
        <v>-4.5945672399096214E-2</v>
      </c>
      <c r="M61" s="365">
        <f t="shared" si="3"/>
        <v>4.5945672399096214E-2</v>
      </c>
    </row>
    <row r="62" spans="1:13" x14ac:dyDescent="0.25">
      <c r="A62" s="221" t="s">
        <v>150</v>
      </c>
      <c r="B62" s="362">
        <v>78790031.852968782</v>
      </c>
      <c r="C62" s="362">
        <v>256466.90879440299</v>
      </c>
      <c r="D62" s="362">
        <v>0</v>
      </c>
      <c r="E62" s="362">
        <f t="shared" si="2"/>
        <v>78533564.944174379</v>
      </c>
      <c r="F62" s="206">
        <v>2010</v>
      </c>
      <c r="G62" s="362">
        <v>88</v>
      </c>
      <c r="H62" s="362">
        <v>35.299999999999997</v>
      </c>
      <c r="I62" s="362">
        <v>41624078</v>
      </c>
      <c r="J62" s="363">
        <v>0.608962832123631</v>
      </c>
      <c r="K62" s="5">
        <f>'Regression Analysis'!B$19+'Regression Analysis'!B$20*F62+'Regression Analysis'!B$21*G62+'Regression Analysis'!B$22*H62+'Regression Analysis'!B$23*I62+'Regression Analysis'!B$24*J62</f>
        <v>80014912.850635633</v>
      </c>
      <c r="L62" s="364">
        <f t="shared" si="0"/>
        <v>1.8862608714048198E-2</v>
      </c>
      <c r="M62" s="365">
        <f t="shared" si="3"/>
        <v>1.8862608714048198E-2</v>
      </c>
    </row>
    <row r="63" spans="1:13" x14ac:dyDescent="0.25">
      <c r="A63" s="221" t="s">
        <v>151</v>
      </c>
      <c r="B63" s="362">
        <v>74641109.405446231</v>
      </c>
      <c r="C63" s="362">
        <v>271066.15382003703</v>
      </c>
      <c r="D63" s="362">
        <v>0</v>
      </c>
      <c r="E63" s="362">
        <f t="shared" si="2"/>
        <v>74370043.251626194</v>
      </c>
      <c r="F63" s="206">
        <v>2010</v>
      </c>
      <c r="G63" s="362">
        <v>223.60000000000005</v>
      </c>
      <c r="H63" s="362">
        <v>0</v>
      </c>
      <c r="I63" s="362">
        <v>41735406</v>
      </c>
      <c r="J63" s="363">
        <v>0.23319624263806399</v>
      </c>
      <c r="K63" s="5">
        <f>'Regression Analysis'!B$19+'Regression Analysis'!B$20*F63+'Regression Analysis'!B$21*G63+'Regression Analysis'!B$22*H63+'Regression Analysis'!B$23*I63+'Regression Analysis'!B$24*J63</f>
        <v>74548921.896470696</v>
      </c>
      <c r="L63" s="364">
        <f t="shared" si="0"/>
        <v>2.4052513219506673E-3</v>
      </c>
      <c r="M63" s="365">
        <f t="shared" si="3"/>
        <v>2.4052513219506673E-3</v>
      </c>
    </row>
    <row r="64" spans="1:13" x14ac:dyDescent="0.25">
      <c r="A64" s="221" t="s">
        <v>152</v>
      </c>
      <c r="B64" s="362">
        <v>76077687.533716187</v>
      </c>
      <c r="C64" s="362">
        <v>298587.11596870399</v>
      </c>
      <c r="D64" s="362">
        <v>0</v>
      </c>
      <c r="E64" s="362">
        <f t="shared" si="2"/>
        <v>75779100.417747483</v>
      </c>
      <c r="F64" s="206">
        <v>2010</v>
      </c>
      <c r="G64" s="362">
        <v>414.10000000000008</v>
      </c>
      <c r="H64" s="362">
        <v>0</v>
      </c>
      <c r="I64" s="362">
        <v>40600131</v>
      </c>
      <c r="J64" s="363">
        <v>-2.0326425795801999E-2</v>
      </c>
      <c r="K64" s="5">
        <f>'Regression Analysis'!B$19+'Regression Analysis'!B$20*F64+'Regression Analysis'!B$21*G64+'Regression Analysis'!B$22*H64+'Regression Analysis'!B$23*I64+'Regression Analysis'!B$24*J64</f>
        <v>75810692.011266962</v>
      </c>
      <c r="L64" s="364">
        <f t="shared" si="0"/>
        <v>4.1689058520520889E-4</v>
      </c>
      <c r="M64" s="365">
        <f t="shared" si="3"/>
        <v>4.1689058520520889E-4</v>
      </c>
    </row>
    <row r="65" spans="1:13" x14ac:dyDescent="0.25">
      <c r="A65" s="221" t="s">
        <v>153</v>
      </c>
      <c r="B65" s="362">
        <v>81406963.530485719</v>
      </c>
      <c r="C65" s="362">
        <v>377747.07706832798</v>
      </c>
      <c r="D65" s="362">
        <v>0</v>
      </c>
      <c r="E65" s="362">
        <f t="shared" si="2"/>
        <v>81029216.453417391</v>
      </c>
      <c r="F65" s="206">
        <v>2010</v>
      </c>
      <c r="G65" s="362">
        <v>707.90000000000009</v>
      </c>
      <c r="H65" s="362">
        <v>0</v>
      </c>
      <c r="I65" s="362">
        <v>39964231</v>
      </c>
      <c r="J65" s="363">
        <v>5.2494343901185E-2</v>
      </c>
      <c r="K65" s="5">
        <f>'Regression Analysis'!B$19+'Regression Analysis'!B$20*F65+'Regression Analysis'!B$21*G65+'Regression Analysis'!B$22*H65+'Regression Analysis'!B$23*I65+'Regression Analysis'!B$24*J65</f>
        <v>81697781.787001267</v>
      </c>
      <c r="L65" s="364">
        <f t="shared" si="0"/>
        <v>8.2509169265906172E-3</v>
      </c>
      <c r="M65" s="365">
        <f t="shared" si="3"/>
        <v>8.2509169265906172E-3</v>
      </c>
    </row>
    <row r="66" spans="1:13" x14ac:dyDescent="0.25">
      <c r="A66" s="221" t="s">
        <v>154</v>
      </c>
      <c r="B66" s="362">
        <v>83352107.528024122</v>
      </c>
      <c r="C66" s="362">
        <v>384376.99633979797</v>
      </c>
      <c r="D66" s="362">
        <v>0</v>
      </c>
      <c r="E66" s="362">
        <f t="shared" si="2"/>
        <v>82967730.531684324</v>
      </c>
      <c r="F66" s="206">
        <v>2011</v>
      </c>
      <c r="G66" s="362">
        <v>791.40000000000032</v>
      </c>
      <c r="H66" s="362">
        <v>0</v>
      </c>
      <c r="I66" s="362">
        <v>41385749</v>
      </c>
      <c r="J66" s="363">
        <v>0.41911749784950603</v>
      </c>
      <c r="K66" s="5">
        <f>'Regression Analysis'!B$19+'Regression Analysis'!B$20*F66+'Regression Analysis'!B$21*G66+'Regression Analysis'!B$22*H66+'Regression Analysis'!B$23*I66+'Regression Analysis'!B$24*J66</f>
        <v>86278167.041593418</v>
      </c>
      <c r="L66" s="364">
        <f t="shared" si="0"/>
        <v>3.9900290012692102E-2</v>
      </c>
      <c r="M66" s="365">
        <f t="shared" si="3"/>
        <v>3.9900290012692102E-2</v>
      </c>
    </row>
    <row r="67" spans="1:13" x14ac:dyDescent="0.25">
      <c r="A67" s="221" t="s">
        <v>155</v>
      </c>
      <c r="B67" s="362">
        <v>75038777.142217189</v>
      </c>
      <c r="C67" s="362">
        <v>349597.11366915703</v>
      </c>
      <c r="D67" s="362">
        <v>0</v>
      </c>
      <c r="E67" s="362">
        <f t="shared" si="2"/>
        <v>74689180.028548032</v>
      </c>
      <c r="F67" s="206">
        <v>2011</v>
      </c>
      <c r="G67" s="362">
        <v>674.80000000000018</v>
      </c>
      <c r="H67" s="362">
        <v>0</v>
      </c>
      <c r="I67" s="362">
        <v>40385682</v>
      </c>
      <c r="J67" s="363">
        <v>-0.50700916400478402</v>
      </c>
      <c r="K67" s="5">
        <f>'Regression Analysis'!B$19+'Regression Analysis'!B$20*F67+'Regression Analysis'!B$21*G67+'Regression Analysis'!B$22*H67+'Regression Analysis'!B$23*I67+'Regression Analysis'!B$24*J67</f>
        <v>76962926.840514779</v>
      </c>
      <c r="L67" s="364">
        <f t="shared" si="0"/>
        <v>3.0442787176103225E-2</v>
      </c>
      <c r="M67" s="365">
        <f t="shared" si="3"/>
        <v>3.0442787176103225E-2</v>
      </c>
    </row>
    <row r="68" spans="1:13" x14ac:dyDescent="0.25">
      <c r="A68" s="221" t="s">
        <v>156</v>
      </c>
      <c r="B68" s="362">
        <v>79973938.316591248</v>
      </c>
      <c r="C68" s="362">
        <v>340423.90155982901</v>
      </c>
      <c r="D68" s="362">
        <v>0</v>
      </c>
      <c r="E68" s="362">
        <f t="shared" si="2"/>
        <v>79633514.415031418</v>
      </c>
      <c r="F68" s="206">
        <v>2011</v>
      </c>
      <c r="G68" s="362">
        <v>347.40000000000009</v>
      </c>
      <c r="H68" s="362">
        <v>0</v>
      </c>
      <c r="I68" s="362">
        <v>43636079</v>
      </c>
      <c r="J68" s="363">
        <v>6.2739784171715995E-2</v>
      </c>
      <c r="K68" s="5">
        <f>'Regression Analysis'!B$19+'Regression Analysis'!B$20*F68+'Regression Analysis'!B$21*G68+'Regression Analysis'!B$22*H68+'Regression Analysis'!B$23*I68+'Regression Analysis'!B$24*J68</f>
        <v>76630116.797673628</v>
      </c>
      <c r="L68" s="364">
        <f t="shared" si="0"/>
        <v>-3.7715246393682671E-2</v>
      </c>
      <c r="M68" s="365">
        <f t="shared" si="3"/>
        <v>3.7715246393682671E-2</v>
      </c>
    </row>
    <row r="69" spans="1:13" x14ac:dyDescent="0.25">
      <c r="A69" s="221" t="s">
        <v>157</v>
      </c>
      <c r="B69" s="362">
        <v>70497995.625746608</v>
      </c>
      <c r="C69" s="362">
        <v>269467.87193298299</v>
      </c>
      <c r="D69" s="362">
        <v>0</v>
      </c>
      <c r="E69" s="362">
        <f t="shared" si="2"/>
        <v>70228527.753813624</v>
      </c>
      <c r="F69" s="206">
        <v>2011</v>
      </c>
      <c r="G69" s="362">
        <v>341.09999999999997</v>
      </c>
      <c r="H69" s="362">
        <v>0</v>
      </c>
      <c r="I69" s="362">
        <v>40502825</v>
      </c>
      <c r="J69" s="363">
        <v>-0.69420914264628397</v>
      </c>
      <c r="K69" s="5">
        <f>'Regression Analysis'!B$19+'Regression Analysis'!B$20*F69+'Regression Analysis'!B$21*G69+'Regression Analysis'!B$22*H69+'Regression Analysis'!B$23*I69+'Regression Analysis'!B$24*J69</f>
        <v>69136063.53928715</v>
      </c>
      <c r="L69" s="364">
        <f t="shared" si="0"/>
        <v>-1.5555846740175332E-2</v>
      </c>
      <c r="M69" s="365">
        <f t="shared" si="3"/>
        <v>1.5555846740175332E-2</v>
      </c>
    </row>
    <row r="70" spans="1:13" x14ac:dyDescent="0.25">
      <c r="A70" s="221" t="s">
        <v>158</v>
      </c>
      <c r="B70" s="362">
        <v>71870902.822865769</v>
      </c>
      <c r="C70" s="362">
        <v>252420.57922744699</v>
      </c>
      <c r="D70" s="362">
        <v>0</v>
      </c>
      <c r="E70" s="362">
        <f t="shared" si="2"/>
        <v>71618482.243638322</v>
      </c>
      <c r="F70" s="206">
        <v>2011</v>
      </c>
      <c r="G70" s="362">
        <v>144.70000000000005</v>
      </c>
      <c r="H70" s="362">
        <v>20.200000000000003</v>
      </c>
      <c r="I70" s="362">
        <v>41346450</v>
      </c>
      <c r="J70" s="363">
        <v>-0.29386468836728802</v>
      </c>
      <c r="K70" s="5">
        <f>'Regression Analysis'!B$19+'Regression Analysis'!B$20*F70+'Regression Analysis'!B$21*G70+'Regression Analysis'!B$22*H70+'Regression Analysis'!B$23*I70+'Regression Analysis'!B$24*J70</f>
        <v>71803706.370195687</v>
      </c>
      <c r="L70" s="364">
        <f t="shared" ref="L70:L113" si="4">(K70-E70)/E70</f>
        <v>2.586261545270572E-3</v>
      </c>
      <c r="M70" s="365">
        <f t="shared" si="3"/>
        <v>2.586261545270572E-3</v>
      </c>
    </row>
    <row r="71" spans="1:13" x14ac:dyDescent="0.25">
      <c r="A71" s="221" t="s">
        <v>159</v>
      </c>
      <c r="B71" s="362">
        <v>79244873.983529404</v>
      </c>
      <c r="C71" s="362">
        <v>239945.916801452</v>
      </c>
      <c r="D71" s="362">
        <v>0</v>
      </c>
      <c r="E71" s="362">
        <f t="shared" ref="E71:E113" si="5">B71-C71-D71</f>
        <v>79004928.066727951</v>
      </c>
      <c r="F71" s="206">
        <v>2011</v>
      </c>
      <c r="G71" s="362">
        <v>28.400000000000002</v>
      </c>
      <c r="H71" s="362">
        <v>52.499999999999993</v>
      </c>
      <c r="I71" s="362">
        <v>42150675</v>
      </c>
      <c r="J71" s="363">
        <v>0.37476870063614698</v>
      </c>
      <c r="K71" s="5">
        <f>'Regression Analysis'!B$19+'Regression Analysis'!B$20*F71+'Regression Analysis'!B$21*G71+'Regression Analysis'!B$22*H71+'Regression Analysis'!B$23*I71+'Regression Analysis'!B$24*J71</f>
        <v>79809136.873136476</v>
      </c>
      <c r="L71" s="364">
        <f t="shared" si="4"/>
        <v>1.0179223322996837E-2</v>
      </c>
      <c r="M71" s="365">
        <f t="shared" si="3"/>
        <v>1.0179223322996837E-2</v>
      </c>
    </row>
    <row r="72" spans="1:13" x14ac:dyDescent="0.25">
      <c r="A72" s="221" t="s">
        <v>160</v>
      </c>
      <c r="B72" s="362">
        <v>98248971.156244352</v>
      </c>
      <c r="C72" s="362">
        <v>254826.78520965501</v>
      </c>
      <c r="D72" s="362">
        <v>0</v>
      </c>
      <c r="E72" s="362">
        <f t="shared" si="5"/>
        <v>97994144.371034697</v>
      </c>
      <c r="F72" s="206">
        <v>2011</v>
      </c>
      <c r="G72" s="362">
        <v>0.1</v>
      </c>
      <c r="H72" s="362">
        <v>170.00000000000006</v>
      </c>
      <c r="I72" s="362">
        <v>40454374</v>
      </c>
      <c r="J72" s="363">
        <v>1.1308832727931699</v>
      </c>
      <c r="K72" s="5">
        <f>'Regression Analysis'!B$19+'Regression Analysis'!B$20*F72+'Regression Analysis'!B$21*G72+'Regression Analysis'!B$22*H72+'Regression Analysis'!B$23*I72+'Regression Analysis'!B$24*J72</f>
        <v>102121595.07504252</v>
      </c>
      <c r="L72" s="364">
        <f t="shared" si="4"/>
        <v>4.2119360605671244E-2</v>
      </c>
      <c r="M72" s="365">
        <f t="shared" si="3"/>
        <v>4.2119360605671244E-2</v>
      </c>
    </row>
    <row r="73" spans="1:13" x14ac:dyDescent="0.25">
      <c r="A73" s="221" t="s">
        <v>161</v>
      </c>
      <c r="B73" s="362">
        <v>93117724.926380083</v>
      </c>
      <c r="C73" s="362">
        <v>256562.342046737</v>
      </c>
      <c r="D73" s="362">
        <v>0</v>
      </c>
      <c r="E73" s="362">
        <f t="shared" si="5"/>
        <v>92861162.584333345</v>
      </c>
      <c r="F73" s="206">
        <v>2011</v>
      </c>
      <c r="G73" s="362">
        <v>5.1000000000000005</v>
      </c>
      <c r="H73" s="362">
        <v>75.900000000000006</v>
      </c>
      <c r="I73" s="362">
        <v>44495143</v>
      </c>
      <c r="J73" s="363">
        <v>1.5427178235774599</v>
      </c>
      <c r="K73" s="5">
        <f>'Regression Analysis'!B$19+'Regression Analysis'!B$20*F73+'Regression Analysis'!B$21*G73+'Regression Analysis'!B$22*H73+'Regression Analysis'!B$23*I73+'Regression Analysis'!B$24*J73</f>
        <v>92714562.835637525</v>
      </c>
      <c r="L73" s="364">
        <f t="shared" si="4"/>
        <v>-1.5786981835671471E-3</v>
      </c>
      <c r="M73" s="365">
        <f t="shared" si="3"/>
        <v>1.5786981835671471E-3</v>
      </c>
    </row>
    <row r="74" spans="1:13" x14ac:dyDescent="0.25">
      <c r="A74" s="221" t="s">
        <v>162</v>
      </c>
      <c r="B74" s="362">
        <v>81174055.688325793</v>
      </c>
      <c r="C74" s="362">
        <v>232498.59032249401</v>
      </c>
      <c r="D74" s="362">
        <v>0</v>
      </c>
      <c r="E74" s="362">
        <f t="shared" si="5"/>
        <v>80941557.098003298</v>
      </c>
      <c r="F74" s="206">
        <v>2011</v>
      </c>
      <c r="G74" s="362">
        <v>77.599999999999994</v>
      </c>
      <c r="H74" s="362">
        <v>32.699999999999996</v>
      </c>
      <c r="I74" s="362">
        <v>44495209</v>
      </c>
      <c r="J74" s="363">
        <v>0.608962832123631</v>
      </c>
      <c r="K74" s="5">
        <f>'Regression Analysis'!B$19+'Regression Analysis'!B$20*F74+'Regression Analysis'!B$21*G74+'Regression Analysis'!B$22*H74+'Regression Analysis'!B$23*I74+'Regression Analysis'!B$24*J74</f>
        <v>80854288.086484581</v>
      </c>
      <c r="L74" s="364">
        <f t="shared" si="4"/>
        <v>-1.078173124505775E-3</v>
      </c>
      <c r="M74" s="365">
        <f t="shared" si="3"/>
        <v>1.078173124505775E-3</v>
      </c>
    </row>
    <row r="75" spans="1:13" x14ac:dyDescent="0.25">
      <c r="A75" s="221" t="s">
        <v>163</v>
      </c>
      <c r="B75" s="362">
        <v>75877673.895731524</v>
      </c>
      <c r="C75" s="362">
        <v>224362.322841644</v>
      </c>
      <c r="D75" s="362">
        <v>0</v>
      </c>
      <c r="E75" s="362">
        <f t="shared" si="5"/>
        <v>75653311.572889879</v>
      </c>
      <c r="F75" s="206">
        <v>2011</v>
      </c>
      <c r="G75" s="362">
        <v>228.29999999999998</v>
      </c>
      <c r="H75" s="362">
        <v>0</v>
      </c>
      <c r="I75" s="362">
        <v>44798937</v>
      </c>
      <c r="J75" s="363">
        <v>0.23319624263806399</v>
      </c>
      <c r="K75" s="5">
        <f>'Regression Analysis'!B$19+'Regression Analysis'!B$20*F75+'Regression Analysis'!B$21*G75+'Regression Analysis'!B$22*H75+'Regression Analysis'!B$23*I75+'Regression Analysis'!B$24*J75</f>
        <v>76245469.656067923</v>
      </c>
      <c r="L75" s="364">
        <f t="shared" si="4"/>
        <v>7.8272592549701592E-3</v>
      </c>
      <c r="M75" s="365">
        <f t="shared" si="3"/>
        <v>7.8272592549701592E-3</v>
      </c>
    </row>
    <row r="76" spans="1:13" x14ac:dyDescent="0.25">
      <c r="A76" s="221" t="s">
        <v>164</v>
      </c>
      <c r="B76" s="362">
        <v>77074926.057028666</v>
      </c>
      <c r="C76" s="362">
        <v>224929.06146430899</v>
      </c>
      <c r="D76" s="362">
        <v>0</v>
      </c>
      <c r="E76" s="362">
        <f t="shared" si="5"/>
        <v>76849996.995564356</v>
      </c>
      <c r="F76" s="206">
        <v>2011</v>
      </c>
      <c r="G76" s="362">
        <v>333.5</v>
      </c>
      <c r="H76" s="362">
        <v>0</v>
      </c>
      <c r="I76" s="362">
        <v>44900275</v>
      </c>
      <c r="J76" s="363">
        <v>-2.0326425795801999E-2</v>
      </c>
      <c r="K76" s="5">
        <f>'Regression Analysis'!B$19+'Regression Analysis'!B$20*F76+'Regression Analysis'!B$21*G76+'Regression Analysis'!B$22*H76+'Regression Analysis'!B$23*I76+'Regression Analysis'!B$24*J76</f>
        <v>76691652.23959668</v>
      </c>
      <c r="L76" s="364">
        <f t="shared" si="4"/>
        <v>-2.0604393254148859E-3</v>
      </c>
      <c r="M76" s="365">
        <f t="shared" si="3"/>
        <v>2.0604393254148859E-3</v>
      </c>
    </row>
    <row r="77" spans="1:13" x14ac:dyDescent="0.25">
      <c r="A77" s="221" t="s">
        <v>165</v>
      </c>
      <c r="B77" s="362">
        <v>78389290.668717951</v>
      </c>
      <c r="C77" s="362">
        <v>257071.20935058501</v>
      </c>
      <c r="D77" s="362">
        <v>0</v>
      </c>
      <c r="E77" s="362">
        <f t="shared" si="5"/>
        <v>78132219.459367365</v>
      </c>
      <c r="F77" s="206">
        <v>2011</v>
      </c>
      <c r="G77" s="362">
        <v>507.69999999999993</v>
      </c>
      <c r="H77" s="362">
        <v>0</v>
      </c>
      <c r="I77" s="362">
        <v>44435561</v>
      </c>
      <c r="J77" s="363">
        <v>5.2494343901185E-2</v>
      </c>
      <c r="K77" s="5">
        <f>'Regression Analysis'!B$19+'Regression Analysis'!B$20*F77+'Regression Analysis'!B$21*G77+'Regression Analysis'!B$22*H77+'Regression Analysis'!B$23*I77+'Regression Analysis'!B$24*J77</f>
        <v>80320768.089585885</v>
      </c>
      <c r="L77" s="364">
        <f t="shared" si="4"/>
        <v>2.8010834011398776E-2</v>
      </c>
      <c r="M77" s="365">
        <f t="shared" si="3"/>
        <v>2.8010834011398776E-2</v>
      </c>
    </row>
    <row r="78" spans="1:13" x14ac:dyDescent="0.25">
      <c r="A78" s="221" t="s">
        <v>166</v>
      </c>
      <c r="B78" s="362">
        <v>83027646.896704406</v>
      </c>
      <c r="C78" s="362">
        <v>296559.85457229603</v>
      </c>
      <c r="D78" s="362">
        <v>0</v>
      </c>
      <c r="E78" s="362">
        <f t="shared" si="5"/>
        <v>82731087.042132109</v>
      </c>
      <c r="F78" s="206">
        <v>2012</v>
      </c>
      <c r="G78" s="362">
        <v>613.20000000000016</v>
      </c>
      <c r="H78" s="362">
        <v>0</v>
      </c>
      <c r="I78" s="362">
        <v>44700072</v>
      </c>
      <c r="J78" s="363">
        <v>0.41911749784950603</v>
      </c>
      <c r="K78" s="5">
        <f>'Regression Analysis'!B$19+'Regression Analysis'!B$20*F78+'Regression Analysis'!B$21*G78+'Regression Analysis'!B$22*H78+'Regression Analysis'!B$23*I78+'Regression Analysis'!B$24*J78</f>
        <v>84513833.810801774</v>
      </c>
      <c r="L78" s="364">
        <f t="shared" si="4"/>
        <v>2.1548692666902503E-2</v>
      </c>
      <c r="M78" s="365">
        <f t="shared" si="3"/>
        <v>2.1548692666902503E-2</v>
      </c>
    </row>
    <row r="79" spans="1:13" x14ac:dyDescent="0.25">
      <c r="A79" s="221" t="s">
        <v>167</v>
      </c>
      <c r="B79" s="362">
        <v>77234915.513538122</v>
      </c>
      <c r="C79" s="362">
        <v>270658.73049545201</v>
      </c>
      <c r="D79" s="362">
        <v>0</v>
      </c>
      <c r="E79" s="362">
        <f t="shared" si="5"/>
        <v>76964256.783042669</v>
      </c>
      <c r="F79" s="206">
        <v>2012</v>
      </c>
      <c r="G79" s="362">
        <v>530.19999999999993</v>
      </c>
      <c r="H79" s="362">
        <v>0</v>
      </c>
      <c r="I79" s="362">
        <v>42889850</v>
      </c>
      <c r="J79" s="363">
        <v>-0.50700916400478402</v>
      </c>
      <c r="K79" s="5">
        <f>'Regression Analysis'!B$19+'Regression Analysis'!B$20*F79+'Regression Analysis'!B$21*G79+'Regression Analysis'!B$22*H79+'Regression Analysis'!B$23*I79+'Regression Analysis'!B$24*J79</f>
        <v>75289473.957866162</v>
      </c>
      <c r="L79" s="364">
        <f t="shared" si="4"/>
        <v>-2.1760527486124021E-2</v>
      </c>
      <c r="M79" s="365">
        <f t="shared" si="3"/>
        <v>2.1760527486124021E-2</v>
      </c>
    </row>
    <row r="80" spans="1:13" x14ac:dyDescent="0.25">
      <c r="A80" s="221" t="s">
        <v>168</v>
      </c>
      <c r="B80" s="362">
        <v>76624555.625955537</v>
      </c>
      <c r="C80" s="362">
        <v>273220.977241516</v>
      </c>
      <c r="D80" s="362">
        <v>0</v>
      </c>
      <c r="E80" s="362">
        <f t="shared" si="5"/>
        <v>76351334.648714021</v>
      </c>
      <c r="F80" s="206">
        <v>2012</v>
      </c>
      <c r="G80" s="362">
        <v>320.90000000000003</v>
      </c>
      <c r="H80" s="362">
        <v>0</v>
      </c>
      <c r="I80" s="362">
        <v>46011356</v>
      </c>
      <c r="J80" s="363">
        <v>6.2739784171715995E-2</v>
      </c>
      <c r="K80" s="5">
        <f>'Regression Analysis'!B$19+'Regression Analysis'!B$20*F80+'Regression Analysis'!B$21*G80+'Regression Analysis'!B$22*H80+'Regression Analysis'!B$23*I80+'Regression Analysis'!B$24*J80</f>
        <v>77214950.428680629</v>
      </c>
      <c r="L80" s="364">
        <f t="shared" si="4"/>
        <v>1.1311076406719415E-2</v>
      </c>
      <c r="M80" s="365">
        <f t="shared" si="3"/>
        <v>1.1311076406719415E-2</v>
      </c>
    </row>
    <row r="81" spans="1:13" x14ac:dyDescent="0.25">
      <c r="A81" s="221" t="s">
        <v>169</v>
      </c>
      <c r="B81" s="362">
        <v>70237183.979615659</v>
      </c>
      <c r="C81" s="362">
        <v>239875.21442222499</v>
      </c>
      <c r="D81" s="362">
        <v>0</v>
      </c>
      <c r="E81" s="362">
        <f t="shared" si="5"/>
        <v>69997308.765193433</v>
      </c>
      <c r="F81" s="206">
        <v>2012</v>
      </c>
      <c r="G81" s="362">
        <v>329.2999999999999</v>
      </c>
      <c r="H81" s="362">
        <v>0</v>
      </c>
      <c r="I81" s="362">
        <v>45391465</v>
      </c>
      <c r="J81" s="363">
        <v>-0.69420914264628397</v>
      </c>
      <c r="K81" s="5">
        <f>'Regression Analysis'!B$19+'Regression Analysis'!B$20*F81+'Regression Analysis'!B$21*G81+'Regression Analysis'!B$22*H81+'Regression Analysis'!B$23*I81+'Regression Analysis'!B$24*J81</f>
        <v>71805840.149974808</v>
      </c>
      <c r="L81" s="364">
        <f t="shared" si="4"/>
        <v>2.5837155980497899E-2</v>
      </c>
      <c r="M81" s="365">
        <f t="shared" si="3"/>
        <v>2.5837155980497899E-2</v>
      </c>
    </row>
    <row r="82" spans="1:13" x14ac:dyDescent="0.25">
      <c r="A82" s="221" t="s">
        <v>170</v>
      </c>
      <c r="B82" s="362">
        <v>76600478.482958302</v>
      </c>
      <c r="C82" s="362">
        <v>242769.89865589101</v>
      </c>
      <c r="D82" s="362">
        <v>0</v>
      </c>
      <c r="E82" s="362">
        <f t="shared" si="5"/>
        <v>76357708.58430241</v>
      </c>
      <c r="F82" s="206">
        <v>2012</v>
      </c>
      <c r="G82" s="362">
        <v>85.100000000000009</v>
      </c>
      <c r="H82" s="362">
        <v>18.7</v>
      </c>
      <c r="I82" s="362">
        <v>47528183</v>
      </c>
      <c r="J82" s="363">
        <v>-0.29386468836728802</v>
      </c>
      <c r="K82" s="5">
        <f>'Regression Analysis'!B$19+'Regression Analysis'!B$20*F82+'Regression Analysis'!B$21*G82+'Regression Analysis'!B$22*H82+'Regression Analysis'!B$23*I82+'Regression Analysis'!B$24*J82</f>
        <v>74202427.277935773</v>
      </c>
      <c r="L82" s="364">
        <f t="shared" si="4"/>
        <v>-2.8226112940347183E-2</v>
      </c>
      <c r="M82" s="365">
        <f t="shared" ref="M82:M113" si="6">ABS((K82-E82)/E82)</f>
        <v>2.8226112940347183E-2</v>
      </c>
    </row>
    <row r="83" spans="1:13" x14ac:dyDescent="0.25">
      <c r="A83" s="221" t="s">
        <v>171</v>
      </c>
      <c r="B83" s="362">
        <v>87102138.341089189</v>
      </c>
      <c r="C83" s="362">
        <v>228549.91664791101</v>
      </c>
      <c r="D83" s="362">
        <v>0</v>
      </c>
      <c r="E83" s="362">
        <f t="shared" si="5"/>
        <v>86873588.424441278</v>
      </c>
      <c r="F83" s="206">
        <v>2012</v>
      </c>
      <c r="G83" s="362">
        <v>1</v>
      </c>
      <c r="H83" s="362">
        <v>28.7</v>
      </c>
      <c r="I83" s="362">
        <v>47227131</v>
      </c>
      <c r="J83" s="363">
        <v>0.37476870063614698</v>
      </c>
      <c r="K83" s="5">
        <f>'Regression Analysis'!B$19+'Regression Analysis'!B$20*F83+'Regression Analysis'!B$21*G83+'Regression Analysis'!B$22*H83+'Regression Analysis'!B$23*I83+'Regression Analysis'!B$24*J83</f>
        <v>78462648.940544203</v>
      </c>
      <c r="L83" s="364">
        <f t="shared" si="4"/>
        <v>-9.6818142734054674E-2</v>
      </c>
      <c r="M83" s="365">
        <f t="shared" si="6"/>
        <v>9.6818142734054674E-2</v>
      </c>
    </row>
    <row r="84" spans="1:13" x14ac:dyDescent="0.25">
      <c r="A84" s="221" t="s">
        <v>172</v>
      </c>
      <c r="B84" s="362">
        <v>99161585.282704368</v>
      </c>
      <c r="C84" s="362">
        <v>203412.83810997001</v>
      </c>
      <c r="D84" s="362">
        <v>0</v>
      </c>
      <c r="E84" s="362">
        <f t="shared" si="5"/>
        <v>98958172.444594398</v>
      </c>
      <c r="F84" s="206">
        <v>2012</v>
      </c>
      <c r="G84" s="362">
        <v>0</v>
      </c>
      <c r="H84" s="362">
        <v>115.6</v>
      </c>
      <c r="I84" s="362">
        <v>42833426</v>
      </c>
      <c r="J84" s="363">
        <v>1.1308832727931699</v>
      </c>
      <c r="K84" s="5">
        <f>'Regression Analysis'!B$19+'Regression Analysis'!B$20*F84+'Regression Analysis'!B$21*G84+'Regression Analysis'!B$22*H84+'Regression Analysis'!B$23*I84+'Regression Analysis'!B$24*J84</f>
        <v>94457880.99911654</v>
      </c>
      <c r="L84" s="364">
        <f t="shared" si="4"/>
        <v>-4.5476703280848504E-2</v>
      </c>
      <c r="M84" s="365">
        <f t="shared" si="6"/>
        <v>4.5476703280848504E-2</v>
      </c>
    </row>
    <row r="85" spans="1:13" x14ac:dyDescent="0.25">
      <c r="A85" s="221" t="s">
        <v>173</v>
      </c>
      <c r="B85" s="362">
        <v>91562639.407286748</v>
      </c>
      <c r="C85" s="362">
        <v>236207.08723449701</v>
      </c>
      <c r="D85" s="362">
        <v>0</v>
      </c>
      <c r="E85" s="362">
        <f t="shared" si="5"/>
        <v>91326432.320052251</v>
      </c>
      <c r="F85" s="206">
        <v>2012</v>
      </c>
      <c r="G85" s="362">
        <v>9.7999999999999989</v>
      </c>
      <c r="H85" s="362">
        <v>64.2</v>
      </c>
      <c r="I85" s="362">
        <v>46525071</v>
      </c>
      <c r="J85" s="363">
        <v>1.5427178235774599</v>
      </c>
      <c r="K85" s="5">
        <f>'Regression Analysis'!B$19+'Regression Analysis'!B$20*F85+'Regression Analysis'!B$21*G85+'Regression Analysis'!B$22*H85+'Regression Analysis'!B$23*I85+'Regression Analysis'!B$24*J85</f>
        <v>91786379.002049431</v>
      </c>
      <c r="L85" s="364">
        <f t="shared" si="4"/>
        <v>5.0362931115638353E-3</v>
      </c>
      <c r="M85" s="365">
        <f t="shared" si="6"/>
        <v>5.0362931115638353E-3</v>
      </c>
    </row>
    <row r="86" spans="1:13" x14ac:dyDescent="0.25">
      <c r="A86" s="221" t="s">
        <v>174</v>
      </c>
      <c r="B86" s="362">
        <v>79318221.605655447</v>
      </c>
      <c r="C86" s="362">
        <v>221821.155338287</v>
      </c>
      <c r="D86" s="362">
        <v>0</v>
      </c>
      <c r="E86" s="362">
        <f t="shared" si="5"/>
        <v>79096400.450317159</v>
      </c>
      <c r="F86" s="206">
        <v>2012</v>
      </c>
      <c r="G86" s="362">
        <v>101.20000000000002</v>
      </c>
      <c r="H86" s="362">
        <v>27.4</v>
      </c>
      <c r="I86" s="362">
        <v>44793226</v>
      </c>
      <c r="J86" s="363">
        <v>0.608962832123631</v>
      </c>
      <c r="K86" s="5">
        <f>'Regression Analysis'!B$19+'Regression Analysis'!B$20*F86+'Regression Analysis'!B$21*G86+'Regression Analysis'!B$22*H86+'Regression Analysis'!B$23*I86+'Regression Analysis'!B$24*J86</f>
        <v>80099641.666633964</v>
      </c>
      <c r="L86" s="364">
        <f t="shared" si="4"/>
        <v>1.2683778409701089E-2</v>
      </c>
      <c r="M86" s="365">
        <f t="shared" si="6"/>
        <v>1.2683778409701089E-2</v>
      </c>
    </row>
    <row r="87" spans="1:13" x14ac:dyDescent="0.25">
      <c r="A87" s="221" t="s">
        <v>175</v>
      </c>
      <c r="B87" s="362">
        <v>76122124.602700442</v>
      </c>
      <c r="C87" s="362">
        <v>224738.66151428199</v>
      </c>
      <c r="D87" s="362">
        <v>0</v>
      </c>
      <c r="E87" s="362">
        <f t="shared" si="5"/>
        <v>75897385.94118616</v>
      </c>
      <c r="F87" s="206">
        <v>2012</v>
      </c>
      <c r="G87" s="362">
        <v>238.10000000000002</v>
      </c>
      <c r="H87" s="362">
        <v>2.7</v>
      </c>
      <c r="I87" s="362">
        <v>45235573</v>
      </c>
      <c r="J87" s="363">
        <v>0.23319624263806399</v>
      </c>
      <c r="K87" s="5">
        <f>'Regression Analysis'!B$19+'Regression Analysis'!B$20*F87+'Regression Analysis'!B$21*G87+'Regression Analysis'!B$22*H87+'Regression Analysis'!B$23*I87+'Regression Analysis'!B$24*J87</f>
        <v>76605734.872046411</v>
      </c>
      <c r="L87" s="364">
        <f t="shared" si="4"/>
        <v>9.3329819212635296E-3</v>
      </c>
      <c r="M87" s="365">
        <f t="shared" si="6"/>
        <v>9.3329819212635296E-3</v>
      </c>
    </row>
    <row r="88" spans="1:13" x14ac:dyDescent="0.25">
      <c r="A88" s="221" t="s">
        <v>176</v>
      </c>
      <c r="B88" s="362">
        <v>77701975.993199721</v>
      </c>
      <c r="C88" s="362">
        <v>291203.158073425</v>
      </c>
      <c r="D88" s="362">
        <v>0</v>
      </c>
      <c r="E88" s="362">
        <f t="shared" si="5"/>
        <v>77410772.835126296</v>
      </c>
      <c r="F88" s="206">
        <v>2012</v>
      </c>
      <c r="G88" s="362">
        <v>437.49999999999994</v>
      </c>
      <c r="H88" s="362">
        <v>0</v>
      </c>
      <c r="I88" s="362">
        <v>45914231</v>
      </c>
      <c r="J88" s="363">
        <v>-2.0326425795801999E-2</v>
      </c>
      <c r="K88" s="5">
        <f>'Regression Analysis'!B$19+'Regression Analysis'!B$20*F88+'Regression Analysis'!B$21*G88+'Regression Analysis'!B$22*H88+'Regression Analysis'!B$23*I88+'Regression Analysis'!B$24*J88</f>
        <v>78902623.49550204</v>
      </c>
      <c r="L88" s="364">
        <f t="shared" si="4"/>
        <v>1.9271874000704906E-2</v>
      </c>
      <c r="M88" s="365">
        <f t="shared" si="6"/>
        <v>1.9271874000704906E-2</v>
      </c>
    </row>
    <row r="89" spans="1:13" x14ac:dyDescent="0.25">
      <c r="A89" s="221" t="s">
        <v>177</v>
      </c>
      <c r="B89" s="362">
        <v>76850464.918402866</v>
      </c>
      <c r="C89" s="362">
        <v>282595.17002296401</v>
      </c>
      <c r="D89" s="362">
        <v>0</v>
      </c>
      <c r="E89" s="362">
        <f t="shared" si="5"/>
        <v>76567869.748379901</v>
      </c>
      <c r="F89" s="206">
        <v>2012</v>
      </c>
      <c r="G89" s="362">
        <v>501.40000000000009</v>
      </c>
      <c r="H89" s="362">
        <v>0</v>
      </c>
      <c r="I89" s="362">
        <v>41774375</v>
      </c>
      <c r="J89" s="363">
        <v>5.2494343901185E-2</v>
      </c>
      <c r="K89" s="5">
        <f>'Regression Analysis'!B$19+'Regression Analysis'!B$20*F89+'Regression Analysis'!B$21*G89+'Regression Analysis'!B$22*H89+'Regression Analysis'!B$23*I89+'Regression Analysis'!B$24*J89</f>
        <v>77715818.284253791</v>
      </c>
      <c r="L89" s="364">
        <f t="shared" si="4"/>
        <v>1.4992562019112192E-2</v>
      </c>
      <c r="M89" s="365">
        <f t="shared" si="6"/>
        <v>1.4992562019112192E-2</v>
      </c>
    </row>
    <row r="90" spans="1:13" x14ac:dyDescent="0.25">
      <c r="A90" s="221" t="s">
        <v>178</v>
      </c>
      <c r="B90" s="362">
        <v>83735387.97302936</v>
      </c>
      <c r="C90" s="362">
        <v>285594.26222228998</v>
      </c>
      <c r="D90" s="362">
        <v>0</v>
      </c>
      <c r="E90" s="362">
        <f t="shared" si="5"/>
        <v>83449793.71080707</v>
      </c>
      <c r="F90" s="206">
        <v>2013</v>
      </c>
      <c r="G90" s="362">
        <v>639.30000000000007</v>
      </c>
      <c r="H90" s="362">
        <v>0</v>
      </c>
      <c r="I90" s="362">
        <v>43255833</v>
      </c>
      <c r="J90" s="363">
        <v>0.41911749784950603</v>
      </c>
      <c r="K90" s="5">
        <f>'Regression Analysis'!B$19+'Regression Analysis'!B$20*F90+'Regression Analysis'!B$21*G90+'Regression Analysis'!B$22*H90+'Regression Analysis'!B$23*I90+'Regression Analysis'!B$24*J90</f>
        <v>83421517.015158609</v>
      </c>
      <c r="L90" s="364">
        <f t="shared" si="4"/>
        <v>-3.3884680106524502E-4</v>
      </c>
      <c r="M90" s="365">
        <f t="shared" si="6"/>
        <v>3.3884680106524502E-4</v>
      </c>
    </row>
    <row r="91" spans="1:13" x14ac:dyDescent="0.25">
      <c r="A91" s="221" t="s">
        <v>179</v>
      </c>
      <c r="B91" s="362">
        <v>76915645.530566543</v>
      </c>
      <c r="C91" s="362">
        <v>315742.53616774001</v>
      </c>
      <c r="D91" s="362">
        <v>0</v>
      </c>
      <c r="E91" s="362">
        <f t="shared" si="5"/>
        <v>76599902.994398803</v>
      </c>
      <c r="F91" s="206">
        <v>2013</v>
      </c>
      <c r="G91" s="362">
        <v>617</v>
      </c>
      <c r="H91" s="362">
        <v>0</v>
      </c>
      <c r="I91" s="362">
        <v>43116627</v>
      </c>
      <c r="J91" s="363">
        <v>-0.50700916400478402</v>
      </c>
      <c r="K91" s="5">
        <f>'Regression Analysis'!B$19+'Regression Analysis'!B$20*F91+'Regression Analysis'!B$21*G91+'Regression Analysis'!B$22*H91+'Regression Analysis'!B$23*I91+'Regression Analysis'!B$24*J91</f>
        <v>76596784.307590231</v>
      </c>
      <c r="L91" s="364">
        <f t="shared" si="4"/>
        <v>-4.0713978564689127E-5</v>
      </c>
      <c r="M91" s="365">
        <f t="shared" si="6"/>
        <v>4.0713978564689127E-5</v>
      </c>
    </row>
    <row r="92" spans="1:13" x14ac:dyDescent="0.25">
      <c r="A92" s="221" t="s">
        <v>180</v>
      </c>
      <c r="B92" s="362">
        <v>78384467.025207594</v>
      </c>
      <c r="C92" s="362">
        <v>283012.35421562102</v>
      </c>
      <c r="D92" s="362">
        <v>0</v>
      </c>
      <c r="E92" s="362">
        <f t="shared" si="5"/>
        <v>78101454.670991972</v>
      </c>
      <c r="F92" s="206">
        <v>2013</v>
      </c>
      <c r="G92" s="362">
        <v>547.9</v>
      </c>
      <c r="H92" s="362">
        <v>0</v>
      </c>
      <c r="I92" s="362">
        <v>44960463</v>
      </c>
      <c r="J92" s="363">
        <v>6.2739784171715995E-2</v>
      </c>
      <c r="K92" s="5">
        <f>'Regression Analysis'!B$19+'Regression Analysis'!B$20*F92+'Regression Analysis'!B$21*G92+'Regression Analysis'!B$22*H92+'Regression Analysis'!B$23*I92+'Regression Analysis'!B$24*J92</f>
        <v>80401085.590371683</v>
      </c>
      <c r="L92" s="364">
        <f t="shared" si="4"/>
        <v>2.9444149652104085E-2</v>
      </c>
      <c r="M92" s="365">
        <f t="shared" si="6"/>
        <v>2.9444149652104085E-2</v>
      </c>
    </row>
    <row r="93" spans="1:13" x14ac:dyDescent="0.25">
      <c r="A93" s="221" t="s">
        <v>181</v>
      </c>
      <c r="B93" s="362">
        <v>72681683.443277434</v>
      </c>
      <c r="C93" s="362">
        <v>197772.51174354501</v>
      </c>
      <c r="D93" s="362">
        <v>0</v>
      </c>
      <c r="E93" s="362">
        <f t="shared" si="5"/>
        <v>72483910.931533888</v>
      </c>
      <c r="F93" s="206">
        <v>2013</v>
      </c>
      <c r="G93" s="362">
        <v>353.59999999999997</v>
      </c>
      <c r="H93" s="362">
        <v>0</v>
      </c>
      <c r="I93" s="362">
        <v>44976603</v>
      </c>
      <c r="J93" s="363">
        <v>-0.69420914264628397</v>
      </c>
      <c r="K93" s="5">
        <f>'Regression Analysis'!B$19+'Regression Analysis'!B$20*F93+'Regression Analysis'!B$21*G93+'Regression Analysis'!B$22*H93+'Regression Analysis'!B$23*I93+'Regression Analysis'!B$24*J93</f>
        <v>71411805.879267931</v>
      </c>
      <c r="L93" s="364">
        <f t="shared" si="4"/>
        <v>-1.4790938271510142E-2</v>
      </c>
      <c r="M93" s="365">
        <f t="shared" si="6"/>
        <v>1.4790938271510142E-2</v>
      </c>
    </row>
    <row r="94" spans="1:13" x14ac:dyDescent="0.25">
      <c r="A94" s="221" t="s">
        <v>182</v>
      </c>
      <c r="B94" s="362">
        <v>75087148.648424909</v>
      </c>
      <c r="C94" s="362">
        <v>164779.47694778399</v>
      </c>
      <c r="D94" s="362">
        <v>0</v>
      </c>
      <c r="E94" s="362">
        <f t="shared" si="5"/>
        <v>74922369.171477124</v>
      </c>
      <c r="F94" s="206">
        <v>2013</v>
      </c>
      <c r="G94" s="362">
        <v>123.20000000000002</v>
      </c>
      <c r="H94" s="362">
        <v>34.9</v>
      </c>
      <c r="I94" s="362">
        <v>46651790</v>
      </c>
      <c r="J94" s="363">
        <v>-0.29386468836728802</v>
      </c>
      <c r="K94" s="5">
        <f>'Regression Analysis'!B$19+'Regression Analysis'!B$20*F94+'Regression Analysis'!B$21*G94+'Regression Analysis'!B$22*H94+'Regression Analysis'!B$23*I94+'Regression Analysis'!B$24*J94</f>
        <v>76367493.674309924</v>
      </c>
      <c r="L94" s="364">
        <f t="shared" si="4"/>
        <v>1.9288291585191325E-2</v>
      </c>
      <c r="M94" s="365">
        <f t="shared" si="6"/>
        <v>1.9288291585191325E-2</v>
      </c>
    </row>
    <row r="95" spans="1:13" x14ac:dyDescent="0.25">
      <c r="A95" s="221" t="s">
        <v>183</v>
      </c>
      <c r="B95" s="362">
        <v>79035304.977132231</v>
      </c>
      <c r="C95" s="362">
        <v>127637.383321762</v>
      </c>
      <c r="D95" s="362">
        <v>0</v>
      </c>
      <c r="E95" s="362">
        <f t="shared" si="5"/>
        <v>78907667.593810469</v>
      </c>
      <c r="F95" s="206">
        <v>2013</v>
      </c>
      <c r="G95" s="362">
        <v>42.3</v>
      </c>
      <c r="H95" s="362">
        <v>59.4</v>
      </c>
      <c r="I95" s="362">
        <v>45335122</v>
      </c>
      <c r="J95" s="363">
        <v>0.37476870063614698</v>
      </c>
      <c r="K95" s="5">
        <f>'Regression Analysis'!B$19+'Regression Analysis'!B$20*F95+'Regression Analysis'!B$21*G95+'Regression Analysis'!B$22*H95+'Regression Analysis'!B$23*I95+'Regression Analysis'!B$24*J95</f>
        <v>82306458.671935841</v>
      </c>
      <c r="L95" s="364">
        <f t="shared" si="4"/>
        <v>4.3073014090610054E-2</v>
      </c>
      <c r="M95" s="365">
        <f t="shared" si="6"/>
        <v>4.3073014090610054E-2</v>
      </c>
    </row>
    <row r="96" spans="1:13" x14ac:dyDescent="0.25">
      <c r="A96" s="221" t="s">
        <v>184</v>
      </c>
      <c r="B96" s="362">
        <v>94541769.624440745</v>
      </c>
      <c r="C96" s="362">
        <v>0</v>
      </c>
      <c r="D96" s="362">
        <v>0</v>
      </c>
      <c r="E96" s="362">
        <f t="shared" si="5"/>
        <v>94541769.624440745</v>
      </c>
      <c r="F96" s="206">
        <v>2013</v>
      </c>
      <c r="G96" s="362">
        <v>10.8</v>
      </c>
      <c r="H96" s="362">
        <v>105.5</v>
      </c>
      <c r="I96" s="362">
        <v>44400265</v>
      </c>
      <c r="J96" s="363">
        <v>1.1308832727931699</v>
      </c>
      <c r="K96" s="5">
        <f>'Regression Analysis'!B$19+'Regression Analysis'!B$20*F96+'Regression Analysis'!B$21*G96+'Regression Analysis'!B$22*H96+'Regression Analysis'!B$23*I96+'Regression Analysis'!B$24*J96</f>
        <v>93578970.28622821</v>
      </c>
      <c r="L96" s="364">
        <f t="shared" si="4"/>
        <v>-1.0183851455681171E-2</v>
      </c>
      <c r="M96" s="365">
        <f t="shared" si="6"/>
        <v>1.0183851455681171E-2</v>
      </c>
    </row>
    <row r="97" spans="1:13" x14ac:dyDescent="0.25">
      <c r="A97" s="221" t="s">
        <v>185</v>
      </c>
      <c r="B97" s="362">
        <v>89781914.584842682</v>
      </c>
      <c r="C97" s="362">
        <v>0</v>
      </c>
      <c r="D97" s="362">
        <v>0</v>
      </c>
      <c r="E97" s="362">
        <f t="shared" si="5"/>
        <v>89781914.584842682</v>
      </c>
      <c r="F97" s="206">
        <v>2013</v>
      </c>
      <c r="G97" s="362">
        <v>19.2</v>
      </c>
      <c r="H97" s="362">
        <v>58.999999999999993</v>
      </c>
      <c r="I97" s="362">
        <v>45231055</v>
      </c>
      <c r="J97" s="363">
        <v>1.5427178235774599</v>
      </c>
      <c r="K97" s="5">
        <f>'Regression Analysis'!B$19+'Regression Analysis'!B$20*F97+'Regression Analysis'!B$21*G97+'Regression Analysis'!B$22*H97+'Regression Analysis'!B$23*I97+'Regression Analysis'!B$24*J97</f>
        <v>89629921.904304564</v>
      </c>
      <c r="L97" s="364">
        <f t="shared" si="4"/>
        <v>-1.6929097718726735E-3</v>
      </c>
      <c r="M97" s="365">
        <f t="shared" si="6"/>
        <v>1.6929097718726735E-3</v>
      </c>
    </row>
    <row r="98" spans="1:13" x14ac:dyDescent="0.25">
      <c r="A98" s="221" t="s">
        <v>186</v>
      </c>
      <c r="B98" s="362">
        <v>80998234.489394829</v>
      </c>
      <c r="C98" s="362">
        <v>0</v>
      </c>
      <c r="D98" s="362">
        <v>0</v>
      </c>
      <c r="E98" s="362">
        <f t="shared" si="5"/>
        <v>80998234.489394829</v>
      </c>
      <c r="F98" s="206">
        <v>2013</v>
      </c>
      <c r="G98" s="362">
        <v>89.399999999999991</v>
      </c>
      <c r="H98" s="362">
        <v>30.8</v>
      </c>
      <c r="I98" s="362">
        <v>45667260</v>
      </c>
      <c r="J98" s="363">
        <v>0.608962832123631</v>
      </c>
      <c r="K98" s="5">
        <f>'Regression Analysis'!B$19+'Regression Analysis'!B$20*F98+'Regression Analysis'!B$21*G98+'Regression Analysis'!B$22*H98+'Regression Analysis'!B$23*I98+'Regression Analysis'!B$24*J98</f>
        <v>80454929.759114727</v>
      </c>
      <c r="L98" s="364">
        <f t="shared" si="4"/>
        <v>-6.7076120079041556E-3</v>
      </c>
      <c r="M98" s="365">
        <f t="shared" si="6"/>
        <v>6.7076120079041556E-3</v>
      </c>
    </row>
    <row r="99" spans="1:13" x14ac:dyDescent="0.25">
      <c r="A99" s="221" t="s">
        <v>187</v>
      </c>
      <c r="B99" s="362">
        <v>79087293.630566046</v>
      </c>
      <c r="C99" s="362">
        <v>0</v>
      </c>
      <c r="D99" s="362">
        <v>0</v>
      </c>
      <c r="E99" s="362">
        <f t="shared" si="5"/>
        <v>79087293.630566046</v>
      </c>
      <c r="F99" s="206">
        <v>2013</v>
      </c>
      <c r="G99" s="362">
        <v>195.69999999999996</v>
      </c>
      <c r="H99" s="362">
        <v>9.1999999999999993</v>
      </c>
      <c r="I99" s="362">
        <v>46815382</v>
      </c>
      <c r="J99" s="363">
        <v>0.23319624263806399</v>
      </c>
      <c r="K99" s="5">
        <f>'Regression Analysis'!B$19+'Regression Analysis'!B$20*F99+'Regression Analysis'!B$21*G99+'Regression Analysis'!B$22*H99+'Regression Analysis'!B$23*I99+'Regression Analysis'!B$24*J99</f>
        <v>77355541.474027455</v>
      </c>
      <c r="L99" s="364">
        <f t="shared" si="4"/>
        <v>-2.189671788021957E-2</v>
      </c>
      <c r="M99" s="365">
        <f t="shared" si="6"/>
        <v>2.189671788021957E-2</v>
      </c>
    </row>
    <row r="100" spans="1:13" x14ac:dyDescent="0.25">
      <c r="A100" s="221" t="s">
        <v>188</v>
      </c>
      <c r="B100" s="362">
        <v>79031975.338957369</v>
      </c>
      <c r="C100" s="362">
        <v>0</v>
      </c>
      <c r="D100" s="362">
        <v>0</v>
      </c>
      <c r="E100" s="362">
        <f t="shared" si="5"/>
        <v>79031975.338957369</v>
      </c>
      <c r="F100" s="206">
        <v>2013</v>
      </c>
      <c r="G100" s="362">
        <v>452.49999999999994</v>
      </c>
      <c r="H100" s="362">
        <v>0</v>
      </c>
      <c r="I100" s="362">
        <v>46503422</v>
      </c>
      <c r="J100" s="363">
        <v>-2.0326425795801999E-2</v>
      </c>
      <c r="K100" s="5">
        <f>'Regression Analysis'!B$19+'Regression Analysis'!B$20*F100+'Regression Analysis'!B$21*G100+'Regression Analysis'!B$22*H100+'Regression Analysis'!B$23*I100+'Regression Analysis'!B$24*J100</f>
        <v>79039560.895170465</v>
      </c>
      <c r="L100" s="364">
        <f t="shared" si="4"/>
        <v>9.5980850542610977E-5</v>
      </c>
      <c r="M100" s="365">
        <f t="shared" si="6"/>
        <v>9.5980850542610977E-5</v>
      </c>
    </row>
    <row r="101" spans="1:13" x14ac:dyDescent="0.25">
      <c r="A101" s="221" t="s">
        <v>189</v>
      </c>
      <c r="B101" s="362">
        <v>81479866.280675709</v>
      </c>
      <c r="C101" s="362">
        <v>0</v>
      </c>
      <c r="D101" s="362">
        <v>0</v>
      </c>
      <c r="E101" s="362">
        <f t="shared" si="5"/>
        <v>81479866.280675709</v>
      </c>
      <c r="F101" s="206">
        <v>2013</v>
      </c>
      <c r="G101" s="362">
        <v>648.89999999999986</v>
      </c>
      <c r="H101" s="362">
        <v>0</v>
      </c>
      <c r="I101" s="362">
        <v>44126783</v>
      </c>
      <c r="J101" s="363">
        <v>5.2494343901185E-2</v>
      </c>
      <c r="K101" s="5">
        <f>'Regression Analysis'!B$19+'Regression Analysis'!B$20*F101+'Regression Analysis'!B$21*G101+'Regression Analysis'!B$22*H101+'Regression Analysis'!B$23*I101+'Regression Analysis'!B$24*J101</f>
        <v>81746965.594044313</v>
      </c>
      <c r="L101" s="364">
        <f t="shared" si="4"/>
        <v>3.2781020092561269E-3</v>
      </c>
      <c r="M101" s="365">
        <f t="shared" si="6"/>
        <v>3.2781020092561269E-3</v>
      </c>
    </row>
    <row r="102" spans="1:13" x14ac:dyDescent="0.25">
      <c r="A102" s="221" t="s">
        <v>190</v>
      </c>
      <c r="B102" s="362">
        <v>89964154.906155244</v>
      </c>
      <c r="C102" s="362">
        <v>0</v>
      </c>
      <c r="D102" s="362">
        <v>0</v>
      </c>
      <c r="E102" s="362">
        <f t="shared" si="5"/>
        <v>89964154.906155244</v>
      </c>
      <c r="F102" s="206">
        <v>2014</v>
      </c>
      <c r="G102" s="362">
        <v>826.30000000000007</v>
      </c>
      <c r="H102" s="362">
        <v>0</v>
      </c>
      <c r="I102" s="362">
        <v>43836746</v>
      </c>
      <c r="J102" s="363">
        <v>0.41911749784950603</v>
      </c>
      <c r="K102" s="5">
        <f>'Regression Analysis'!B$19+'Regression Analysis'!B$20*F102+'Regression Analysis'!B$21*G102+'Regression Analysis'!B$22*H102+'Regression Analysis'!B$23*I102+'Regression Analysis'!B$24*J102</f>
        <v>86975373.439803943</v>
      </c>
      <c r="L102" s="364">
        <f t="shared" si="4"/>
        <v>-3.3221914544398302E-2</v>
      </c>
      <c r="M102" s="365">
        <f t="shared" si="6"/>
        <v>3.3221914544398302E-2</v>
      </c>
    </row>
    <row r="103" spans="1:13" x14ac:dyDescent="0.25">
      <c r="A103" s="221" t="s">
        <v>191</v>
      </c>
      <c r="B103" s="362">
        <v>79548214.208967507</v>
      </c>
      <c r="C103" s="362">
        <v>0</v>
      </c>
      <c r="D103" s="362">
        <v>0</v>
      </c>
      <c r="E103" s="362">
        <f t="shared" si="5"/>
        <v>79548214.208967507</v>
      </c>
      <c r="F103" s="206">
        <v>2014</v>
      </c>
      <c r="G103" s="362">
        <v>758.4</v>
      </c>
      <c r="H103" s="362">
        <v>0</v>
      </c>
      <c r="I103" s="362">
        <v>44788193</v>
      </c>
      <c r="J103" s="363">
        <v>-0.50700916400478402</v>
      </c>
      <c r="K103" s="5">
        <f>'Regression Analysis'!B$19+'Regression Analysis'!B$20*F103+'Regression Analysis'!B$21*G103+'Regression Analysis'!B$22*H103+'Regression Analysis'!B$23*I103+'Regression Analysis'!B$24*J103</f>
        <v>80020996.658578441</v>
      </c>
      <c r="L103" s="364">
        <f t="shared" si="4"/>
        <v>5.9433446031732125E-3</v>
      </c>
      <c r="M103" s="365">
        <f t="shared" si="6"/>
        <v>5.9433446031732125E-3</v>
      </c>
    </row>
    <row r="104" spans="1:13" x14ac:dyDescent="0.25">
      <c r="A104" s="221" t="s">
        <v>192</v>
      </c>
      <c r="B104" s="362">
        <v>85916309.077656254</v>
      </c>
      <c r="C104" s="362">
        <v>0</v>
      </c>
      <c r="D104" s="362">
        <v>0</v>
      </c>
      <c r="E104" s="362">
        <f t="shared" si="5"/>
        <v>85916309.077656254</v>
      </c>
      <c r="F104" s="206">
        <v>2014</v>
      </c>
      <c r="G104" s="362">
        <v>656.80000000000007</v>
      </c>
      <c r="H104" s="362">
        <v>0</v>
      </c>
      <c r="I104" s="362">
        <v>47969252</v>
      </c>
      <c r="J104" s="363">
        <v>6.2739784171715995E-2</v>
      </c>
      <c r="K104" s="5">
        <f>'Regression Analysis'!B$19+'Regression Analysis'!B$20*F104+'Regression Analysis'!B$21*G104+'Regression Analysis'!B$22*H104+'Regression Analysis'!B$23*I104+'Regression Analysis'!B$24*J104</f>
        <v>84132187.588453233</v>
      </c>
      <c r="L104" s="364">
        <f t="shared" si="4"/>
        <v>-2.0765806962103391E-2</v>
      </c>
      <c r="M104" s="365">
        <f t="shared" si="6"/>
        <v>2.0765806962103391E-2</v>
      </c>
    </row>
    <row r="105" spans="1:13" x14ac:dyDescent="0.25">
      <c r="A105" s="221" t="s">
        <v>193</v>
      </c>
      <c r="B105" s="362">
        <v>70343409.861830845</v>
      </c>
      <c r="C105" s="362">
        <v>0</v>
      </c>
      <c r="D105" s="362">
        <v>0</v>
      </c>
      <c r="E105" s="362">
        <f t="shared" si="5"/>
        <v>70343409.861830845</v>
      </c>
      <c r="F105" s="206">
        <v>2014</v>
      </c>
      <c r="G105" s="362">
        <v>342</v>
      </c>
      <c r="H105" s="362">
        <v>0</v>
      </c>
      <c r="I105" s="362">
        <v>47134140</v>
      </c>
      <c r="J105" s="363">
        <v>-0.69420914264628397</v>
      </c>
      <c r="K105" s="5">
        <f>'Regression Analysis'!B$19+'Regression Analysis'!B$20*F105+'Regression Analysis'!B$21*G105+'Regression Analysis'!B$22*H105+'Regression Analysis'!B$23*I105+'Regression Analysis'!B$24*J105</f>
        <v>72137869.638510257</v>
      </c>
      <c r="L105" s="364">
        <f t="shared" si="4"/>
        <v>2.5509991343952553E-2</v>
      </c>
      <c r="M105" s="365">
        <f t="shared" si="6"/>
        <v>2.5509991343952553E-2</v>
      </c>
    </row>
    <row r="106" spans="1:13" x14ac:dyDescent="0.25">
      <c r="A106" s="221" t="s">
        <v>194</v>
      </c>
      <c r="B106" s="362">
        <v>71981983.570672125</v>
      </c>
      <c r="C106" s="362">
        <v>0</v>
      </c>
      <c r="D106" s="362">
        <v>0</v>
      </c>
      <c r="E106" s="362">
        <f t="shared" si="5"/>
        <v>71981983.570672125</v>
      </c>
      <c r="F106" s="206">
        <v>2014</v>
      </c>
      <c r="G106" s="362">
        <v>140.9</v>
      </c>
      <c r="H106" s="362">
        <v>14</v>
      </c>
      <c r="I106" s="362">
        <v>49398644</v>
      </c>
      <c r="J106" s="363">
        <v>-0.29386468836728802</v>
      </c>
      <c r="K106" s="5">
        <f>'Regression Analysis'!B$19+'Regression Analysis'!B$20*F106+'Regression Analysis'!B$21*G106+'Regression Analysis'!B$22*H106+'Regression Analysis'!B$23*I106+'Regression Analysis'!B$24*J106</f>
        <v>74725010.595115274</v>
      </c>
      <c r="L106" s="364">
        <f t="shared" si="4"/>
        <v>3.8107133040450845E-2</v>
      </c>
      <c r="M106" s="365">
        <f t="shared" si="6"/>
        <v>3.8107133040450845E-2</v>
      </c>
    </row>
    <row r="107" spans="1:13" x14ac:dyDescent="0.25">
      <c r="A107" s="221" t="s">
        <v>195</v>
      </c>
      <c r="B107" s="362">
        <v>82005909.827866927</v>
      </c>
      <c r="C107" s="362">
        <v>0</v>
      </c>
      <c r="D107" s="362">
        <v>0</v>
      </c>
      <c r="E107" s="362">
        <f t="shared" si="5"/>
        <v>82005909.827866927</v>
      </c>
      <c r="F107" s="206">
        <v>2014</v>
      </c>
      <c r="G107" s="362">
        <v>18.499999999999996</v>
      </c>
      <c r="H107" s="362">
        <v>73.899999999999991</v>
      </c>
      <c r="I107" s="362">
        <v>48856376</v>
      </c>
      <c r="J107" s="363">
        <v>0.37476870063614698</v>
      </c>
      <c r="K107" s="5">
        <f>'Regression Analysis'!B$19+'Regression Analysis'!B$20*F107+'Regression Analysis'!B$21*G107+'Regression Analysis'!B$22*H107+'Regression Analysis'!B$23*I107+'Regression Analysis'!B$24*J107</f>
        <v>86101630.981269524</v>
      </c>
      <c r="L107" s="364">
        <f t="shared" si="4"/>
        <v>4.9944219410523565E-2</v>
      </c>
      <c r="M107" s="365">
        <f t="shared" si="6"/>
        <v>4.9944219410523565E-2</v>
      </c>
    </row>
    <row r="108" spans="1:13" x14ac:dyDescent="0.25">
      <c r="A108" s="221" t="s">
        <v>196</v>
      </c>
      <c r="B108" s="362">
        <v>86507061.367286459</v>
      </c>
      <c r="C108" s="362">
        <v>0</v>
      </c>
      <c r="D108" s="362">
        <v>0</v>
      </c>
      <c r="E108" s="362">
        <f t="shared" si="5"/>
        <v>86507061.367286459</v>
      </c>
      <c r="F108" s="206">
        <v>2014</v>
      </c>
      <c r="G108" s="362">
        <v>15.899999999999999</v>
      </c>
      <c r="H108" s="362">
        <v>49.399999999999984</v>
      </c>
      <c r="I108" s="362">
        <v>44707266.637499996</v>
      </c>
      <c r="J108" s="363">
        <v>1.1308832727931699</v>
      </c>
      <c r="K108" s="5">
        <f>'Regression Analysis'!B$19+'Regression Analysis'!B$20*F108+'Regression Analysis'!B$21*G108+'Regression Analysis'!B$22*H108+'Regression Analysis'!B$23*I108+'Regression Analysis'!B$24*J108</f>
        <v>84266780.18237564</v>
      </c>
      <c r="L108" s="364">
        <f t="shared" si="4"/>
        <v>-2.5897090358891841E-2</v>
      </c>
      <c r="M108" s="365">
        <f t="shared" si="6"/>
        <v>2.5897090358891841E-2</v>
      </c>
    </row>
    <row r="109" spans="1:13" x14ac:dyDescent="0.25">
      <c r="A109" s="221" t="s">
        <v>197</v>
      </c>
      <c r="B109" s="362">
        <v>87881427.978607193</v>
      </c>
      <c r="C109" s="362">
        <v>0</v>
      </c>
      <c r="D109" s="362">
        <v>0</v>
      </c>
      <c r="E109" s="362">
        <f t="shared" si="5"/>
        <v>87881427.978607193</v>
      </c>
      <c r="F109" s="206">
        <v>2014</v>
      </c>
      <c r="G109" s="362">
        <v>17.100000000000001</v>
      </c>
      <c r="H109" s="362">
        <v>60.300000000000004</v>
      </c>
      <c r="I109" s="362">
        <v>47025014.574999996</v>
      </c>
      <c r="J109" s="363">
        <v>1.5427178235774599</v>
      </c>
      <c r="K109" s="5">
        <f>'Regression Analysis'!B$19+'Regression Analysis'!B$20*F109+'Regression Analysis'!B$21*G109+'Regression Analysis'!B$22*H109+'Regression Analysis'!B$23*I109+'Regression Analysis'!B$24*J109</f>
        <v>90495485.769631073</v>
      </c>
      <c r="L109" s="364">
        <f t="shared" si="4"/>
        <v>2.9745281240311835E-2</v>
      </c>
      <c r="M109" s="365">
        <f t="shared" si="6"/>
        <v>2.9745281240311835E-2</v>
      </c>
    </row>
    <row r="110" spans="1:13" x14ac:dyDescent="0.25">
      <c r="A110" s="221" t="s">
        <v>198</v>
      </c>
      <c r="B110" s="362">
        <v>80675294.254468709</v>
      </c>
      <c r="C110" s="362">
        <v>0</v>
      </c>
      <c r="D110" s="362">
        <v>0</v>
      </c>
      <c r="E110" s="362">
        <f t="shared" si="5"/>
        <v>80675294.254468709</v>
      </c>
      <c r="F110" s="206">
        <v>2014</v>
      </c>
      <c r="G110" s="362">
        <v>97.100000000000009</v>
      </c>
      <c r="H110" s="362">
        <v>26.900000000000002</v>
      </c>
      <c r="I110" s="362">
        <v>46360999.074999996</v>
      </c>
      <c r="J110" s="363">
        <v>0.608962832123631</v>
      </c>
      <c r="K110" s="5">
        <f>'Regression Analysis'!B$19+'Regression Analysis'!B$20*F110+'Regression Analysis'!B$21*G110+'Regression Analysis'!B$22*H110+'Regression Analysis'!B$23*I110+'Regression Analysis'!B$24*J110</f>
        <v>79891949.905959308</v>
      </c>
      <c r="L110" s="364">
        <f t="shared" si="4"/>
        <v>-9.709841851193628E-3</v>
      </c>
      <c r="M110" s="365">
        <f t="shared" si="6"/>
        <v>9.709841851193628E-3</v>
      </c>
    </row>
    <row r="111" spans="1:13" x14ac:dyDescent="0.25">
      <c r="A111" s="221" t="s">
        <v>199</v>
      </c>
      <c r="B111" s="362">
        <v>77280642.136512533</v>
      </c>
      <c r="C111" s="362">
        <v>0</v>
      </c>
      <c r="D111" s="362">
        <v>0</v>
      </c>
      <c r="E111" s="362">
        <f t="shared" si="5"/>
        <v>77280642.136512533</v>
      </c>
      <c r="F111" s="206">
        <v>2014</v>
      </c>
      <c r="G111" s="362">
        <v>231.49999999999997</v>
      </c>
      <c r="H111" s="362">
        <v>0</v>
      </c>
      <c r="I111" s="362">
        <v>47176114.437499993</v>
      </c>
      <c r="J111" s="363">
        <v>0.23319624263806399</v>
      </c>
      <c r="K111" s="5">
        <f>'Regression Analysis'!B$19+'Regression Analysis'!B$20*F111+'Regression Analysis'!B$21*G111+'Regression Analysis'!B$22*H111+'Regression Analysis'!B$23*I111+'Regression Analysis'!B$24*J111</f>
        <v>76259197.303183705</v>
      </c>
      <c r="L111" s="364">
        <f t="shared" si="4"/>
        <v>-1.3217344021604984E-2</v>
      </c>
      <c r="M111" s="365">
        <f t="shared" si="6"/>
        <v>1.3217344021604984E-2</v>
      </c>
    </row>
    <row r="112" spans="1:13" x14ac:dyDescent="0.25">
      <c r="A112" s="221" t="s">
        <v>200</v>
      </c>
      <c r="B112" s="362">
        <v>79307673.390512124</v>
      </c>
      <c r="C112" s="362">
        <v>0</v>
      </c>
      <c r="D112" s="362">
        <v>0</v>
      </c>
      <c r="E112" s="362">
        <f t="shared" si="5"/>
        <v>79307673.390512124</v>
      </c>
      <c r="F112" s="206">
        <v>2014</v>
      </c>
      <c r="G112" s="362">
        <v>469.39999999999992</v>
      </c>
      <c r="H112" s="362">
        <v>0</v>
      </c>
      <c r="I112" s="362">
        <v>47364047.162499994</v>
      </c>
      <c r="J112" s="363">
        <v>-2.0326425795801999E-2</v>
      </c>
      <c r="K112" s="5">
        <f>'Regression Analysis'!B$19+'Regression Analysis'!B$20*F112+'Regression Analysis'!B$21*G112+'Regression Analysis'!B$22*H112+'Regression Analysis'!B$23*I112+'Regression Analysis'!B$24*J112</f>
        <v>79407882.489544466</v>
      </c>
      <c r="L112" s="364">
        <f t="shared" si="4"/>
        <v>1.2635485918104216E-3</v>
      </c>
      <c r="M112" s="365">
        <f t="shared" si="6"/>
        <v>1.2635485918104216E-3</v>
      </c>
    </row>
    <row r="113" spans="1:13" x14ac:dyDescent="0.25">
      <c r="A113" s="221" t="s">
        <v>201</v>
      </c>
      <c r="B113" s="362">
        <v>79700906.800489813</v>
      </c>
      <c r="C113" s="362">
        <v>0</v>
      </c>
      <c r="D113" s="362">
        <v>0</v>
      </c>
      <c r="E113" s="362">
        <f t="shared" si="5"/>
        <v>79700906.800489813</v>
      </c>
      <c r="F113" s="206">
        <v>2014</v>
      </c>
      <c r="G113" s="362">
        <v>526.70000000000005</v>
      </c>
      <c r="H113" s="362">
        <v>0</v>
      </c>
      <c r="I113" s="362">
        <v>44024343.474999994</v>
      </c>
      <c r="J113" s="363">
        <v>5.2494343901185E-2</v>
      </c>
      <c r="K113" s="5">
        <f>'Regression Analysis'!B$19+'Regression Analysis'!B$20*F113+'Regression Analysis'!B$21*G113+'Regression Analysis'!B$22*H113+'Regression Analysis'!B$23*I113+'Regression Analysis'!B$24*J113</f>
        <v>78660367.02092199</v>
      </c>
      <c r="L113" s="364">
        <f t="shared" si="4"/>
        <v>-1.3055557600775354E-2</v>
      </c>
      <c r="M113" s="365">
        <f t="shared" si="6"/>
        <v>1.3055557600775354E-2</v>
      </c>
    </row>
    <row r="114" spans="1:13" x14ac:dyDescent="0.25">
      <c r="A114" s="221" t="s">
        <v>202</v>
      </c>
      <c r="B114" s="362"/>
      <c r="C114" s="362"/>
      <c r="D114" s="362"/>
      <c r="E114" s="362">
        <v>0</v>
      </c>
      <c r="F114" s="206">
        <v>2015</v>
      </c>
      <c r="G114" s="362">
        <v>678.35</v>
      </c>
      <c r="H114" s="362">
        <v>0</v>
      </c>
      <c r="I114" s="362">
        <v>46204336.345312499</v>
      </c>
      <c r="J114" s="363">
        <v>0.41911749784950603</v>
      </c>
      <c r="K114" s="5">
        <f>'Regression Analysis'!B$19+'Regression Analysis'!B$20*F114+'Regression Analysis'!B$21*G114+'Regression Analysis'!B$22*H114+'Regression Analysis'!B$23*I114+'Regression Analysis'!B$24*J114</f>
        <v>85137854.425750896</v>
      </c>
      <c r="L114" s="364"/>
      <c r="M114" s="365"/>
    </row>
    <row r="115" spans="1:13" x14ac:dyDescent="0.25">
      <c r="A115" s="221" t="s">
        <v>203</v>
      </c>
      <c r="B115" s="362"/>
      <c r="C115" s="362"/>
      <c r="D115" s="362"/>
      <c r="E115" s="362">
        <v>0</v>
      </c>
      <c r="F115" s="206">
        <v>2015</v>
      </c>
      <c r="G115" s="362">
        <v>632.47500000000002</v>
      </c>
      <c r="H115" s="362">
        <v>0</v>
      </c>
      <c r="I115" s="362">
        <v>45180277.449062496</v>
      </c>
      <c r="J115" s="363">
        <v>-0.50700916400478402</v>
      </c>
      <c r="K115" s="5">
        <f>'Regression Analysis'!B$19+'Regression Analysis'!B$20*F115+'Regression Analysis'!B$21*G115+'Regression Analysis'!B$22*H115+'Regression Analysis'!B$23*I115+'Regression Analysis'!B$24*J115</f>
        <v>77212941.096674502</v>
      </c>
      <c r="L115" s="364"/>
      <c r="M115" s="365"/>
    </row>
    <row r="116" spans="1:13" x14ac:dyDescent="0.25">
      <c r="A116" s="221" t="s">
        <v>204</v>
      </c>
      <c r="B116" s="362"/>
      <c r="C116" s="362"/>
      <c r="D116" s="362"/>
      <c r="E116" s="362">
        <v>0</v>
      </c>
      <c r="F116" s="206">
        <v>2015</v>
      </c>
      <c r="G116" s="362">
        <v>474.8</v>
      </c>
      <c r="H116" s="362">
        <v>0</v>
      </c>
      <c r="I116" s="362">
        <v>47788633.668437496</v>
      </c>
      <c r="J116" s="363">
        <v>6.2739784171715995E-2</v>
      </c>
      <c r="K116" s="5">
        <f>'Regression Analysis'!B$19+'Regression Analysis'!B$20*F116+'Regression Analysis'!B$21*G116+'Regression Analysis'!B$22*H116+'Regression Analysis'!B$23*I116+'Regression Analysis'!B$24*J116</f>
        <v>79799807.782452792</v>
      </c>
      <c r="L116" s="364"/>
      <c r="M116" s="365"/>
    </row>
    <row r="117" spans="1:13" x14ac:dyDescent="0.25">
      <c r="A117" s="221" t="s">
        <v>205</v>
      </c>
      <c r="B117" s="362"/>
      <c r="C117" s="362"/>
      <c r="D117" s="362"/>
      <c r="E117" s="362">
        <v>0</v>
      </c>
      <c r="F117" s="206">
        <v>2015</v>
      </c>
      <c r="G117" s="362">
        <v>313.27499999999992</v>
      </c>
      <c r="H117" s="362">
        <v>0.2</v>
      </c>
      <c r="I117" s="362">
        <v>47471475.721249998</v>
      </c>
      <c r="J117" s="363">
        <v>-0.69420914264628397</v>
      </c>
      <c r="K117" s="5">
        <f>'Regression Analysis'!B$19+'Regression Analysis'!B$20*F117+'Regression Analysis'!B$21*G117+'Regression Analysis'!B$22*H117+'Regression Analysis'!B$23*I117+'Regression Analysis'!B$24*J117</f>
        <v>71257329.525325984</v>
      </c>
      <c r="L117" s="364"/>
      <c r="M117" s="365"/>
    </row>
    <row r="118" spans="1:13" x14ac:dyDescent="0.25">
      <c r="A118" s="221" t="s">
        <v>206</v>
      </c>
      <c r="B118" s="362"/>
      <c r="C118" s="362"/>
      <c r="D118" s="362"/>
      <c r="E118" s="362">
        <v>0</v>
      </c>
      <c r="F118" s="206">
        <v>2015</v>
      </c>
      <c r="G118" s="362">
        <v>140.61250000000001</v>
      </c>
      <c r="H118" s="362">
        <v>19.512500000000003</v>
      </c>
      <c r="I118" s="362">
        <v>49473917.066562496</v>
      </c>
      <c r="J118" s="363">
        <v>-0.29386468836728802</v>
      </c>
      <c r="K118" s="5">
        <f>'Regression Analysis'!B$19+'Regression Analysis'!B$20*F118+'Regression Analysis'!B$21*G118+'Regression Analysis'!B$22*H118+'Regression Analysis'!B$23*I118+'Regression Analysis'!B$24*J118</f>
        <v>75080579.987155408</v>
      </c>
      <c r="L118" s="364"/>
      <c r="M118" s="365"/>
    </row>
    <row r="119" spans="1:13" x14ac:dyDescent="0.25">
      <c r="A119" s="221" t="s">
        <v>207</v>
      </c>
      <c r="B119" s="362"/>
      <c r="C119" s="362"/>
      <c r="D119" s="362"/>
      <c r="E119" s="362">
        <v>0</v>
      </c>
      <c r="F119" s="206">
        <v>2015</v>
      </c>
      <c r="G119" s="362">
        <v>29.362499999999997</v>
      </c>
      <c r="H119" s="362">
        <v>51.687499999999993</v>
      </c>
      <c r="I119" s="362">
        <v>48624108.529062495</v>
      </c>
      <c r="J119" s="363">
        <v>0.37476870063614698</v>
      </c>
      <c r="K119" s="5">
        <f>'Regression Analysis'!B$19+'Regression Analysis'!B$20*F119+'Regression Analysis'!B$21*G119+'Regression Analysis'!B$22*H119+'Regression Analysis'!B$23*I119+'Regression Analysis'!B$24*J119</f>
        <v>81986761.203994766</v>
      </c>
      <c r="L119" s="364"/>
      <c r="M119" s="365"/>
    </row>
    <row r="120" spans="1:13" x14ac:dyDescent="0.25">
      <c r="A120" s="221" t="s">
        <v>208</v>
      </c>
      <c r="B120" s="362"/>
      <c r="C120" s="362"/>
      <c r="D120" s="362"/>
      <c r="E120" s="362">
        <v>0</v>
      </c>
      <c r="F120" s="206">
        <v>2015</v>
      </c>
      <c r="G120" s="362">
        <v>9.15</v>
      </c>
      <c r="H120" s="362">
        <v>106.98750000000001</v>
      </c>
      <c r="I120" s="362">
        <v>45824948.303437494</v>
      </c>
      <c r="J120" s="363">
        <v>1.1308832727931699</v>
      </c>
      <c r="K120" s="5">
        <f>'Regression Analysis'!B$19+'Regression Analysis'!B$20*F120+'Regression Analysis'!B$21*G120+'Regression Analysis'!B$22*H120+'Regression Analysis'!B$23*I120+'Regression Analysis'!B$24*J120</f>
        <v>93638641.577247888</v>
      </c>
      <c r="L120" s="364"/>
      <c r="M120" s="365"/>
    </row>
    <row r="121" spans="1:13" x14ac:dyDescent="0.25">
      <c r="A121" s="221" t="s">
        <v>209</v>
      </c>
      <c r="B121" s="362"/>
      <c r="C121" s="362"/>
      <c r="D121" s="362"/>
      <c r="E121" s="362">
        <v>0</v>
      </c>
      <c r="F121" s="206">
        <v>2015</v>
      </c>
      <c r="G121" s="362">
        <v>13.8</v>
      </c>
      <c r="H121" s="362">
        <v>69.824999999999989</v>
      </c>
      <c r="I121" s="362">
        <v>48200639.939374998</v>
      </c>
      <c r="J121" s="363">
        <v>1.5427178235774599</v>
      </c>
      <c r="K121" s="5">
        <f>'Regression Analysis'!B$19+'Regression Analysis'!B$20*F121+'Regression Analysis'!B$21*G121+'Regression Analysis'!B$22*H121+'Regression Analysis'!B$23*I121+'Regression Analysis'!B$24*J121</f>
        <v>92223180.149153665</v>
      </c>
      <c r="L121" s="364"/>
      <c r="M121" s="365"/>
    </row>
    <row r="122" spans="1:13" x14ac:dyDescent="0.25">
      <c r="A122" s="221" t="s">
        <v>210</v>
      </c>
      <c r="B122" s="362"/>
      <c r="C122" s="362"/>
      <c r="D122" s="362"/>
      <c r="E122" s="362">
        <v>0</v>
      </c>
      <c r="F122" s="206">
        <v>2015</v>
      </c>
      <c r="G122" s="362">
        <v>81.3</v>
      </c>
      <c r="H122" s="362">
        <v>27.375000000000004</v>
      </c>
      <c r="I122" s="362">
        <v>47520024.051874995</v>
      </c>
      <c r="J122" s="363">
        <v>0.608962832123631</v>
      </c>
      <c r="K122" s="5">
        <f>'Regression Analysis'!B$19+'Regression Analysis'!B$20*F122+'Regression Analysis'!B$21*G122+'Regression Analysis'!B$22*H122+'Regression Analysis'!B$23*I122+'Regression Analysis'!B$24*J122</f>
        <v>79898975.734496802</v>
      </c>
      <c r="L122" s="364"/>
      <c r="M122" s="365"/>
    </row>
    <row r="123" spans="1:13" x14ac:dyDescent="0.25">
      <c r="A123" s="221" t="s">
        <v>211</v>
      </c>
      <c r="B123" s="362"/>
      <c r="C123" s="362"/>
      <c r="D123" s="362"/>
      <c r="E123" s="362">
        <v>0</v>
      </c>
      <c r="F123" s="206">
        <v>2015</v>
      </c>
      <c r="G123" s="362">
        <v>238.28749999999999</v>
      </c>
      <c r="H123" s="362">
        <v>5.4124999999999996</v>
      </c>
      <c r="I123" s="362">
        <v>48355517.298437499</v>
      </c>
      <c r="J123" s="363">
        <v>0.23319624263806399</v>
      </c>
      <c r="K123" s="5">
        <f>'Regression Analysis'!B$19+'Regression Analysis'!B$20*F123+'Regression Analysis'!B$21*G123+'Regression Analysis'!B$22*H123+'Regression Analysis'!B$23*I123+'Regression Analysis'!B$24*J123</f>
        <v>77526839.559923202</v>
      </c>
      <c r="L123" s="364"/>
      <c r="M123" s="365"/>
    </row>
    <row r="124" spans="1:13" x14ac:dyDescent="0.25">
      <c r="A124" s="221" t="s">
        <v>212</v>
      </c>
      <c r="B124" s="362"/>
      <c r="C124" s="362"/>
      <c r="D124" s="362"/>
      <c r="E124" s="362">
        <v>0</v>
      </c>
      <c r="F124" s="206">
        <v>2015</v>
      </c>
      <c r="G124" s="362">
        <v>408.42500000000007</v>
      </c>
      <c r="H124" s="362">
        <v>0</v>
      </c>
      <c r="I124" s="362">
        <v>48548148.341562495</v>
      </c>
      <c r="J124" s="363">
        <v>-2.0326425795801999E-2</v>
      </c>
      <c r="K124" s="5">
        <f>'Regression Analysis'!B$19+'Regression Analysis'!B$20*F124+'Regression Analysis'!B$21*G124+'Regression Analysis'!B$22*H124+'Regression Analysis'!B$23*I124+'Regression Analysis'!B$24*J124</f>
        <v>78457169.119670451</v>
      </c>
      <c r="L124" s="364"/>
      <c r="M124" s="365"/>
    </row>
    <row r="125" spans="1:13" x14ac:dyDescent="0.25">
      <c r="A125" s="221" t="s">
        <v>213</v>
      </c>
      <c r="B125" s="362"/>
      <c r="C125" s="362"/>
      <c r="D125" s="362"/>
      <c r="E125" s="362">
        <v>0</v>
      </c>
      <c r="F125" s="206">
        <v>2015</v>
      </c>
      <c r="G125" s="362">
        <v>596.63749999999993</v>
      </c>
      <c r="H125" s="362">
        <v>0</v>
      </c>
      <c r="I125" s="362">
        <v>45124952.061874993</v>
      </c>
      <c r="J125" s="363">
        <v>5.2494343901185E-2</v>
      </c>
      <c r="K125" s="5">
        <f>'Regression Analysis'!B$19+'Regression Analysis'!B$20*F125+'Regression Analysis'!B$21*G125+'Regression Analysis'!B$22*H125+'Regression Analysis'!B$23*I125+'Regression Analysis'!B$24*J125</f>
        <v>80255286.577967182</v>
      </c>
      <c r="L125" s="364"/>
      <c r="M125" s="365"/>
    </row>
    <row r="126" spans="1:13" x14ac:dyDescent="0.25">
      <c r="A126" s="221" t="s">
        <v>214</v>
      </c>
      <c r="B126" s="362"/>
      <c r="C126" s="362"/>
      <c r="D126" s="362"/>
      <c r="E126" s="362">
        <v>0</v>
      </c>
      <c r="F126" s="206">
        <v>2016</v>
      </c>
      <c r="G126" s="362">
        <v>678.35</v>
      </c>
      <c r="H126" s="362">
        <v>0</v>
      </c>
      <c r="I126" s="362">
        <v>47359444.753945306</v>
      </c>
      <c r="J126" s="363">
        <v>0.41911749784950603</v>
      </c>
      <c r="K126" s="5">
        <f>'Regression Analysis'!B$19+'Regression Analysis'!B$20*F126+'Regression Analysis'!B$21*G126+'Regression Analysis'!B$22*H126+'Regression Analysis'!B$23*I126+'Regression Analysis'!B$24*J126</f>
        <v>85379875.266551197</v>
      </c>
      <c r="L126" s="364"/>
      <c r="M126" s="365"/>
    </row>
    <row r="127" spans="1:13" x14ac:dyDescent="0.25">
      <c r="A127" s="221" t="s">
        <v>215</v>
      </c>
      <c r="B127" s="362"/>
      <c r="C127" s="362"/>
      <c r="D127" s="362"/>
      <c r="E127" s="362">
        <v>0</v>
      </c>
      <c r="F127" s="206">
        <v>2016</v>
      </c>
      <c r="G127" s="362">
        <v>632.47500000000002</v>
      </c>
      <c r="H127" s="362">
        <v>0</v>
      </c>
      <c r="I127" s="362">
        <v>46309784.385289058</v>
      </c>
      <c r="J127" s="363">
        <v>-0.50700916400478402</v>
      </c>
      <c r="K127" s="5">
        <f>'Regression Analysis'!B$19+'Regression Analysis'!B$20*F127+'Regression Analysis'!B$21*G127+'Regression Analysis'!B$22*H127+'Regression Analysis'!B$23*I127+'Regression Analysis'!B$24*J127</f>
        <v>77436704.183936402</v>
      </c>
      <c r="L127" s="364"/>
      <c r="M127" s="365"/>
    </row>
    <row r="128" spans="1:13" x14ac:dyDescent="0.25">
      <c r="A128" s="221" t="s">
        <v>216</v>
      </c>
      <c r="B128" s="362"/>
      <c r="C128" s="362"/>
      <c r="D128" s="362"/>
      <c r="E128" s="362">
        <v>0</v>
      </c>
      <c r="F128" s="206">
        <v>2016</v>
      </c>
      <c r="G128" s="362">
        <v>474.8</v>
      </c>
      <c r="H128" s="362">
        <v>0</v>
      </c>
      <c r="I128" s="362">
        <v>48983349.510148428</v>
      </c>
      <c r="J128" s="363">
        <v>6.2739784171715995E-2</v>
      </c>
      <c r="K128" s="5">
        <f>'Regression Analysis'!B$19+'Regression Analysis'!B$20*F128+'Regression Analysis'!B$21*G128+'Regression Analysis'!B$22*H128+'Regression Analysis'!B$23*I128+'Regression Analysis'!B$24*J128</f>
        <v>80070074.762379542</v>
      </c>
      <c r="L128" s="364"/>
      <c r="M128" s="365"/>
    </row>
    <row r="129" spans="1:13" x14ac:dyDescent="0.25">
      <c r="A129" s="221" t="s">
        <v>217</v>
      </c>
      <c r="B129" s="362"/>
      <c r="C129" s="362"/>
      <c r="D129" s="362"/>
      <c r="E129" s="362">
        <v>0</v>
      </c>
      <c r="F129" s="206">
        <v>2016</v>
      </c>
      <c r="G129" s="362">
        <v>313.27499999999992</v>
      </c>
      <c r="H129" s="362">
        <v>0.2</v>
      </c>
      <c r="I129" s="362">
        <v>48658262.614281245</v>
      </c>
      <c r="J129" s="363">
        <v>-0.69420914264628397</v>
      </c>
      <c r="K129" s="5">
        <f>'Regression Analysis'!B$19+'Regression Analysis'!B$20*F129+'Regression Analysis'!B$21*G129+'Regression Analysis'!B$22*H129+'Regression Analysis'!B$23*I129+'Regression Analysis'!B$24*J129</f>
        <v>71521941.955837965</v>
      </c>
      <c r="L129" s="364"/>
      <c r="M129" s="365"/>
    </row>
    <row r="130" spans="1:13" x14ac:dyDescent="0.25">
      <c r="A130" s="221" t="s">
        <v>218</v>
      </c>
      <c r="B130" s="362"/>
      <c r="C130" s="362"/>
      <c r="D130" s="362"/>
      <c r="E130" s="362">
        <v>0</v>
      </c>
      <c r="F130" s="206">
        <v>2016</v>
      </c>
      <c r="G130" s="362">
        <v>140.61250000000001</v>
      </c>
      <c r="H130" s="362">
        <v>19.512500000000003</v>
      </c>
      <c r="I130" s="362">
        <v>50710764.993226558</v>
      </c>
      <c r="J130" s="363">
        <v>-0.29386468836728802</v>
      </c>
      <c r="K130" s="5">
        <f>'Regression Analysis'!B$19+'Regression Analysis'!B$20*F130+'Regression Analysis'!B$21*G130+'Regression Analysis'!B$22*H130+'Regression Analysis'!B$23*I130+'Regression Analysis'!B$24*J130</f>
        <v>75380893.567954421</v>
      </c>
      <c r="L130" s="364"/>
      <c r="M130" s="365"/>
    </row>
    <row r="131" spans="1:13" x14ac:dyDescent="0.25">
      <c r="A131" s="221" t="s">
        <v>219</v>
      </c>
      <c r="B131" s="362"/>
      <c r="C131" s="362"/>
      <c r="D131" s="362"/>
      <c r="E131" s="362">
        <v>0</v>
      </c>
      <c r="F131" s="206">
        <v>2016</v>
      </c>
      <c r="G131" s="362">
        <v>29.362499999999997</v>
      </c>
      <c r="H131" s="362">
        <v>51.687499999999993</v>
      </c>
      <c r="I131" s="362">
        <v>49839711.242289059</v>
      </c>
      <c r="J131" s="363">
        <v>0.37476870063614698</v>
      </c>
      <c r="K131" s="5">
        <f>'Regression Analysis'!B$19+'Regression Analysis'!B$20*F131+'Regression Analysis'!B$21*G131+'Regression Analysis'!B$22*H131+'Regression Analysis'!B$23*I131+'Regression Analysis'!B$24*J131</f>
        <v>82271923.708142504</v>
      </c>
      <c r="L131" s="364"/>
      <c r="M131" s="365"/>
    </row>
    <row r="132" spans="1:13" x14ac:dyDescent="0.25">
      <c r="A132" s="221" t="s">
        <v>220</v>
      </c>
      <c r="B132" s="362"/>
      <c r="C132" s="362"/>
      <c r="D132" s="362"/>
      <c r="E132" s="362">
        <v>0</v>
      </c>
      <c r="F132" s="206">
        <v>2016</v>
      </c>
      <c r="G132" s="362">
        <v>9.15</v>
      </c>
      <c r="H132" s="362">
        <v>106.98750000000001</v>
      </c>
      <c r="I132" s="362">
        <v>46970572.011023432</v>
      </c>
      <c r="J132" s="363">
        <v>1.1308832727931699</v>
      </c>
      <c r="K132" s="5">
        <f>'Regression Analysis'!B$19+'Regression Analysis'!B$20*F132+'Regression Analysis'!B$21*G132+'Regression Analysis'!B$22*H132+'Regression Analysis'!B$23*I132+'Regression Analysis'!B$24*J132</f>
        <v>93873898.37997447</v>
      </c>
      <c r="L132" s="364"/>
      <c r="M132" s="365"/>
    </row>
    <row r="133" spans="1:13" x14ac:dyDescent="0.25">
      <c r="A133" s="221" t="s">
        <v>221</v>
      </c>
      <c r="B133" s="362"/>
      <c r="C133" s="362"/>
      <c r="D133" s="362"/>
      <c r="E133" s="362">
        <v>0</v>
      </c>
      <c r="F133" s="206">
        <v>2016</v>
      </c>
      <c r="G133" s="362">
        <v>13.8</v>
      </c>
      <c r="H133" s="362">
        <v>69.824999999999989</v>
      </c>
      <c r="I133" s="362">
        <v>49405655.937859371</v>
      </c>
      <c r="J133" s="363">
        <v>1.5427178235774599</v>
      </c>
      <c r="K133" s="5">
        <f>'Regression Analysis'!B$19+'Regression Analysis'!B$20*F133+'Regression Analysis'!B$21*G133+'Regression Analysis'!B$22*H133+'Regression Analysis'!B$23*I133+'Regression Analysis'!B$24*J133</f>
        <v>92500792.711427867</v>
      </c>
      <c r="L133" s="364"/>
      <c r="M133" s="365"/>
    </row>
    <row r="134" spans="1:13" x14ac:dyDescent="0.25">
      <c r="A134" s="221" t="s">
        <v>222</v>
      </c>
      <c r="B134" s="362"/>
      <c r="C134" s="362"/>
      <c r="D134" s="362"/>
      <c r="E134" s="362">
        <v>0</v>
      </c>
      <c r="F134" s="206">
        <v>2016</v>
      </c>
      <c r="G134" s="362">
        <v>81.3</v>
      </c>
      <c r="H134" s="362">
        <v>27.375000000000004</v>
      </c>
      <c r="I134" s="362">
        <v>48708024.653171867</v>
      </c>
      <c r="J134" s="363">
        <v>0.608962832123631</v>
      </c>
      <c r="K134" s="5">
        <f>'Regression Analysis'!B$19+'Regression Analysis'!B$20*F134+'Regression Analysis'!B$21*G134+'Regression Analysis'!B$22*H134+'Regression Analysis'!B$23*I134+'Regression Analysis'!B$24*J134</f>
        <v>80164453.724068403</v>
      </c>
      <c r="L134" s="364"/>
      <c r="M134" s="365"/>
    </row>
    <row r="135" spans="1:13" x14ac:dyDescent="0.25">
      <c r="A135" s="221" t="s">
        <v>223</v>
      </c>
      <c r="B135" s="362"/>
      <c r="C135" s="362"/>
      <c r="D135" s="362"/>
      <c r="E135" s="362">
        <v>0</v>
      </c>
      <c r="F135" s="206">
        <v>2016</v>
      </c>
      <c r="G135" s="362">
        <v>238.28749999999999</v>
      </c>
      <c r="H135" s="362">
        <v>5.4124999999999996</v>
      </c>
      <c r="I135" s="362">
        <v>49564405.230898432</v>
      </c>
      <c r="J135" s="363">
        <v>0.23319624263806399</v>
      </c>
      <c r="K135" s="5">
        <f>'Regression Analysis'!B$19+'Regression Analysis'!B$20*F135+'Regression Analysis'!B$21*G135+'Regression Analysis'!B$22*H135+'Regression Analysis'!B$23*I135+'Regression Analysis'!B$24*J135</f>
        <v>77807213.401515231</v>
      </c>
      <c r="L135" s="364"/>
      <c r="M135" s="365"/>
    </row>
    <row r="136" spans="1:13" x14ac:dyDescent="0.25">
      <c r="A136" s="221" t="s">
        <v>224</v>
      </c>
      <c r="B136" s="362"/>
      <c r="C136" s="362"/>
      <c r="D136" s="362"/>
      <c r="E136" s="362">
        <v>0</v>
      </c>
      <c r="F136" s="206">
        <v>2016</v>
      </c>
      <c r="G136" s="362">
        <v>408.42500000000007</v>
      </c>
      <c r="H136" s="362">
        <v>0</v>
      </c>
      <c r="I136" s="362">
        <v>49761852.050101556</v>
      </c>
      <c r="J136" s="363">
        <v>-2.0326425795801999E-2</v>
      </c>
      <c r="K136" s="5">
        <f>'Regression Analysis'!B$19+'Regression Analysis'!B$20*F136+'Regression Analysis'!B$21*G136+'Regression Analysis'!B$22*H136+'Regression Analysis'!B$23*I136+'Regression Analysis'!B$24*J136</f>
        <v>78740977.343915746</v>
      </c>
      <c r="L136" s="364"/>
      <c r="M136" s="365"/>
    </row>
    <row r="137" spans="1:13" x14ac:dyDescent="0.25">
      <c r="A137" s="366" t="s">
        <v>225</v>
      </c>
      <c r="B137" s="367"/>
      <c r="C137" s="367"/>
      <c r="D137" s="367"/>
      <c r="E137" s="367">
        <v>0</v>
      </c>
      <c r="F137" s="368">
        <v>2016</v>
      </c>
      <c r="G137" s="367">
        <v>596.63749999999993</v>
      </c>
      <c r="H137" s="367">
        <v>0</v>
      </c>
      <c r="I137" s="367">
        <v>46253075.863421872</v>
      </c>
      <c r="J137" s="369">
        <v>5.2494343901185E-2</v>
      </c>
      <c r="K137" s="19">
        <f>'Regression Analysis'!B$19+'Regression Analysis'!B$20*F137+'Regression Analysis'!B$21*G137+'Regression Analysis'!B$22*H137+'Regression Analysis'!B$23*I137+'Regression Analysis'!B$24*J137</f>
        <v>80478063.27930209</v>
      </c>
      <c r="L137" s="370"/>
      <c r="M137" s="371"/>
    </row>
    <row r="138" spans="1:13" x14ac:dyDescent="0.25">
      <c r="K138" s="1"/>
    </row>
    <row r="139" spans="1:13" x14ac:dyDescent="0.25">
      <c r="K139" s="1"/>
    </row>
    <row r="140" spans="1:13" x14ac:dyDescent="0.25">
      <c r="K140" s="1"/>
    </row>
    <row r="141" spans="1:13" x14ac:dyDescent="0.25">
      <c r="K141" s="1"/>
    </row>
    <row r="142" spans="1:13" x14ac:dyDescent="0.25">
      <c r="K142" s="1"/>
    </row>
    <row r="143" spans="1:13" x14ac:dyDescent="0.25">
      <c r="K143" s="1"/>
    </row>
    <row r="144" spans="1:13" x14ac:dyDescent="0.25">
      <c r="K144" s="1"/>
    </row>
    <row r="145" spans="11:11" x14ac:dyDescent="0.25">
      <c r="K145" s="1"/>
    </row>
    <row r="146" spans="11:11" x14ac:dyDescent="0.25">
      <c r="K146" s="1"/>
    </row>
    <row r="147" spans="11:11" x14ac:dyDescent="0.25">
      <c r="K147" s="1"/>
    </row>
    <row r="148" spans="11:11" x14ac:dyDescent="0.25">
      <c r="K148" s="1"/>
    </row>
    <row r="149" spans="11:11" x14ac:dyDescent="0.25">
      <c r="K149" s="1"/>
    </row>
    <row r="150" spans="11:11" x14ac:dyDescent="0.25">
      <c r="K150" s="1"/>
    </row>
    <row r="151" spans="11:11" x14ac:dyDescent="0.25">
      <c r="K151" s="1"/>
    </row>
    <row r="152" spans="11:11" x14ac:dyDescent="0.25">
      <c r="K152" s="1"/>
    </row>
    <row r="153" spans="11:11" x14ac:dyDescent="0.25">
      <c r="K153" s="1"/>
    </row>
    <row r="154" spans="11:11" x14ac:dyDescent="0.25">
      <c r="K154" s="1"/>
    </row>
    <row r="155" spans="11:11" x14ac:dyDescent="0.25">
      <c r="K155" s="1"/>
    </row>
    <row r="156" spans="11:11" x14ac:dyDescent="0.25">
      <c r="K156" s="1"/>
    </row>
    <row r="157" spans="11:11" x14ac:dyDescent="0.25">
      <c r="K157" s="1"/>
    </row>
    <row r="158" spans="11:11" x14ac:dyDescent="0.25">
      <c r="K158" s="1"/>
    </row>
    <row r="159" spans="11:11" x14ac:dyDescent="0.25">
      <c r="K159" s="1"/>
    </row>
    <row r="160" spans="11:11" x14ac:dyDescent="0.25">
      <c r="K160" s="1"/>
    </row>
    <row r="161" spans="11:11" x14ac:dyDescent="0.25">
      <c r="K161" s="1"/>
    </row>
    <row r="162" spans="11:11" x14ac:dyDescent="0.25">
      <c r="K162" s="1"/>
    </row>
    <row r="163" spans="11:11" x14ac:dyDescent="0.25">
      <c r="K163" s="1"/>
    </row>
    <row r="164" spans="11:11" x14ac:dyDescent="0.25">
      <c r="K164" s="1"/>
    </row>
    <row r="165" spans="11:11" x14ac:dyDescent="0.25">
      <c r="K165" s="1"/>
    </row>
    <row r="166" spans="11:11" x14ac:dyDescent="0.25">
      <c r="K166" s="1"/>
    </row>
    <row r="167" spans="11:11" x14ac:dyDescent="0.25">
      <c r="K167" s="1"/>
    </row>
    <row r="168" spans="11:11" x14ac:dyDescent="0.25">
      <c r="K168" s="1"/>
    </row>
    <row r="169" spans="11:11" x14ac:dyDescent="0.25">
      <c r="K169" s="1"/>
    </row>
    <row r="170" spans="11:11" x14ac:dyDescent="0.25">
      <c r="K170" s="1"/>
    </row>
    <row r="171" spans="11:11" x14ac:dyDescent="0.25">
      <c r="K171" s="1"/>
    </row>
    <row r="172" spans="11:11" x14ac:dyDescent="0.25">
      <c r="K172" s="1"/>
    </row>
    <row r="173" spans="11:11" x14ac:dyDescent="0.25">
      <c r="K173" s="1"/>
    </row>
    <row r="174" spans="11:11" x14ac:dyDescent="0.25">
      <c r="K174" s="1"/>
    </row>
    <row r="175" spans="11:11" x14ac:dyDescent="0.25">
      <c r="K175" s="1"/>
    </row>
    <row r="176" spans="11:11" x14ac:dyDescent="0.25">
      <c r="K176" s="1"/>
    </row>
    <row r="177" spans="11:11" x14ac:dyDescent="0.25">
      <c r="K177" s="1"/>
    </row>
    <row r="178" spans="11:11" x14ac:dyDescent="0.25">
      <c r="K178" s="1"/>
    </row>
    <row r="179" spans="11:11" x14ac:dyDescent="0.25">
      <c r="K179" s="1"/>
    </row>
    <row r="180" spans="11:11" x14ac:dyDescent="0.25">
      <c r="K180" s="1"/>
    </row>
    <row r="181" spans="11:11" x14ac:dyDescent="0.25">
      <c r="K181" s="1"/>
    </row>
    <row r="182" spans="11:11" x14ac:dyDescent="0.25">
      <c r="K182" s="1"/>
    </row>
    <row r="183" spans="11:11" x14ac:dyDescent="0.25">
      <c r="K183" s="1"/>
    </row>
    <row r="184" spans="11:11" x14ac:dyDescent="0.25">
      <c r="K184" s="1"/>
    </row>
    <row r="185" spans="11:11" x14ac:dyDescent="0.25">
      <c r="K185" s="1"/>
    </row>
  </sheetData>
  <pageMargins left="0.7" right="0.7" top="0.75" bottom="0.75" header="0.3" footer="0.3"/>
  <pageSetup scale="76" fitToHeight="0" orientation="landscape" r:id="rId1"/>
  <headerFoot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3"/>
  <sheetViews>
    <sheetView tabSelected="1" workbookViewId="0"/>
  </sheetViews>
  <sheetFormatPr defaultRowHeight="15" x14ac:dyDescent="0.25"/>
  <cols>
    <col min="1" max="1" width="5.28515625" customWidth="1"/>
    <col min="2" max="2" width="25.28515625" customWidth="1"/>
    <col min="3" max="8" width="12.7109375" customWidth="1"/>
  </cols>
  <sheetData>
    <row r="1" spans="1:8" ht="18.75" x14ac:dyDescent="0.3">
      <c r="A1" s="30" t="s">
        <v>34</v>
      </c>
    </row>
    <row r="2" spans="1:8" ht="18.75" x14ac:dyDescent="0.3">
      <c r="A2" s="30" t="s">
        <v>413</v>
      </c>
    </row>
    <row r="3" spans="1:8" ht="19.5" thickBot="1" x14ac:dyDescent="0.35">
      <c r="A3" s="32" t="s">
        <v>416</v>
      </c>
      <c r="B3" s="33"/>
      <c r="C3" s="33"/>
      <c r="D3" s="33"/>
      <c r="E3" s="33"/>
      <c r="F3" s="33"/>
      <c r="G3" s="33"/>
      <c r="H3" s="33"/>
    </row>
    <row r="5" spans="1:8" ht="15.75" x14ac:dyDescent="0.25">
      <c r="A5" s="545" t="s">
        <v>414</v>
      </c>
      <c r="B5" s="543"/>
      <c r="C5" s="543"/>
      <c r="D5" s="543"/>
      <c r="E5" s="543"/>
      <c r="F5" s="543"/>
      <c r="G5" s="543"/>
      <c r="H5" s="544"/>
    </row>
    <row r="6" spans="1:8" x14ac:dyDescent="0.25">
      <c r="A6" s="504" t="s">
        <v>296</v>
      </c>
      <c r="B6" s="502" t="s">
        <v>297</v>
      </c>
      <c r="C6" s="506">
        <v>2015</v>
      </c>
      <c r="D6" s="507"/>
      <c r="E6" s="508"/>
      <c r="F6" s="507">
        <v>2016</v>
      </c>
      <c r="G6" s="507"/>
      <c r="H6" s="508"/>
    </row>
    <row r="7" spans="1:8" x14ac:dyDescent="0.25">
      <c r="A7" s="505"/>
      <c r="B7" s="503"/>
      <c r="C7" s="350" t="s">
        <v>298</v>
      </c>
      <c r="D7" s="344" t="s">
        <v>24</v>
      </c>
      <c r="E7" s="322" t="s">
        <v>54</v>
      </c>
      <c r="F7" s="346" t="s">
        <v>298</v>
      </c>
      <c r="G7" s="317" t="s">
        <v>24</v>
      </c>
      <c r="H7" s="322" t="s">
        <v>54</v>
      </c>
    </row>
    <row r="8" spans="1:8" x14ac:dyDescent="0.25">
      <c r="A8" s="120">
        <v>1</v>
      </c>
      <c r="B8" s="52" t="s">
        <v>2</v>
      </c>
      <c r="C8" s="60">
        <f>'Rate Class Customer Model'!$B$36</f>
        <v>36203</v>
      </c>
      <c r="D8" s="5">
        <f>'Rate Class Energy Model'!$B$63</f>
        <v>282657108.65256178</v>
      </c>
      <c r="E8" s="18">
        <f>'Rate Class Demand Model'!$B$36</f>
        <v>0</v>
      </c>
      <c r="F8" s="347">
        <f>'Rate Class Customer Model'!$B$37</f>
        <v>36333</v>
      </c>
      <c r="G8" s="5">
        <f>'Rate Class Energy Model'!$B$64</f>
        <v>277042719.94251806</v>
      </c>
      <c r="H8" s="18">
        <f>'Rate Class Demand Model'!$B$37</f>
        <v>0</v>
      </c>
    </row>
    <row r="9" spans="1:8" x14ac:dyDescent="0.25">
      <c r="A9" s="120">
        <f t="shared" ref="A9:A15" si="0">A8+1</f>
        <v>2</v>
      </c>
      <c r="B9" s="52" t="s">
        <v>381</v>
      </c>
      <c r="C9" s="60">
        <f>'Rate Class Customer Model'!$C$36</f>
        <v>3860</v>
      </c>
      <c r="D9" s="5">
        <f>'Rate Class Energy Model'!$C$63</f>
        <v>104393456.82244611</v>
      </c>
      <c r="E9" s="18">
        <f>'Rate Class Demand Model'!$C$36</f>
        <v>0</v>
      </c>
      <c r="F9" s="347">
        <f>'Rate Class Customer Model'!$C$37</f>
        <v>3850</v>
      </c>
      <c r="G9" s="5">
        <f>'Rate Class Energy Model'!$C$64</f>
        <v>99899667.416754559</v>
      </c>
      <c r="H9" s="18">
        <f>'Rate Class Demand Model'!$C$37</f>
        <v>0</v>
      </c>
    </row>
    <row r="10" spans="1:8" x14ac:dyDescent="0.25">
      <c r="A10" s="120">
        <f t="shared" si="0"/>
        <v>3</v>
      </c>
      <c r="B10" s="52" t="s">
        <v>382</v>
      </c>
      <c r="C10" s="60">
        <f>'Rate Class Customer Model'!$D$36</f>
        <v>495</v>
      </c>
      <c r="D10" s="5">
        <f>'Rate Class Energy Model'!$D$63</f>
        <v>474147267.84978443</v>
      </c>
      <c r="E10" s="18">
        <f>'Rate Class Demand Model'!$D$36</f>
        <v>1261723.862658361</v>
      </c>
      <c r="F10" s="347">
        <f>'Rate Class Customer Model'!$D$37</f>
        <v>491</v>
      </c>
      <c r="G10" s="5">
        <f>'Rate Class Energy Model'!$D$64</f>
        <v>483686334.25151187</v>
      </c>
      <c r="H10" s="18">
        <f>'Rate Class Demand Model'!$D$37</f>
        <v>1287117.3058017949</v>
      </c>
    </row>
    <row r="11" spans="1:8" x14ac:dyDescent="0.25">
      <c r="A11" s="120">
        <f t="shared" si="0"/>
        <v>4</v>
      </c>
      <c r="B11" s="52" t="s">
        <v>5</v>
      </c>
      <c r="C11" s="60">
        <f>'Rate Class Customer Model'!$E$36+'Rate Class Customer Model'!$F$36</f>
        <v>2</v>
      </c>
      <c r="D11" s="5">
        <f>'Rate Class Energy Model'!$E$63+'Rate Class Energy Model'!$F$63</f>
        <v>51664547.366088025</v>
      </c>
      <c r="E11" s="18">
        <f>'Rate Class Demand Model'!$E$36+'Rate Class Demand Model'!$F$36</f>
        <v>130215</v>
      </c>
      <c r="F11" s="347">
        <f>'Rate Class Customer Model'!$E$37+'Rate Class Customer Model'!$F$37</f>
        <v>2</v>
      </c>
      <c r="G11" s="5">
        <f>'Rate Class Energy Model'!$E$64+'Rate Class Energy Model'!$F$64</f>
        <v>40550980.966088027</v>
      </c>
      <c r="H11" s="18">
        <f>'Rate Class Demand Model'!$E$37+'Rate Class Demand Model'!$F$37</f>
        <v>94834</v>
      </c>
    </row>
    <row r="12" spans="1:8" x14ac:dyDescent="0.25">
      <c r="A12" s="120">
        <f t="shared" si="0"/>
        <v>5</v>
      </c>
      <c r="B12" s="52" t="s">
        <v>6</v>
      </c>
      <c r="C12" s="60">
        <f>'Rate Class Customer Model'!$G$36</f>
        <v>290</v>
      </c>
      <c r="D12" s="5">
        <f>'Rate Class Energy Model'!$G$63</f>
        <v>1268750</v>
      </c>
      <c r="E12" s="18">
        <f>'Rate Class Demand Model'!$G$36</f>
        <v>0</v>
      </c>
      <c r="F12" s="347">
        <f>'Rate Class Customer Model'!$G$37</f>
        <v>335</v>
      </c>
      <c r="G12" s="5">
        <f>'Rate Class Energy Model'!$G$64</f>
        <v>1288075</v>
      </c>
      <c r="H12" s="18">
        <f>'Rate Class Demand Model'!$G$37</f>
        <v>0</v>
      </c>
    </row>
    <row r="13" spans="1:8" x14ac:dyDescent="0.25">
      <c r="A13" s="120">
        <f t="shared" si="0"/>
        <v>6</v>
      </c>
      <c r="B13" s="52" t="s">
        <v>301</v>
      </c>
      <c r="C13" s="60">
        <f>'Rate Class Customer Model'!$H$36</f>
        <v>509</v>
      </c>
      <c r="D13" s="5">
        <f>'Rate Class Energy Model'!$H$63</f>
        <v>402619</v>
      </c>
      <c r="E13" s="18">
        <f>'Rate Class Demand Model'!$H$36</f>
        <v>1127</v>
      </c>
      <c r="F13" s="347">
        <f>'Rate Class Customer Model'!$H$37</f>
        <v>532</v>
      </c>
      <c r="G13" s="5">
        <f>'Rate Class Energy Model'!$H$64</f>
        <v>396340</v>
      </c>
      <c r="H13" s="18">
        <f>'Rate Class Demand Model'!$H$37</f>
        <v>1110</v>
      </c>
    </row>
    <row r="14" spans="1:8" x14ac:dyDescent="0.25">
      <c r="A14" s="120">
        <f t="shared" si="0"/>
        <v>7</v>
      </c>
      <c r="B14" s="52" t="s">
        <v>302</v>
      </c>
      <c r="C14" s="60">
        <f>'Rate Class Customer Model'!$I$36</f>
        <v>12955</v>
      </c>
      <c r="D14" s="5">
        <f>'Rate Class Energy Model'!$I$63</f>
        <v>6989762.8099999996</v>
      </c>
      <c r="E14" s="18">
        <f>'Rate Class Demand Model'!$I$36</f>
        <v>20969</v>
      </c>
      <c r="F14" s="347">
        <f>'Rate Class Customer Model'!$I$37</f>
        <v>12984</v>
      </c>
      <c r="G14" s="5">
        <f>'Rate Class Energy Model'!$I$64</f>
        <v>6452814.8100000005</v>
      </c>
      <c r="H14" s="18">
        <f>'Rate Class Demand Model'!$I$37</f>
        <v>19358</v>
      </c>
    </row>
    <row r="15" spans="1:8" x14ac:dyDescent="0.25">
      <c r="A15" s="120">
        <f t="shared" si="0"/>
        <v>8</v>
      </c>
      <c r="B15" s="66" t="s">
        <v>303</v>
      </c>
      <c r="C15" s="67">
        <f>'Rate Class Customer Model'!$J$36</f>
        <v>1</v>
      </c>
      <c r="D15" s="25">
        <f>'Rate Class Energy Model'!$J$63</f>
        <v>4526975</v>
      </c>
      <c r="E15" s="68">
        <f>'Rate Class Demand Model'!$J$36</f>
        <v>11499</v>
      </c>
      <c r="F15" s="348">
        <f>'Rate Class Customer Model'!$J$37</f>
        <v>1</v>
      </c>
      <c r="G15" s="25">
        <f>'Rate Class Energy Model'!$J$64</f>
        <v>4421657</v>
      </c>
      <c r="H15" s="68">
        <f>'Rate Class Demand Model'!$J$37</f>
        <v>11231</v>
      </c>
    </row>
    <row r="16" spans="1:8" x14ac:dyDescent="0.25">
      <c r="A16" s="291">
        <f>A15+1</f>
        <v>9</v>
      </c>
      <c r="B16" s="345" t="s">
        <v>18</v>
      </c>
      <c r="C16" s="351">
        <f t="shared" ref="C16:H16" si="1">SUM(C8:C15)</f>
        <v>54315</v>
      </c>
      <c r="D16" s="251">
        <f t="shared" si="1"/>
        <v>926050487.50088036</v>
      </c>
      <c r="E16" s="321">
        <f t="shared" si="1"/>
        <v>1425533.862658361</v>
      </c>
      <c r="F16" s="349">
        <f t="shared" si="1"/>
        <v>54528</v>
      </c>
      <c r="G16" s="251">
        <f t="shared" si="1"/>
        <v>913738589.38687253</v>
      </c>
      <c r="H16" s="321">
        <f t="shared" si="1"/>
        <v>1413650.3058017949</v>
      </c>
    </row>
    <row r="17" spans="1:8" x14ac:dyDescent="0.25">
      <c r="A17" s="283"/>
    </row>
    <row r="18" spans="1:8" ht="15.75" x14ac:dyDescent="0.25">
      <c r="A18" s="545" t="s">
        <v>415</v>
      </c>
      <c r="B18" s="543"/>
      <c r="C18" s="543"/>
      <c r="D18" s="543"/>
      <c r="E18" s="543"/>
      <c r="F18" s="543"/>
      <c r="G18" s="543"/>
      <c r="H18" s="544"/>
    </row>
    <row r="19" spans="1:8" x14ac:dyDescent="0.25">
      <c r="A19" s="509" t="s">
        <v>296</v>
      </c>
      <c r="B19" s="511" t="s">
        <v>297</v>
      </c>
      <c r="C19" s="506">
        <v>2015</v>
      </c>
      <c r="D19" s="507"/>
      <c r="E19" s="508"/>
      <c r="F19" s="507">
        <v>2016</v>
      </c>
      <c r="G19" s="507"/>
      <c r="H19" s="508"/>
    </row>
    <row r="20" spans="1:8" x14ac:dyDescent="0.25">
      <c r="A20" s="510"/>
      <c r="B20" s="512"/>
      <c r="C20" s="487" t="s">
        <v>298</v>
      </c>
      <c r="D20" s="344" t="s">
        <v>24</v>
      </c>
      <c r="E20" s="322" t="s">
        <v>54</v>
      </c>
      <c r="F20" s="346" t="s">
        <v>298</v>
      </c>
      <c r="G20" s="344" t="s">
        <v>24</v>
      </c>
      <c r="H20" s="322" t="s">
        <v>54</v>
      </c>
    </row>
    <row r="21" spans="1:8" x14ac:dyDescent="0.25">
      <c r="A21" s="491">
        <v>1</v>
      </c>
      <c r="B21" s="494" t="s">
        <v>2</v>
      </c>
      <c r="C21" s="60">
        <f>C8</f>
        <v>36203</v>
      </c>
      <c r="D21" s="5">
        <f>D8</f>
        <v>282657108.65256178</v>
      </c>
      <c r="E21" s="18">
        <f>E8</f>
        <v>0</v>
      </c>
      <c r="F21" s="347">
        <f>F8</f>
        <v>36333</v>
      </c>
      <c r="G21" s="5">
        <f>G8</f>
        <v>277042719.94251806</v>
      </c>
      <c r="H21" s="18">
        <f>H8</f>
        <v>0</v>
      </c>
    </row>
    <row r="22" spans="1:8" x14ac:dyDescent="0.25">
      <c r="A22" s="491">
        <f>A21+1</f>
        <v>2</v>
      </c>
      <c r="B22" s="494" t="s">
        <v>299</v>
      </c>
      <c r="C22" s="60">
        <f>C9</f>
        <v>3860</v>
      </c>
      <c r="D22" s="5">
        <f>D9</f>
        <v>104393456.82244611</v>
      </c>
      <c r="E22" s="18">
        <f>E9</f>
        <v>0</v>
      </c>
      <c r="F22" s="347">
        <f>F9</f>
        <v>3850</v>
      </c>
      <c r="G22" s="5">
        <f>G9</f>
        <v>99899667.416754559</v>
      </c>
      <c r="H22" s="18">
        <f>H9</f>
        <v>0</v>
      </c>
    </row>
    <row r="23" spans="1:8" x14ac:dyDescent="0.25">
      <c r="A23" s="491">
        <f t="shared" ref="A23:A30" si="2">A22+1</f>
        <v>3</v>
      </c>
      <c r="B23" s="494" t="s">
        <v>300</v>
      </c>
      <c r="C23" s="60">
        <f>C10</f>
        <v>495</v>
      </c>
      <c r="D23" s="5">
        <f>D10</f>
        <v>474147267.84978443</v>
      </c>
      <c r="E23" s="18">
        <f>E10</f>
        <v>1261723.862658361</v>
      </c>
      <c r="F23" s="347">
        <f>F10</f>
        <v>491</v>
      </c>
      <c r="G23" s="5">
        <f>G10</f>
        <v>483686334.25151187</v>
      </c>
      <c r="H23" s="18">
        <f>H10</f>
        <v>1287117.3058017949</v>
      </c>
    </row>
    <row r="24" spans="1:8" x14ac:dyDescent="0.25">
      <c r="A24" s="491">
        <f t="shared" si="2"/>
        <v>4</v>
      </c>
      <c r="B24" s="495" t="s">
        <v>410</v>
      </c>
      <c r="C24" s="498">
        <f>'Rate Class Customer Model'!E36</f>
        <v>1</v>
      </c>
      <c r="D24" s="489">
        <f>'Rate Class Energy Model'!E54</f>
        <v>34686292</v>
      </c>
      <c r="E24" s="490">
        <f>7200*12</f>
        <v>86400</v>
      </c>
      <c r="F24" s="493">
        <f>'Rate Class Customer Model'!E37</f>
        <v>1</v>
      </c>
      <c r="G24" s="489">
        <f>'Rate Class Energy Model'!E55</f>
        <v>36274944</v>
      </c>
      <c r="H24" s="490">
        <f>7200*12</f>
        <v>86400</v>
      </c>
    </row>
    <row r="25" spans="1:8" x14ac:dyDescent="0.25">
      <c r="A25" s="491">
        <f t="shared" si="2"/>
        <v>5</v>
      </c>
      <c r="B25" s="495" t="s">
        <v>411</v>
      </c>
      <c r="C25" s="498">
        <f>'Rate Class Customer Model'!F36</f>
        <v>1</v>
      </c>
      <c r="D25" s="489">
        <f>'Rate Class Energy Model'!F63</f>
        <v>30659568.582254425</v>
      </c>
      <c r="E25" s="490">
        <f>'Rate Class Demand Model'!F36</f>
        <v>61319</v>
      </c>
      <c r="F25" s="493">
        <f>'Rate Class Customer Model'!F37</f>
        <v>1</v>
      </c>
      <c r="G25" s="489">
        <f>'Rate Class Energy Model'!F64</f>
        <v>29823299.582254425</v>
      </c>
      <c r="H25" s="490">
        <f>'Rate Class Demand Model'!F37</f>
        <v>59647</v>
      </c>
    </row>
    <row r="26" spans="1:8" x14ac:dyDescent="0.25">
      <c r="A26" s="491">
        <f t="shared" si="2"/>
        <v>6</v>
      </c>
      <c r="B26" s="499" t="s">
        <v>412</v>
      </c>
      <c r="C26" s="60">
        <f>SUM(C24:C25)</f>
        <v>2</v>
      </c>
      <c r="D26" s="5">
        <f t="shared" ref="D26:H26" si="3">SUM(D24:D25)</f>
        <v>65345860.582254425</v>
      </c>
      <c r="E26" s="18">
        <f t="shared" si="3"/>
        <v>147719</v>
      </c>
      <c r="F26" s="347">
        <f t="shared" si="3"/>
        <v>2</v>
      </c>
      <c r="G26" s="5">
        <f t="shared" si="3"/>
        <v>66098243.582254425</v>
      </c>
      <c r="H26" s="18">
        <f t="shared" si="3"/>
        <v>146047</v>
      </c>
    </row>
    <row r="27" spans="1:8" x14ac:dyDescent="0.25">
      <c r="A27" s="491">
        <f t="shared" si="2"/>
        <v>7</v>
      </c>
      <c r="B27" s="494" t="s">
        <v>6</v>
      </c>
      <c r="C27" s="60">
        <f>C12</f>
        <v>290</v>
      </c>
      <c r="D27" s="5">
        <f>D12</f>
        <v>1268750</v>
      </c>
      <c r="E27" s="18">
        <f>E12</f>
        <v>0</v>
      </c>
      <c r="F27" s="347">
        <f>F12</f>
        <v>335</v>
      </c>
      <c r="G27" s="5">
        <f>G12</f>
        <v>1288075</v>
      </c>
      <c r="H27" s="18">
        <f>H12</f>
        <v>0</v>
      </c>
    </row>
    <row r="28" spans="1:8" x14ac:dyDescent="0.25">
      <c r="A28" s="491">
        <f t="shared" si="2"/>
        <v>8</v>
      </c>
      <c r="B28" s="494" t="s">
        <v>301</v>
      </c>
      <c r="C28" s="60">
        <f>C13</f>
        <v>509</v>
      </c>
      <c r="D28" s="5">
        <f>D13</f>
        <v>402619</v>
      </c>
      <c r="E28" s="18">
        <f>E13</f>
        <v>1127</v>
      </c>
      <c r="F28" s="347">
        <f>F13</f>
        <v>532</v>
      </c>
      <c r="G28" s="5">
        <f>G13</f>
        <v>396340</v>
      </c>
      <c r="H28" s="18">
        <f>H13</f>
        <v>1110</v>
      </c>
    </row>
    <row r="29" spans="1:8" x14ac:dyDescent="0.25">
      <c r="A29" s="491">
        <f t="shared" si="2"/>
        <v>9</v>
      </c>
      <c r="B29" s="494" t="s">
        <v>302</v>
      </c>
      <c r="C29" s="60">
        <f>C14</f>
        <v>12955</v>
      </c>
      <c r="D29" s="5">
        <f>D14</f>
        <v>6989762.8099999996</v>
      </c>
      <c r="E29" s="18">
        <f>E14</f>
        <v>20969</v>
      </c>
      <c r="F29" s="347">
        <f>F14</f>
        <v>12984</v>
      </c>
      <c r="G29" s="5">
        <f>G14</f>
        <v>6452814.8100000005</v>
      </c>
      <c r="H29" s="18">
        <f>H14</f>
        <v>19358</v>
      </c>
    </row>
    <row r="30" spans="1:8" x14ac:dyDescent="0.25">
      <c r="A30" s="491">
        <f t="shared" si="2"/>
        <v>10</v>
      </c>
      <c r="B30" s="496" t="s">
        <v>303</v>
      </c>
      <c r="C30" s="67">
        <f>C15</f>
        <v>1</v>
      </c>
      <c r="D30" s="25">
        <f>D15</f>
        <v>4526975</v>
      </c>
      <c r="E30" s="68">
        <f>E15</f>
        <v>11499</v>
      </c>
      <c r="F30" s="348">
        <f>F15</f>
        <v>1</v>
      </c>
      <c r="G30" s="25">
        <f>G15</f>
        <v>4421657</v>
      </c>
      <c r="H30" s="68">
        <f>H15</f>
        <v>11231</v>
      </c>
    </row>
    <row r="31" spans="1:8" x14ac:dyDescent="0.25">
      <c r="A31" s="492">
        <f>A30+1</f>
        <v>11</v>
      </c>
      <c r="B31" s="497" t="s">
        <v>18</v>
      </c>
      <c r="C31" s="351">
        <f>SUM(C21:C30)-C26</f>
        <v>54315</v>
      </c>
      <c r="D31" s="251">
        <f>SUM(D21:D30)-D26</f>
        <v>939731800.71704674</v>
      </c>
      <c r="E31" s="321">
        <f>SUM(E21:E30)-E26</f>
        <v>1443037.862658361</v>
      </c>
      <c r="F31" s="349">
        <f t="shared" ref="F31:H31" si="4">SUM(F21:F30)-F26</f>
        <v>54528</v>
      </c>
      <c r="G31" s="251">
        <f t="shared" si="4"/>
        <v>939285852.00303888</v>
      </c>
      <c r="H31" s="321">
        <f t="shared" si="4"/>
        <v>1464863.3058017949</v>
      </c>
    </row>
    <row r="32" spans="1:8" x14ac:dyDescent="0.25">
      <c r="A32" s="542"/>
    </row>
    <row r="33" spans="1:1" x14ac:dyDescent="0.25">
      <c r="A33" s="283"/>
    </row>
  </sheetData>
  <mergeCells count="8">
    <mergeCell ref="B6:B7"/>
    <mergeCell ref="A6:A7"/>
    <mergeCell ref="C6:E6"/>
    <mergeCell ref="F6:H6"/>
    <mergeCell ref="A19:A20"/>
    <mergeCell ref="B19:B20"/>
    <mergeCell ref="C19:E19"/>
    <mergeCell ref="F19:H19"/>
  </mergeCells>
  <pageMargins left="0.7" right="0.7" top="0.75" bottom="0.75" header="0.3" footer="0.3"/>
  <pageSetup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workbookViewId="0"/>
  </sheetViews>
  <sheetFormatPr defaultRowHeight="15" x14ac:dyDescent="0.25"/>
  <cols>
    <col min="1" max="1" width="6.7109375" customWidth="1"/>
    <col min="2" max="2" width="35.7109375" customWidth="1"/>
    <col min="3" max="8" width="12.7109375" customWidth="1"/>
  </cols>
  <sheetData>
    <row r="1" spans="1:8" ht="18.75" x14ac:dyDescent="0.3">
      <c r="A1" s="30" t="s">
        <v>0</v>
      </c>
    </row>
    <row r="2" spans="1:8" ht="18.75" x14ac:dyDescent="0.3">
      <c r="A2" s="30" t="s">
        <v>294</v>
      </c>
    </row>
    <row r="3" spans="1:8" ht="19.5" thickBot="1" x14ac:dyDescent="0.35">
      <c r="A3" s="32" t="s">
        <v>354</v>
      </c>
      <c r="B3" s="33"/>
      <c r="C3" s="33"/>
      <c r="D3" s="33"/>
      <c r="E3" s="33"/>
      <c r="F3" s="33"/>
      <c r="G3" s="33"/>
      <c r="H3" s="33"/>
    </row>
    <row r="5" spans="1:8" x14ac:dyDescent="0.25">
      <c r="B5" s="146" t="s">
        <v>347</v>
      </c>
      <c r="C5" s="261">
        <v>2015</v>
      </c>
      <c r="D5" s="87">
        <v>2016</v>
      </c>
    </row>
    <row r="6" spans="1:8" x14ac:dyDescent="0.25">
      <c r="B6" s="12" t="s">
        <v>348</v>
      </c>
      <c r="C6" s="318">
        <v>1.0427999999999999</v>
      </c>
      <c r="D6" s="80">
        <v>1.0431999999999999</v>
      </c>
    </row>
    <row r="7" spans="1:8" x14ac:dyDescent="0.25">
      <c r="B7" s="40" t="s">
        <v>349</v>
      </c>
      <c r="C7" s="7">
        <v>1.0429999999999999</v>
      </c>
      <c r="D7" s="75">
        <v>1.0148999999999999</v>
      </c>
    </row>
    <row r="8" spans="1:8" x14ac:dyDescent="0.25">
      <c r="B8" s="40" t="s">
        <v>350</v>
      </c>
      <c r="C8" s="7">
        <v>1.0324</v>
      </c>
      <c r="D8" s="75">
        <v>1.0327999999999999</v>
      </c>
    </row>
    <row r="9" spans="1:8" x14ac:dyDescent="0.25">
      <c r="B9" s="44" t="s">
        <v>351</v>
      </c>
      <c r="C9" s="319">
        <v>1.0141</v>
      </c>
      <c r="D9" s="320">
        <v>1.0048999999999999</v>
      </c>
    </row>
    <row r="11" spans="1:8" x14ac:dyDescent="0.25">
      <c r="F11" s="486" t="s">
        <v>408</v>
      </c>
    </row>
    <row r="22" spans="1:5" ht="45" x14ac:dyDescent="0.25">
      <c r="A22" s="58" t="s">
        <v>296</v>
      </c>
      <c r="B22" s="16" t="s">
        <v>320</v>
      </c>
      <c r="C22" s="253" t="s">
        <v>321</v>
      </c>
      <c r="D22" s="254" t="s">
        <v>322</v>
      </c>
    </row>
    <row r="23" spans="1:5" s="34" customFormat="1" ht="30" customHeight="1" x14ac:dyDescent="0.25">
      <c r="A23" s="255">
        <v>1</v>
      </c>
      <c r="B23" s="271" t="s">
        <v>323</v>
      </c>
      <c r="C23" s="272"/>
      <c r="D23" s="273">
        <v>18.82</v>
      </c>
    </row>
    <row r="24" spans="1:5" s="34" customFormat="1" ht="30" customHeight="1" x14ac:dyDescent="0.25">
      <c r="A24" s="256">
        <f>A23+1</f>
        <v>2</v>
      </c>
      <c r="B24" s="274" t="s">
        <v>324</v>
      </c>
      <c r="C24" s="275">
        <v>20.57</v>
      </c>
      <c r="D24" s="276"/>
    </row>
    <row r="25" spans="1:5" s="34" customFormat="1" ht="30" customHeight="1" x14ac:dyDescent="0.25">
      <c r="A25" s="256">
        <f>A24+1</f>
        <v>3</v>
      </c>
      <c r="B25" s="274" t="s">
        <v>325</v>
      </c>
      <c r="C25" s="275">
        <v>87.92</v>
      </c>
      <c r="D25" s="276">
        <f>C25</f>
        <v>87.92</v>
      </c>
    </row>
    <row r="26" spans="1:5" s="34" customFormat="1" ht="30" customHeight="1" x14ac:dyDescent="0.25">
      <c r="A26" s="256">
        <f>A25+1</f>
        <v>4</v>
      </c>
      <c r="B26" s="274" t="s">
        <v>326</v>
      </c>
      <c r="C26" s="275">
        <v>1</v>
      </c>
      <c r="D26" s="276"/>
    </row>
    <row r="27" spans="1:5" s="34" customFormat="1" ht="30" customHeight="1" x14ac:dyDescent="0.25">
      <c r="A27" s="257">
        <f>A26+1</f>
        <v>5</v>
      </c>
      <c r="B27" s="277" t="s">
        <v>327</v>
      </c>
      <c r="C27" s="278">
        <v>-2.2200000000000002</v>
      </c>
      <c r="D27" s="279"/>
    </row>
    <row r="28" spans="1:5" s="34" customFormat="1" ht="30" customHeight="1" x14ac:dyDescent="0.25">
      <c r="A28" s="258">
        <f>A27+1</f>
        <v>6</v>
      </c>
      <c r="B28" s="280" t="s">
        <v>328</v>
      </c>
      <c r="C28" s="281">
        <f>SUM(C23:C27)</f>
        <v>107.27000000000001</v>
      </c>
      <c r="D28" s="282">
        <f>SUM(D23:D27)</f>
        <v>106.74000000000001</v>
      </c>
    </row>
    <row r="31" spans="1:5" ht="30" x14ac:dyDescent="0.25">
      <c r="A31" s="58" t="s">
        <v>296</v>
      </c>
      <c r="B31" s="253" t="s">
        <v>297</v>
      </c>
      <c r="C31" s="16" t="s">
        <v>335</v>
      </c>
      <c r="D31" s="16" t="s">
        <v>339</v>
      </c>
      <c r="E31" s="17" t="s">
        <v>329</v>
      </c>
    </row>
    <row r="32" spans="1:5" x14ac:dyDescent="0.25">
      <c r="A32" s="255">
        <v>1</v>
      </c>
      <c r="B32" s="13" t="s">
        <v>2</v>
      </c>
      <c r="C32" s="47">
        <v>263323082.11636013</v>
      </c>
      <c r="D32" s="47">
        <v>26132361.210000031</v>
      </c>
      <c r="E32" s="48">
        <v>289455443.32636017</v>
      </c>
    </row>
    <row r="33" spans="1:8" x14ac:dyDescent="0.25">
      <c r="A33" s="256">
        <f>A32+1</f>
        <v>2</v>
      </c>
      <c r="B33" s="3" t="s">
        <v>309</v>
      </c>
      <c r="C33" s="5">
        <v>92600705.372760147</v>
      </c>
      <c r="D33" s="5">
        <v>17225571.930000003</v>
      </c>
      <c r="E33" s="18">
        <v>109826277.30276015</v>
      </c>
    </row>
    <row r="34" spans="1:8" x14ac:dyDescent="0.25">
      <c r="A34" s="256">
        <f t="shared" ref="A34:A45" si="0">A33+1</f>
        <v>3</v>
      </c>
      <c r="B34" s="3" t="s">
        <v>310</v>
      </c>
      <c r="C34" s="5">
        <v>45487761</v>
      </c>
      <c r="D34" s="5">
        <v>307853636.97732127</v>
      </c>
      <c r="E34" s="18">
        <v>353341397.97732127</v>
      </c>
    </row>
    <row r="35" spans="1:8" x14ac:dyDescent="0.25">
      <c r="A35" s="256">
        <f t="shared" si="0"/>
        <v>4</v>
      </c>
      <c r="B35" s="3" t="s">
        <v>275</v>
      </c>
      <c r="C35" s="5">
        <v>0</v>
      </c>
      <c r="D35" s="5">
        <v>113731870.00479385</v>
      </c>
      <c r="E35" s="18">
        <v>113731870.00479385</v>
      </c>
    </row>
    <row r="36" spans="1:8" x14ac:dyDescent="0.25">
      <c r="A36" s="256">
        <f t="shared" si="0"/>
        <v>5</v>
      </c>
      <c r="B36" s="3" t="s">
        <v>330</v>
      </c>
      <c r="C36" s="5">
        <v>0</v>
      </c>
      <c r="D36" s="5">
        <v>33167215.004141606</v>
      </c>
      <c r="E36" s="18">
        <v>33167215.004141606</v>
      </c>
    </row>
    <row r="37" spans="1:8" x14ac:dyDescent="0.25">
      <c r="A37" s="256">
        <f t="shared" si="0"/>
        <v>6</v>
      </c>
      <c r="B37" s="3" t="s">
        <v>312</v>
      </c>
      <c r="C37" s="5">
        <v>0</v>
      </c>
      <c r="D37" s="5">
        <v>31573402.002986562</v>
      </c>
      <c r="E37" s="18">
        <v>31573402.002986562</v>
      </c>
    </row>
    <row r="38" spans="1:8" x14ac:dyDescent="0.25">
      <c r="A38" s="256">
        <f t="shared" si="0"/>
        <v>7</v>
      </c>
      <c r="B38" s="3" t="s">
        <v>338</v>
      </c>
      <c r="C38" s="5">
        <v>1243772.2249999999</v>
      </c>
      <c r="D38" s="5">
        <v>5671.7350000000006</v>
      </c>
      <c r="E38" s="18">
        <v>1249443.96</v>
      </c>
    </row>
    <row r="39" spans="1:8" x14ac:dyDescent="0.25">
      <c r="A39" s="256">
        <f t="shared" si="0"/>
        <v>8</v>
      </c>
      <c r="B39" s="3" t="s">
        <v>8</v>
      </c>
      <c r="C39" s="5">
        <v>408651.75332497479</v>
      </c>
      <c r="D39" s="5">
        <v>0</v>
      </c>
      <c r="E39" s="18">
        <v>408651.75332497479</v>
      </c>
    </row>
    <row r="40" spans="1:8" x14ac:dyDescent="0.25">
      <c r="A40" s="256">
        <f t="shared" si="0"/>
        <v>9</v>
      </c>
      <c r="B40" s="3" t="s">
        <v>7</v>
      </c>
      <c r="C40" s="5">
        <v>0</v>
      </c>
      <c r="D40" s="5">
        <v>7533249.3300304115</v>
      </c>
      <c r="E40" s="18">
        <v>7533249.3300304115</v>
      </c>
    </row>
    <row r="41" spans="1:8" x14ac:dyDescent="0.25">
      <c r="A41" s="257">
        <f t="shared" si="0"/>
        <v>10</v>
      </c>
      <c r="B41" s="65" t="s">
        <v>331</v>
      </c>
      <c r="C41" s="25">
        <v>0</v>
      </c>
      <c r="D41" s="25">
        <v>0</v>
      </c>
      <c r="E41" s="68">
        <v>0</v>
      </c>
    </row>
    <row r="42" spans="1:8" x14ac:dyDescent="0.25">
      <c r="A42" s="260">
        <f t="shared" si="0"/>
        <v>11</v>
      </c>
      <c r="B42" s="261" t="s">
        <v>18</v>
      </c>
      <c r="C42" s="262">
        <f>SUM(C32:C41)</f>
        <v>403063972.46744525</v>
      </c>
      <c r="D42" s="262">
        <f>SUM(D32:D41)</f>
        <v>537222978.19427371</v>
      </c>
      <c r="E42" s="263">
        <f>SUM(E32:E41)</f>
        <v>940286950.66171908</v>
      </c>
      <c r="G42" s="323"/>
    </row>
    <row r="43" spans="1:8" x14ac:dyDescent="0.25">
      <c r="A43" s="255">
        <f t="shared" si="0"/>
        <v>12</v>
      </c>
      <c r="B43" s="264" t="s">
        <v>332</v>
      </c>
      <c r="C43" s="265">
        <f>C42/E42</f>
        <v>0.42866060428020653</v>
      </c>
      <c r="D43" s="265">
        <f>D42/E42</f>
        <v>0.57133939571979331</v>
      </c>
      <c r="E43" s="266">
        <f>SUM(C43:D43)</f>
        <v>0.99999999999999978</v>
      </c>
    </row>
    <row r="44" spans="1:8" x14ac:dyDescent="0.25">
      <c r="A44" s="257">
        <f t="shared" si="0"/>
        <v>13</v>
      </c>
      <c r="B44" s="267" t="s">
        <v>333</v>
      </c>
      <c r="C44" s="250">
        <f>C28/1000</f>
        <v>0.10727</v>
      </c>
      <c r="D44" s="250">
        <f>D28/1000</f>
        <v>0.10674000000000002</v>
      </c>
      <c r="E44" s="268"/>
    </row>
    <row r="45" spans="1:8" x14ac:dyDescent="0.25">
      <c r="A45" s="258">
        <f t="shared" si="0"/>
        <v>14</v>
      </c>
      <c r="B45" s="259" t="s">
        <v>334</v>
      </c>
      <c r="C45" s="269">
        <f>C43*C44</f>
        <v>4.5982423021137753E-2</v>
      </c>
      <c r="D45" s="269">
        <f>D43*D44</f>
        <v>6.0984767099130748E-2</v>
      </c>
      <c r="E45" s="270">
        <f>SUM(C45:D45)</f>
        <v>0.10696719012026851</v>
      </c>
    </row>
    <row r="48" spans="1:8" ht="30" x14ac:dyDescent="0.25">
      <c r="A48" s="513" t="s">
        <v>296</v>
      </c>
      <c r="B48" s="515" t="s">
        <v>297</v>
      </c>
      <c r="C48" s="310" t="s">
        <v>336</v>
      </c>
      <c r="D48" s="310" t="s">
        <v>337</v>
      </c>
      <c r="E48" s="310" t="s">
        <v>336</v>
      </c>
      <c r="F48" s="310" t="s">
        <v>337</v>
      </c>
      <c r="G48" s="310" t="s">
        <v>336</v>
      </c>
      <c r="H48" s="311" t="s">
        <v>337</v>
      </c>
    </row>
    <row r="49" spans="1:8" x14ac:dyDescent="0.25">
      <c r="A49" s="514"/>
      <c r="B49" s="516"/>
      <c r="C49" s="517" t="s">
        <v>315</v>
      </c>
      <c r="D49" s="518"/>
      <c r="E49" s="519" t="s">
        <v>340</v>
      </c>
      <c r="F49" s="520"/>
      <c r="G49" s="519" t="s">
        <v>341</v>
      </c>
      <c r="H49" s="521"/>
    </row>
    <row r="50" spans="1:8" x14ac:dyDescent="0.25">
      <c r="A50" s="119">
        <v>1</v>
      </c>
      <c r="B50" s="13" t="s">
        <v>2</v>
      </c>
      <c r="C50" s="315">
        <v>2.9999999999999997E-4</v>
      </c>
      <c r="D50" s="315">
        <v>1.8E-3</v>
      </c>
      <c r="E50" s="315">
        <v>7.4000000000000003E-3</v>
      </c>
      <c r="F50" s="315">
        <v>7.3000000000000001E-3</v>
      </c>
      <c r="G50" s="315">
        <v>5.3E-3</v>
      </c>
      <c r="H50" s="316">
        <v>5.4000000000000003E-3</v>
      </c>
    </row>
    <row r="51" spans="1:8" x14ac:dyDescent="0.25">
      <c r="A51" s="120">
        <f>A50+1</f>
        <v>2</v>
      </c>
      <c r="B51" s="3" t="s">
        <v>3</v>
      </c>
      <c r="C51" s="248">
        <v>2.9999999999999997E-4</v>
      </c>
      <c r="D51" s="315">
        <v>1.6000000000000001E-3</v>
      </c>
      <c r="E51" s="248">
        <v>6.4999999999999997E-3</v>
      </c>
      <c r="F51" s="248">
        <v>6.4000000000000003E-3</v>
      </c>
      <c r="G51" s="248">
        <v>4.7000000000000002E-3</v>
      </c>
      <c r="H51" s="312">
        <v>4.7999999999999996E-3</v>
      </c>
    </row>
    <row r="52" spans="1:8" x14ac:dyDescent="0.25">
      <c r="A52" s="120">
        <f t="shared" ref="A52:A58" si="1">A51+1</f>
        <v>3</v>
      </c>
      <c r="B52" s="3" t="s">
        <v>4</v>
      </c>
      <c r="C52" s="248">
        <v>0.12620000000000001</v>
      </c>
      <c r="D52" s="315">
        <v>0.6512</v>
      </c>
      <c r="E52" s="248">
        <v>2.8271999999999999</v>
      </c>
      <c r="F52" s="248">
        <v>2.7772999999999999</v>
      </c>
      <c r="G52" s="248">
        <v>1.9723999999999999</v>
      </c>
      <c r="H52" s="312">
        <v>2.0087000000000002</v>
      </c>
    </row>
    <row r="53" spans="1:8" x14ac:dyDescent="0.25">
      <c r="A53" s="120">
        <f t="shared" si="1"/>
        <v>4</v>
      </c>
      <c r="B53" s="3" t="s">
        <v>342</v>
      </c>
      <c r="C53" s="248">
        <v>0.12620000000000001</v>
      </c>
      <c r="D53" s="315">
        <f>D52</f>
        <v>0.6512</v>
      </c>
      <c r="E53" s="248">
        <v>2.8271999999999999</v>
      </c>
      <c r="F53" s="248">
        <f>F52</f>
        <v>2.7772999999999999</v>
      </c>
      <c r="G53" s="248">
        <v>1.9723999999999999</v>
      </c>
      <c r="H53" s="312">
        <f>H52</f>
        <v>2.0087000000000002</v>
      </c>
    </row>
    <row r="54" spans="1:8" x14ac:dyDescent="0.25">
      <c r="A54" s="120">
        <f t="shared" si="1"/>
        <v>5</v>
      </c>
      <c r="B54" s="3" t="s">
        <v>5</v>
      </c>
      <c r="C54" s="248">
        <v>0.1363</v>
      </c>
      <c r="D54" s="315">
        <v>0.71589999999999998</v>
      </c>
      <c r="E54" s="248">
        <v>2.9998</v>
      </c>
      <c r="F54" s="248">
        <v>2.9468999999999999</v>
      </c>
      <c r="G54" s="248">
        <v>2.1684000000000001</v>
      </c>
      <c r="H54" s="312">
        <v>2.2082999999999999</v>
      </c>
    </row>
    <row r="55" spans="1:8" x14ac:dyDescent="0.25">
      <c r="A55" s="120">
        <f t="shared" si="1"/>
        <v>6</v>
      </c>
      <c r="B55" s="3" t="s">
        <v>6</v>
      </c>
      <c r="C55" s="248">
        <v>2.9999999999999997E-4</v>
      </c>
      <c r="D55" s="315">
        <v>1.6000000000000001E-3</v>
      </c>
      <c r="E55" s="248">
        <v>6.4999999999999997E-3</v>
      </c>
      <c r="F55" s="248">
        <v>6.4000000000000003E-3</v>
      </c>
      <c r="G55" s="248">
        <v>4.7000000000000002E-3</v>
      </c>
      <c r="H55" s="312">
        <v>4.7999999999999996E-3</v>
      </c>
    </row>
    <row r="56" spans="1:8" x14ac:dyDescent="0.25">
      <c r="A56" s="120">
        <f t="shared" si="1"/>
        <v>7</v>
      </c>
      <c r="B56" s="3" t="s">
        <v>301</v>
      </c>
      <c r="C56" s="248">
        <v>9.11E-2</v>
      </c>
      <c r="D56" s="315">
        <v>0.4894</v>
      </c>
      <c r="E56" s="248">
        <v>2.0769000000000002</v>
      </c>
      <c r="F56" s="248">
        <v>2.0402999999999998</v>
      </c>
      <c r="G56" s="248">
        <v>1.4823</v>
      </c>
      <c r="H56" s="312">
        <v>1.5096000000000001</v>
      </c>
    </row>
    <row r="57" spans="1:8" x14ac:dyDescent="0.25">
      <c r="A57" s="120">
        <f t="shared" si="1"/>
        <v>8</v>
      </c>
      <c r="B57" s="3" t="s">
        <v>302</v>
      </c>
      <c r="C57" s="248">
        <v>5.2299999999999999E-2</v>
      </c>
      <c r="D57" s="315">
        <v>0.47799999999999998</v>
      </c>
      <c r="E57" s="248">
        <v>2.0554999999999999</v>
      </c>
      <c r="F57" s="248">
        <v>2.0192000000000001</v>
      </c>
      <c r="G57" s="248">
        <v>1.4478</v>
      </c>
      <c r="H57" s="312">
        <v>1.4744999999999999</v>
      </c>
    </row>
    <row r="58" spans="1:8" x14ac:dyDescent="0.25">
      <c r="A58" s="121">
        <f t="shared" si="1"/>
        <v>9</v>
      </c>
      <c r="B58" s="77" t="s">
        <v>303</v>
      </c>
      <c r="C58" s="313">
        <v>0</v>
      </c>
      <c r="D58" s="313">
        <v>0</v>
      </c>
      <c r="E58" s="313">
        <v>0</v>
      </c>
      <c r="F58" s="313">
        <v>0</v>
      </c>
      <c r="G58" s="313">
        <v>0</v>
      </c>
      <c r="H58" s="314">
        <v>0</v>
      </c>
    </row>
  </sheetData>
  <mergeCells count="5">
    <mergeCell ref="A48:A49"/>
    <mergeCell ref="B48:B49"/>
    <mergeCell ref="C49:D49"/>
    <mergeCell ref="E49:F49"/>
    <mergeCell ref="G49:H49"/>
  </mergeCells>
  <hyperlinks>
    <hyperlink ref="F11" r:id="rId1"/>
  </hyperlinks>
  <pageMargins left="0.7" right="0.7" top="0.75" bottom="0.75" header="0.3" footer="0.3"/>
  <pageSetup scale="50" orientation="landscape"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workbookViewId="0">
      <pane ySplit="6" topLeftCell="A7" activePane="bottomLeft" state="frozen"/>
      <selection pane="bottomLeft" activeCell="I12" sqref="I12"/>
    </sheetView>
  </sheetViews>
  <sheetFormatPr defaultRowHeight="15" x14ac:dyDescent="0.25"/>
  <cols>
    <col min="1" max="1" width="6.7109375" customWidth="1"/>
    <col min="2" max="2" width="24.140625" customWidth="1"/>
    <col min="3" max="3" width="6.42578125" customWidth="1"/>
    <col min="4" max="4" width="12.7109375" style="1" customWidth="1"/>
    <col min="5" max="5" width="10.7109375" customWidth="1"/>
    <col min="6" max="6" width="12.7109375" customWidth="1"/>
    <col min="7" max="7" width="10.7109375" customWidth="1"/>
    <col min="8" max="8" width="14.7109375" customWidth="1"/>
    <col min="9" max="9" width="12.7109375" customWidth="1"/>
    <col min="10" max="10" width="10.7109375" customWidth="1"/>
    <col min="11" max="11" width="12.7109375" customWidth="1"/>
    <col min="12" max="12" width="10.7109375" customWidth="1"/>
    <col min="13" max="13" width="14.7109375" customWidth="1"/>
  </cols>
  <sheetData>
    <row r="1" spans="1:13" ht="18.75" x14ac:dyDescent="0.3">
      <c r="A1" s="30" t="s">
        <v>0</v>
      </c>
      <c r="H1" s="30"/>
    </row>
    <row r="2" spans="1:13" ht="18.75" x14ac:dyDescent="0.3">
      <c r="A2" s="30" t="s">
        <v>294</v>
      </c>
      <c r="H2" s="30"/>
    </row>
    <row r="3" spans="1:13" ht="19.5" thickBot="1" x14ac:dyDescent="0.35">
      <c r="A3" s="32" t="s">
        <v>343</v>
      </c>
      <c r="B3" s="33"/>
      <c r="C3" s="33"/>
      <c r="D3" s="99"/>
      <c r="E3" s="33"/>
      <c r="F3" s="33"/>
      <c r="G3" s="33"/>
      <c r="H3" s="32"/>
      <c r="I3" s="33"/>
      <c r="J3" s="33"/>
      <c r="K3" s="33"/>
      <c r="L3" s="33"/>
      <c r="M3" s="33"/>
    </row>
    <row r="5" spans="1:13" ht="18.75" x14ac:dyDescent="0.3">
      <c r="A5" s="504" t="s">
        <v>296</v>
      </c>
      <c r="B5" s="525" t="s">
        <v>297</v>
      </c>
      <c r="C5" s="527" t="s">
        <v>352</v>
      </c>
      <c r="D5" s="522">
        <v>2015</v>
      </c>
      <c r="E5" s="523"/>
      <c r="F5" s="523"/>
      <c r="G5" s="523"/>
      <c r="H5" s="524"/>
      <c r="I5" s="522">
        <v>2016</v>
      </c>
      <c r="J5" s="523"/>
      <c r="K5" s="523"/>
      <c r="L5" s="523"/>
      <c r="M5" s="524"/>
    </row>
    <row r="6" spans="1:13" ht="30" x14ac:dyDescent="0.25">
      <c r="A6" s="505"/>
      <c r="B6" s="526"/>
      <c r="C6" s="517"/>
      <c r="D6" s="300" t="s">
        <v>353</v>
      </c>
      <c r="E6" s="295" t="s">
        <v>62</v>
      </c>
      <c r="F6" s="294" t="s">
        <v>304</v>
      </c>
      <c r="G6" s="296" t="s">
        <v>305</v>
      </c>
      <c r="H6" s="297" t="s">
        <v>306</v>
      </c>
      <c r="I6" s="303" t="s">
        <v>353</v>
      </c>
      <c r="J6" s="295" t="s">
        <v>62</v>
      </c>
      <c r="K6" s="294" t="s">
        <v>304</v>
      </c>
      <c r="L6" s="296" t="s">
        <v>305</v>
      </c>
      <c r="M6" s="297" t="s">
        <v>306</v>
      </c>
    </row>
    <row r="7" spans="1:13" x14ac:dyDescent="0.25">
      <c r="A7" s="285">
        <v>1</v>
      </c>
      <c r="B7" s="286" t="s">
        <v>307</v>
      </c>
      <c r="C7" s="298"/>
      <c r="D7" s="301"/>
      <c r="E7" s="287"/>
      <c r="F7" s="287"/>
      <c r="G7" s="287"/>
      <c r="H7" s="288"/>
      <c r="I7" s="304"/>
      <c r="J7" s="287"/>
      <c r="K7" s="287"/>
      <c r="L7" s="287"/>
      <c r="M7" s="288"/>
    </row>
    <row r="8" spans="1:13" x14ac:dyDescent="0.25">
      <c r="A8" s="120">
        <f>A7+1</f>
        <v>2</v>
      </c>
      <c r="B8" s="3" t="s">
        <v>2</v>
      </c>
      <c r="C8" s="52" t="s">
        <v>24</v>
      </c>
      <c r="D8" s="60">
        <f>Summary!$D$8</f>
        <v>282657108.65256178</v>
      </c>
      <c r="E8" s="3">
        <f>'COP Rates'!$C$6</f>
        <v>1.0427999999999999</v>
      </c>
      <c r="F8" s="5">
        <f>D8*E8</f>
        <v>294754832.9028914</v>
      </c>
      <c r="G8" s="248">
        <f>'COP Rates'!E45</f>
        <v>0.10696719012026851</v>
      </c>
      <c r="H8" s="249">
        <f>F8*G8</f>
        <v>31529096.249991558</v>
      </c>
      <c r="I8" s="60">
        <f>Summary!$G$8</f>
        <v>277042719.94251806</v>
      </c>
      <c r="J8" s="3">
        <f>'COP Rates'!$D$6</f>
        <v>1.0431999999999999</v>
      </c>
      <c r="K8" s="5">
        <f>I8*J8</f>
        <v>289010965.44403481</v>
      </c>
      <c r="L8" s="248">
        <f>'COP Rates'!E45</f>
        <v>0.10696719012026851</v>
      </c>
      <c r="M8" s="249">
        <f>K8*L8</f>
        <v>30914690.887494422</v>
      </c>
    </row>
    <row r="9" spans="1:13" x14ac:dyDescent="0.25">
      <c r="A9" s="120">
        <f t="shared" ref="A9:A69" si="0">A8+1</f>
        <v>3</v>
      </c>
      <c r="B9" s="3" t="s">
        <v>309</v>
      </c>
      <c r="C9" s="52" t="s">
        <v>24</v>
      </c>
      <c r="D9" s="60">
        <f>Summary!$D$9</f>
        <v>104393456.82244611</v>
      </c>
      <c r="E9" s="3">
        <f>'COP Rates'!$C$6</f>
        <v>1.0427999999999999</v>
      </c>
      <c r="F9" s="5">
        <f t="shared" ref="F9:F16" si="1">D9*E9</f>
        <v>108861496.7744468</v>
      </c>
      <c r="G9" s="248">
        <f>G8</f>
        <v>0.10696719012026851</v>
      </c>
      <c r="H9" s="249">
        <f t="shared" ref="H9:H16" si="2">F9*G9</f>
        <v>11644608.422249248</v>
      </c>
      <c r="I9" s="60">
        <f>Summary!$G$9</f>
        <v>99899667.416754559</v>
      </c>
      <c r="J9" s="3">
        <f>'COP Rates'!$D$6</f>
        <v>1.0431999999999999</v>
      </c>
      <c r="K9" s="5">
        <f t="shared" ref="K9:K16" si="3">I9*J9</f>
        <v>104215333.04915835</v>
      </c>
      <c r="L9" s="248">
        <f>L8</f>
        <v>0.10696719012026851</v>
      </c>
      <c r="M9" s="249">
        <f t="shared" ref="M9:M16" si="4">K9*L9</f>
        <v>11147621.343716424</v>
      </c>
    </row>
    <row r="10" spans="1:13" x14ac:dyDescent="0.25">
      <c r="A10" s="120">
        <f t="shared" si="0"/>
        <v>4</v>
      </c>
      <c r="B10" s="3" t="s">
        <v>310</v>
      </c>
      <c r="C10" s="52" t="s">
        <v>24</v>
      </c>
      <c r="D10" s="60">
        <f>Summary!$D$10</f>
        <v>474147267.84978443</v>
      </c>
      <c r="E10" s="3">
        <f>'COP Rates'!$C$6</f>
        <v>1.0427999999999999</v>
      </c>
      <c r="F10" s="5">
        <f t="shared" si="1"/>
        <v>494440770.91375518</v>
      </c>
      <c r="G10" s="248">
        <f>G9</f>
        <v>0.10696719012026851</v>
      </c>
      <c r="H10" s="249">
        <f t="shared" si="2"/>
        <v>52888939.945543773</v>
      </c>
      <c r="I10" s="60">
        <f>Summary!$G$10</f>
        <v>483686334.25151187</v>
      </c>
      <c r="J10" s="3">
        <f>'COP Rates'!$D$6</f>
        <v>1.0431999999999999</v>
      </c>
      <c r="K10" s="5">
        <f t="shared" si="3"/>
        <v>504581583.89117712</v>
      </c>
      <c r="L10" s="248">
        <f>L9</f>
        <v>0.10696719012026851</v>
      </c>
      <c r="M10" s="249">
        <f t="shared" si="4"/>
        <v>53973674.215273753</v>
      </c>
    </row>
    <row r="11" spans="1:13" x14ac:dyDescent="0.25">
      <c r="A11" s="120">
        <f t="shared" si="0"/>
        <v>5</v>
      </c>
      <c r="B11" s="284" t="s">
        <v>311</v>
      </c>
      <c r="C11" s="52" t="s">
        <v>24</v>
      </c>
      <c r="D11" s="60">
        <f>-WMP!D14</f>
        <v>-9370236.1843289528</v>
      </c>
      <c r="E11" s="3">
        <f>'COP Rates'!$C$6</f>
        <v>1.0427999999999999</v>
      </c>
      <c r="F11" s="5">
        <f t="shared" si="1"/>
        <v>-9771282.2930182312</v>
      </c>
      <c r="G11" s="248">
        <f>G10</f>
        <v>0.10696719012026851</v>
      </c>
      <c r="H11" s="249">
        <f t="shared" si="2"/>
        <v>-1045206.6107560943</v>
      </c>
      <c r="I11" s="60">
        <f>-WMP!D15</f>
        <v>-9742011.039449947</v>
      </c>
      <c r="J11" s="3">
        <f>'COP Rates'!$D$6</f>
        <v>1.0431999999999999</v>
      </c>
      <c r="K11" s="5">
        <f t="shared" si="3"/>
        <v>-10162865.916354183</v>
      </c>
      <c r="L11" s="248">
        <f>L10</f>
        <v>0.10696719012026851</v>
      </c>
      <c r="M11" s="249">
        <f t="shared" si="4"/>
        <v>-1087093.2106414547</v>
      </c>
    </row>
    <row r="12" spans="1:13" x14ac:dyDescent="0.25">
      <c r="A12" s="120">
        <f t="shared" si="0"/>
        <v>6</v>
      </c>
      <c r="B12" s="3" t="s">
        <v>5</v>
      </c>
      <c r="C12" s="52" t="s">
        <v>24</v>
      </c>
      <c r="D12" s="60">
        <f>Summary!D11</f>
        <v>51664547.366088025</v>
      </c>
      <c r="E12" s="3">
        <f>'COP Rates'!$C$9</f>
        <v>1.0141</v>
      </c>
      <c r="F12" s="5">
        <f t="shared" si="1"/>
        <v>52393017.48394987</v>
      </c>
      <c r="G12" s="248">
        <f>G10</f>
        <v>0.10696719012026851</v>
      </c>
      <c r="H12" s="249">
        <f t="shared" si="2"/>
        <v>5604333.8621802181</v>
      </c>
      <c r="I12" s="60">
        <f>Summary!G11</f>
        <v>40550980.966088027</v>
      </c>
      <c r="J12" s="3">
        <f>'COP Rates'!$D$9</f>
        <v>1.0048999999999999</v>
      </c>
      <c r="K12" s="5">
        <f t="shared" si="3"/>
        <v>40749680.772821851</v>
      </c>
      <c r="L12" s="248">
        <f>L10</f>
        <v>0.10696719012026851</v>
      </c>
      <c r="M12" s="249">
        <f t="shared" si="4"/>
        <v>4358878.8505666852</v>
      </c>
    </row>
    <row r="13" spans="1:13" x14ac:dyDescent="0.25">
      <c r="A13" s="120">
        <f t="shared" si="0"/>
        <v>7</v>
      </c>
      <c r="B13" s="3" t="s">
        <v>313</v>
      </c>
      <c r="C13" s="52" t="s">
        <v>24</v>
      </c>
      <c r="D13" s="60">
        <f>Summary!$D$12</f>
        <v>1268750</v>
      </c>
      <c r="E13" s="3">
        <f>'COP Rates'!$C$6</f>
        <v>1.0427999999999999</v>
      </c>
      <c r="F13" s="5">
        <f t="shared" si="1"/>
        <v>1323052.5</v>
      </c>
      <c r="G13" s="248">
        <f>G12</f>
        <v>0.10696719012026851</v>
      </c>
      <c r="H13" s="249">
        <f t="shared" si="2"/>
        <v>141523.20830659656</v>
      </c>
      <c r="I13" s="60">
        <f>Summary!$G$12</f>
        <v>1288075</v>
      </c>
      <c r="J13" s="3">
        <f>'COP Rates'!$D$6</f>
        <v>1.0431999999999999</v>
      </c>
      <c r="K13" s="5">
        <f t="shared" si="3"/>
        <v>1343719.8399999999</v>
      </c>
      <c r="L13" s="248">
        <f>L12</f>
        <v>0.10696719012026851</v>
      </c>
      <c r="M13" s="249">
        <f t="shared" si="4"/>
        <v>143733.93559365676</v>
      </c>
    </row>
    <row r="14" spans="1:13" x14ac:dyDescent="0.25">
      <c r="A14" s="120">
        <f t="shared" si="0"/>
        <v>8</v>
      </c>
      <c r="B14" s="3" t="s">
        <v>8</v>
      </c>
      <c r="C14" s="52" t="s">
        <v>24</v>
      </c>
      <c r="D14" s="60">
        <f>Summary!$D$13</f>
        <v>402619</v>
      </c>
      <c r="E14" s="3">
        <f>'COP Rates'!$C$6</f>
        <v>1.0427999999999999</v>
      </c>
      <c r="F14" s="5">
        <f t="shared" si="1"/>
        <v>419851.0932</v>
      </c>
      <c r="G14" s="248">
        <f>G13</f>
        <v>0.10696719012026851</v>
      </c>
      <c r="H14" s="249">
        <f t="shared" si="2"/>
        <v>44910.291708526973</v>
      </c>
      <c r="I14" s="60">
        <f>Summary!$G$13</f>
        <v>396340</v>
      </c>
      <c r="J14" s="3">
        <f>'COP Rates'!$D$6</f>
        <v>1.0431999999999999</v>
      </c>
      <c r="K14" s="5">
        <f t="shared" si="3"/>
        <v>413461.88799999998</v>
      </c>
      <c r="L14" s="248">
        <f>L13</f>
        <v>0.10696719012026851</v>
      </c>
      <c r="M14" s="249">
        <f t="shared" si="4"/>
        <v>44226.856381181162</v>
      </c>
    </row>
    <row r="15" spans="1:13" x14ac:dyDescent="0.25">
      <c r="A15" s="120">
        <f t="shared" si="0"/>
        <v>9</v>
      </c>
      <c r="B15" s="3" t="s">
        <v>7</v>
      </c>
      <c r="C15" s="52" t="s">
        <v>24</v>
      </c>
      <c r="D15" s="60">
        <f>Summary!$D$14</f>
        <v>6989762.8099999996</v>
      </c>
      <c r="E15" s="3">
        <f>'COP Rates'!$C$6</f>
        <v>1.0427999999999999</v>
      </c>
      <c r="F15" s="5">
        <f t="shared" si="1"/>
        <v>7288924.6582679991</v>
      </c>
      <c r="G15" s="248">
        <f>G14</f>
        <v>0.10696719012026851</v>
      </c>
      <c r="H15" s="249">
        <f t="shared" si="2"/>
        <v>779675.78969326627</v>
      </c>
      <c r="I15" s="60">
        <f>Summary!$G$14</f>
        <v>6452814.8100000005</v>
      </c>
      <c r="J15" s="3">
        <f>'COP Rates'!$D$6</f>
        <v>1.0431999999999999</v>
      </c>
      <c r="K15" s="5">
        <f t="shared" si="3"/>
        <v>6731576.4097919995</v>
      </c>
      <c r="L15" s="248">
        <f>L14</f>
        <v>0.10696719012026851</v>
      </c>
      <c r="M15" s="249">
        <f t="shared" si="4"/>
        <v>720057.8136353353</v>
      </c>
    </row>
    <row r="16" spans="1:13" x14ac:dyDescent="0.25">
      <c r="A16" s="289">
        <f t="shared" si="0"/>
        <v>10</v>
      </c>
      <c r="B16" s="65" t="s">
        <v>303</v>
      </c>
      <c r="C16" s="66" t="s">
        <v>24</v>
      </c>
      <c r="D16" s="67">
        <f>Summary!$D$15</f>
        <v>4526975</v>
      </c>
      <c r="E16" s="65">
        <f>'COP Rates'!$C$9</f>
        <v>1.0141</v>
      </c>
      <c r="F16" s="25">
        <f t="shared" si="1"/>
        <v>4590805.3475000001</v>
      </c>
      <c r="G16" s="250">
        <f>G15</f>
        <v>0.10696719012026851</v>
      </c>
      <c r="H16" s="290">
        <f t="shared" si="2"/>
        <v>491065.54841117782</v>
      </c>
      <c r="I16" s="67">
        <f>Summary!$G$15</f>
        <v>4421657</v>
      </c>
      <c r="J16" s="65">
        <f>'COP Rates'!$D$9</f>
        <v>1.0048999999999999</v>
      </c>
      <c r="K16" s="25">
        <f t="shared" si="3"/>
        <v>4443323.1192999994</v>
      </c>
      <c r="L16" s="250">
        <f>L15</f>
        <v>0.10696719012026851</v>
      </c>
      <c r="M16" s="290">
        <f t="shared" si="4"/>
        <v>475289.78886794753</v>
      </c>
    </row>
    <row r="17" spans="1:14" x14ac:dyDescent="0.25">
      <c r="A17" s="292">
        <f t="shared" si="0"/>
        <v>11</v>
      </c>
      <c r="B17" s="261" t="s">
        <v>18</v>
      </c>
      <c r="C17" s="299"/>
      <c r="D17" s="302"/>
      <c r="E17" s="261"/>
      <c r="F17" s="261"/>
      <c r="G17" s="261"/>
      <c r="H17" s="293">
        <f>SUM(H8:H16)</f>
        <v>102078946.70732827</v>
      </c>
      <c r="I17" s="146"/>
      <c r="J17" s="261"/>
      <c r="K17" s="261"/>
      <c r="L17" s="261"/>
      <c r="M17" s="293">
        <f>SUM(M8:M16)</f>
        <v>100691080.48088793</v>
      </c>
    </row>
    <row r="18" spans="1:14" x14ac:dyDescent="0.25">
      <c r="A18" s="285">
        <f t="shared" si="0"/>
        <v>12</v>
      </c>
      <c r="B18" s="286" t="s">
        <v>308</v>
      </c>
      <c r="C18" s="298"/>
      <c r="D18" s="301"/>
      <c r="E18" s="287"/>
      <c r="F18" s="287"/>
      <c r="G18" s="287"/>
      <c r="H18" s="288"/>
      <c r="I18" s="304"/>
      <c r="J18" s="287"/>
      <c r="K18" s="287"/>
      <c r="L18" s="287"/>
      <c r="M18" s="288"/>
    </row>
    <row r="19" spans="1:14" x14ac:dyDescent="0.25">
      <c r="A19" s="120">
        <f t="shared" si="0"/>
        <v>13</v>
      </c>
      <c r="B19" s="3" t="s">
        <v>2</v>
      </c>
      <c r="C19" s="52" t="s">
        <v>24</v>
      </c>
      <c r="D19" s="60">
        <f>Summary!$D$8</f>
        <v>282657108.65256178</v>
      </c>
      <c r="E19" s="3">
        <f>'COP Rates'!$C$6</f>
        <v>1.0427999999999999</v>
      </c>
      <c r="F19" s="5">
        <f>D19*E19</f>
        <v>294754832.9028914</v>
      </c>
      <c r="G19" s="248">
        <f>0.0044+0.0013</f>
        <v>5.7000000000000002E-3</v>
      </c>
      <c r="H19" s="249">
        <f>F19*G19</f>
        <v>1680102.547546481</v>
      </c>
      <c r="I19" s="60">
        <f>Summary!$G$8</f>
        <v>277042719.94251806</v>
      </c>
      <c r="J19" s="3">
        <f>'COP Rates'!$D$6</f>
        <v>1.0431999999999999</v>
      </c>
      <c r="K19" s="5">
        <f>I19*J19</f>
        <v>289010965.44403481</v>
      </c>
      <c r="L19" s="248">
        <f>0.0044+0.0013</f>
        <v>5.7000000000000002E-3</v>
      </c>
      <c r="M19" s="249">
        <f>K19*L19</f>
        <v>1647362.5030309984</v>
      </c>
      <c r="N19" s="1"/>
    </row>
    <row r="20" spans="1:14" x14ac:dyDescent="0.25">
      <c r="A20" s="120">
        <f t="shared" si="0"/>
        <v>14</v>
      </c>
      <c r="B20" s="3" t="s">
        <v>309</v>
      </c>
      <c r="C20" s="52" t="s">
        <v>24</v>
      </c>
      <c r="D20" s="60">
        <f>Summary!$D$9</f>
        <v>104393456.82244611</v>
      </c>
      <c r="E20" s="3">
        <f>'COP Rates'!$C$6</f>
        <v>1.0427999999999999</v>
      </c>
      <c r="F20" s="5">
        <f t="shared" ref="F20:F27" si="5">D20*E20</f>
        <v>108861496.7744468</v>
      </c>
      <c r="G20" s="248">
        <f>G19</f>
        <v>5.7000000000000002E-3</v>
      </c>
      <c r="H20" s="249">
        <f t="shared" ref="H20:H27" si="6">F20*G20</f>
        <v>620510.53161434678</v>
      </c>
      <c r="I20" s="60">
        <f>Summary!$G$9</f>
        <v>99899667.416754559</v>
      </c>
      <c r="J20" s="3">
        <f>'COP Rates'!$D$6</f>
        <v>1.0431999999999999</v>
      </c>
      <c r="K20" s="5">
        <f t="shared" ref="K20:K27" si="7">I20*J20</f>
        <v>104215333.04915835</v>
      </c>
      <c r="L20" s="248">
        <f>L19</f>
        <v>5.7000000000000002E-3</v>
      </c>
      <c r="M20" s="249">
        <f t="shared" ref="M20:M27" si="8">K20*L20</f>
        <v>594027.39838020259</v>
      </c>
      <c r="N20" s="1"/>
    </row>
    <row r="21" spans="1:14" x14ac:dyDescent="0.25">
      <c r="A21" s="120">
        <f t="shared" si="0"/>
        <v>15</v>
      </c>
      <c r="B21" s="3" t="s">
        <v>310</v>
      </c>
      <c r="C21" s="52" t="s">
        <v>24</v>
      </c>
      <c r="D21" s="60">
        <f>Summary!$D$10</f>
        <v>474147267.84978443</v>
      </c>
      <c r="E21" s="3">
        <f>'COP Rates'!$C$6</f>
        <v>1.0427999999999999</v>
      </c>
      <c r="F21" s="5">
        <f t="shared" si="5"/>
        <v>494440770.91375518</v>
      </c>
      <c r="G21" s="248">
        <f>G20</f>
        <v>5.7000000000000002E-3</v>
      </c>
      <c r="H21" s="249">
        <f t="shared" si="6"/>
        <v>2818312.3942084047</v>
      </c>
      <c r="I21" s="60">
        <f>Summary!$G$10</f>
        <v>483686334.25151187</v>
      </c>
      <c r="J21" s="3">
        <f>'COP Rates'!$D$6</f>
        <v>1.0431999999999999</v>
      </c>
      <c r="K21" s="5">
        <f t="shared" si="7"/>
        <v>504581583.89117712</v>
      </c>
      <c r="L21" s="248">
        <f>L20</f>
        <v>5.7000000000000002E-3</v>
      </c>
      <c r="M21" s="249">
        <f t="shared" si="8"/>
        <v>2876115.0281797098</v>
      </c>
      <c r="N21" s="1"/>
    </row>
    <row r="22" spans="1:14" x14ac:dyDescent="0.25">
      <c r="A22" s="120">
        <f t="shared" si="0"/>
        <v>16</v>
      </c>
      <c r="B22" s="284" t="s">
        <v>311</v>
      </c>
      <c r="C22" s="52" t="s">
        <v>24</v>
      </c>
      <c r="D22" s="60">
        <f>D11</f>
        <v>-9370236.1843289528</v>
      </c>
      <c r="E22" s="3">
        <f>'COP Rates'!$C$6</f>
        <v>1.0427999999999999</v>
      </c>
      <c r="F22" s="5">
        <f t="shared" si="5"/>
        <v>-9771282.2930182312</v>
      </c>
      <c r="G22" s="248">
        <f t="shared" ref="G22:G27" si="9">G21</f>
        <v>5.7000000000000002E-3</v>
      </c>
      <c r="H22" s="249">
        <f t="shared" si="6"/>
        <v>-55696.309070203919</v>
      </c>
      <c r="I22" s="60">
        <f>I11</f>
        <v>-9742011.039449947</v>
      </c>
      <c r="J22" s="3">
        <f>'COP Rates'!$D$6</f>
        <v>1.0431999999999999</v>
      </c>
      <c r="K22" s="5">
        <f t="shared" si="7"/>
        <v>-10162865.916354183</v>
      </c>
      <c r="L22" s="248">
        <f>L21</f>
        <v>5.7000000000000002E-3</v>
      </c>
      <c r="M22" s="249">
        <f t="shared" si="8"/>
        <v>-57928.335723218843</v>
      </c>
      <c r="N22" s="1"/>
    </row>
    <row r="23" spans="1:14" x14ac:dyDescent="0.25">
      <c r="A23" s="120">
        <f t="shared" si="0"/>
        <v>17</v>
      </c>
      <c r="B23" s="3" t="s">
        <v>312</v>
      </c>
      <c r="C23" s="52" t="s">
        <v>24</v>
      </c>
      <c r="D23" s="60">
        <f>D12</f>
        <v>51664547.366088025</v>
      </c>
      <c r="E23" s="3">
        <f>'COP Rates'!$C$9</f>
        <v>1.0141</v>
      </c>
      <c r="F23" s="5">
        <f t="shared" si="5"/>
        <v>52393017.48394987</v>
      </c>
      <c r="G23" s="248">
        <f t="shared" si="9"/>
        <v>5.7000000000000002E-3</v>
      </c>
      <c r="H23" s="249">
        <f t="shared" si="6"/>
        <v>298640.19965851429</v>
      </c>
      <c r="I23" s="60">
        <f>I12</f>
        <v>40550980.966088027</v>
      </c>
      <c r="J23" s="3">
        <f>'COP Rates'!$D$9</f>
        <v>1.0048999999999999</v>
      </c>
      <c r="K23" s="5">
        <f t="shared" si="7"/>
        <v>40749680.772821851</v>
      </c>
      <c r="L23" s="248">
        <f>L21</f>
        <v>5.7000000000000002E-3</v>
      </c>
      <c r="M23" s="249">
        <f t="shared" si="8"/>
        <v>232273.18040508457</v>
      </c>
      <c r="N23" s="1"/>
    </row>
    <row r="24" spans="1:14" x14ac:dyDescent="0.25">
      <c r="A24" s="120">
        <f t="shared" si="0"/>
        <v>18</v>
      </c>
      <c r="B24" s="3" t="s">
        <v>313</v>
      </c>
      <c r="C24" s="52" t="s">
        <v>24</v>
      </c>
      <c r="D24" s="60">
        <f>Summary!$D$12</f>
        <v>1268750</v>
      </c>
      <c r="E24" s="3">
        <f>'COP Rates'!$C$6</f>
        <v>1.0427999999999999</v>
      </c>
      <c r="F24" s="5">
        <f t="shared" si="5"/>
        <v>1323052.5</v>
      </c>
      <c r="G24" s="248">
        <f t="shared" si="9"/>
        <v>5.7000000000000002E-3</v>
      </c>
      <c r="H24" s="249">
        <f t="shared" si="6"/>
        <v>7541.3992500000004</v>
      </c>
      <c r="I24" s="60">
        <f>Summary!$G$12</f>
        <v>1288075</v>
      </c>
      <c r="J24" s="3">
        <f>'COP Rates'!$D$6</f>
        <v>1.0431999999999999</v>
      </c>
      <c r="K24" s="5">
        <f t="shared" si="7"/>
        <v>1343719.8399999999</v>
      </c>
      <c r="L24" s="248">
        <f>L23</f>
        <v>5.7000000000000002E-3</v>
      </c>
      <c r="M24" s="249">
        <f t="shared" si="8"/>
        <v>7659.2030879999993</v>
      </c>
      <c r="N24" s="1"/>
    </row>
    <row r="25" spans="1:14" x14ac:dyDescent="0.25">
      <c r="A25" s="120">
        <f t="shared" si="0"/>
        <v>19</v>
      </c>
      <c r="B25" s="3" t="s">
        <v>8</v>
      </c>
      <c r="C25" s="52" t="s">
        <v>24</v>
      </c>
      <c r="D25" s="60">
        <f>Summary!$D$13</f>
        <v>402619</v>
      </c>
      <c r="E25" s="3">
        <f>'COP Rates'!$C$6</f>
        <v>1.0427999999999999</v>
      </c>
      <c r="F25" s="5">
        <f t="shared" si="5"/>
        <v>419851.0932</v>
      </c>
      <c r="G25" s="248">
        <f t="shared" si="9"/>
        <v>5.7000000000000002E-3</v>
      </c>
      <c r="H25" s="249">
        <f t="shared" si="6"/>
        <v>2393.15123124</v>
      </c>
      <c r="I25" s="60">
        <f>Summary!$G$13</f>
        <v>396340</v>
      </c>
      <c r="J25" s="3">
        <f>'COP Rates'!$D$6</f>
        <v>1.0431999999999999</v>
      </c>
      <c r="K25" s="5">
        <f t="shared" si="7"/>
        <v>413461.88799999998</v>
      </c>
      <c r="L25" s="248">
        <f>L24</f>
        <v>5.7000000000000002E-3</v>
      </c>
      <c r="M25" s="249">
        <f t="shared" si="8"/>
        <v>2356.7327615999998</v>
      </c>
      <c r="N25" s="1"/>
    </row>
    <row r="26" spans="1:14" x14ac:dyDescent="0.25">
      <c r="A26" s="120">
        <f t="shared" si="0"/>
        <v>20</v>
      </c>
      <c r="B26" s="3" t="s">
        <v>7</v>
      </c>
      <c r="C26" s="52" t="s">
        <v>24</v>
      </c>
      <c r="D26" s="60">
        <f>Summary!$D$14</f>
        <v>6989762.8099999996</v>
      </c>
      <c r="E26" s="3">
        <f>'COP Rates'!$C$6</f>
        <v>1.0427999999999999</v>
      </c>
      <c r="F26" s="5">
        <f t="shared" si="5"/>
        <v>7288924.6582679991</v>
      </c>
      <c r="G26" s="248">
        <f t="shared" si="9"/>
        <v>5.7000000000000002E-3</v>
      </c>
      <c r="H26" s="249">
        <f t="shared" si="6"/>
        <v>41546.870552127599</v>
      </c>
      <c r="I26" s="60">
        <f>Summary!$G$14</f>
        <v>6452814.8100000005</v>
      </c>
      <c r="J26" s="3">
        <f>'COP Rates'!$D$6</f>
        <v>1.0431999999999999</v>
      </c>
      <c r="K26" s="5">
        <f t="shared" si="7"/>
        <v>6731576.4097919995</v>
      </c>
      <c r="L26" s="248">
        <f>L25</f>
        <v>5.7000000000000002E-3</v>
      </c>
      <c r="M26" s="249">
        <f t="shared" si="8"/>
        <v>38369.985535814398</v>
      </c>
      <c r="N26" s="1"/>
    </row>
    <row r="27" spans="1:14" x14ac:dyDescent="0.25">
      <c r="A27" s="289">
        <f t="shared" si="0"/>
        <v>21</v>
      </c>
      <c r="B27" s="65" t="s">
        <v>303</v>
      </c>
      <c r="C27" s="66" t="s">
        <v>24</v>
      </c>
      <c r="D27" s="67">
        <f>Summary!$D$15</f>
        <v>4526975</v>
      </c>
      <c r="E27" s="65">
        <f>'COP Rates'!$C$9</f>
        <v>1.0141</v>
      </c>
      <c r="F27" s="25">
        <f t="shared" si="5"/>
        <v>4590805.3475000001</v>
      </c>
      <c r="G27" s="248">
        <f t="shared" si="9"/>
        <v>5.7000000000000002E-3</v>
      </c>
      <c r="H27" s="290">
        <f t="shared" si="6"/>
        <v>26167.590480750001</v>
      </c>
      <c r="I27" s="67">
        <f>Summary!$G$15</f>
        <v>4421657</v>
      </c>
      <c r="J27" s="65">
        <f>'COP Rates'!$D$9</f>
        <v>1.0048999999999999</v>
      </c>
      <c r="K27" s="25">
        <f t="shared" si="7"/>
        <v>4443323.1192999994</v>
      </c>
      <c r="L27" s="250">
        <f>L26</f>
        <v>5.7000000000000002E-3</v>
      </c>
      <c r="M27" s="290">
        <f t="shared" si="8"/>
        <v>25326.941780009998</v>
      </c>
      <c r="N27" s="1"/>
    </row>
    <row r="28" spans="1:14" x14ac:dyDescent="0.25">
      <c r="A28" s="292">
        <f t="shared" si="0"/>
        <v>22</v>
      </c>
      <c r="B28" s="261" t="s">
        <v>18</v>
      </c>
      <c r="C28" s="299"/>
      <c r="D28" s="302"/>
      <c r="E28" s="261"/>
      <c r="F28" s="261"/>
      <c r="G28" s="261"/>
      <c r="H28" s="293">
        <f>SUM(H19:H27)</f>
        <v>5439518.375471659</v>
      </c>
      <c r="I28" s="146"/>
      <c r="J28" s="261"/>
      <c r="K28" s="261"/>
      <c r="L28" s="261"/>
      <c r="M28" s="293">
        <f>SUM(M19:M27)</f>
        <v>5365562.6374382023</v>
      </c>
    </row>
    <row r="29" spans="1:14" x14ac:dyDescent="0.25">
      <c r="A29" s="285">
        <f t="shared" si="0"/>
        <v>23</v>
      </c>
      <c r="B29" s="286" t="s">
        <v>314</v>
      </c>
      <c r="C29" s="298"/>
      <c r="D29" s="301"/>
      <c r="E29" s="287"/>
      <c r="F29" s="287"/>
      <c r="G29" s="287"/>
      <c r="H29" s="288"/>
      <c r="I29" s="304"/>
      <c r="J29" s="287"/>
      <c r="K29" s="287"/>
      <c r="L29" s="287"/>
      <c r="M29" s="288"/>
    </row>
    <row r="30" spans="1:14" x14ac:dyDescent="0.25">
      <c r="A30" s="120">
        <f t="shared" si="0"/>
        <v>24</v>
      </c>
      <c r="B30" s="3" t="s">
        <v>2</v>
      </c>
      <c r="C30" s="52" t="s">
        <v>316</v>
      </c>
      <c r="D30" s="60">
        <f>Summary!C8</f>
        <v>36203</v>
      </c>
      <c r="E30" s="3"/>
      <c r="F30" s="5">
        <f>D30</f>
        <v>36203</v>
      </c>
      <c r="G30" s="248">
        <v>0.79</v>
      </c>
      <c r="H30" s="249">
        <f>F30*G30*12</f>
        <v>343204.44000000006</v>
      </c>
      <c r="I30" s="60">
        <f>Summary!F8</f>
        <v>36333</v>
      </c>
      <c r="J30" s="3"/>
      <c r="K30" s="5">
        <f>I30</f>
        <v>36333</v>
      </c>
      <c r="L30" s="248">
        <v>0.79</v>
      </c>
      <c r="M30" s="249">
        <f>K30*L30*12</f>
        <v>344436.83999999997</v>
      </c>
    </row>
    <row r="31" spans="1:14" x14ac:dyDescent="0.25">
      <c r="A31" s="120">
        <f t="shared" si="0"/>
        <v>25</v>
      </c>
      <c r="B31" s="3" t="s">
        <v>309</v>
      </c>
      <c r="C31" s="52" t="s">
        <v>316</v>
      </c>
      <c r="D31" s="60">
        <f>Summary!C9</f>
        <v>3860</v>
      </c>
      <c r="E31" s="3"/>
      <c r="F31" s="5">
        <f>D31</f>
        <v>3860</v>
      </c>
      <c r="G31" s="248">
        <v>0.79</v>
      </c>
      <c r="H31" s="249">
        <f>F31*G31*12</f>
        <v>36592.800000000003</v>
      </c>
      <c r="I31" s="60">
        <f>Summary!F9</f>
        <v>3850</v>
      </c>
      <c r="J31" s="3"/>
      <c r="K31" s="5">
        <f>I31</f>
        <v>3850</v>
      </c>
      <c r="L31" s="248">
        <v>0.79</v>
      </c>
      <c r="M31" s="249">
        <f>K31*L31*12</f>
        <v>36498</v>
      </c>
    </row>
    <row r="32" spans="1:14" x14ac:dyDescent="0.25">
      <c r="A32" s="120">
        <f t="shared" si="0"/>
        <v>26</v>
      </c>
      <c r="B32" s="3" t="s">
        <v>310</v>
      </c>
      <c r="C32" s="52"/>
      <c r="D32" s="60"/>
      <c r="E32" s="3"/>
      <c r="F32" s="5"/>
      <c r="G32" s="248"/>
      <c r="H32" s="249"/>
      <c r="I32" s="60"/>
      <c r="J32" s="3"/>
      <c r="K32" s="5"/>
      <c r="L32" s="248"/>
      <c r="M32" s="249"/>
    </row>
    <row r="33" spans="1:13" x14ac:dyDescent="0.25">
      <c r="A33" s="120">
        <f t="shared" si="0"/>
        <v>27</v>
      </c>
      <c r="B33" s="284" t="s">
        <v>311</v>
      </c>
      <c r="C33" s="52"/>
      <c r="D33" s="60"/>
      <c r="E33" s="3"/>
      <c r="F33" s="5"/>
      <c r="G33" s="248"/>
      <c r="H33" s="249"/>
      <c r="I33" s="60"/>
      <c r="J33" s="3"/>
      <c r="K33" s="5"/>
      <c r="L33" s="248"/>
      <c r="M33" s="249"/>
    </row>
    <row r="34" spans="1:13" x14ac:dyDescent="0.25">
      <c r="A34" s="120">
        <f t="shared" si="0"/>
        <v>28</v>
      </c>
      <c r="B34" s="3" t="s">
        <v>312</v>
      </c>
      <c r="C34" s="52"/>
      <c r="D34" s="60"/>
      <c r="E34" s="3"/>
      <c r="F34" s="5"/>
      <c r="G34" s="248"/>
      <c r="H34" s="249"/>
      <c r="I34" s="60"/>
      <c r="J34" s="3"/>
      <c r="K34" s="5"/>
      <c r="L34" s="248"/>
      <c r="M34" s="249"/>
    </row>
    <row r="35" spans="1:13" x14ac:dyDescent="0.25">
      <c r="A35" s="120">
        <f t="shared" si="0"/>
        <v>29</v>
      </c>
      <c r="B35" s="3" t="s">
        <v>313</v>
      </c>
      <c r="C35" s="52"/>
      <c r="D35" s="60"/>
      <c r="E35" s="3"/>
      <c r="F35" s="5"/>
      <c r="G35" s="248"/>
      <c r="H35" s="249"/>
      <c r="I35" s="60"/>
      <c r="J35" s="3"/>
      <c r="K35" s="5"/>
      <c r="L35" s="248"/>
      <c r="M35" s="249"/>
    </row>
    <row r="36" spans="1:13" x14ac:dyDescent="0.25">
      <c r="A36" s="120">
        <f t="shared" si="0"/>
        <v>30</v>
      </c>
      <c r="B36" s="3" t="s">
        <v>8</v>
      </c>
      <c r="C36" s="52"/>
      <c r="D36" s="60"/>
      <c r="E36" s="3"/>
      <c r="F36" s="5"/>
      <c r="G36" s="248"/>
      <c r="H36" s="249"/>
      <c r="I36" s="60"/>
      <c r="J36" s="3"/>
      <c r="K36" s="5"/>
      <c r="L36" s="248"/>
      <c r="M36" s="249"/>
    </row>
    <row r="37" spans="1:13" x14ac:dyDescent="0.25">
      <c r="A37" s="120">
        <f t="shared" si="0"/>
        <v>31</v>
      </c>
      <c r="B37" s="3" t="s">
        <v>7</v>
      </c>
      <c r="C37" s="52"/>
      <c r="D37" s="60"/>
      <c r="E37" s="3"/>
      <c r="F37" s="5"/>
      <c r="G37" s="248"/>
      <c r="H37" s="249"/>
      <c r="I37" s="60"/>
      <c r="J37" s="3"/>
      <c r="K37" s="5"/>
      <c r="L37" s="248"/>
      <c r="M37" s="249"/>
    </row>
    <row r="38" spans="1:13" x14ac:dyDescent="0.25">
      <c r="A38" s="289">
        <f t="shared" si="0"/>
        <v>32</v>
      </c>
      <c r="B38" s="65" t="s">
        <v>303</v>
      </c>
      <c r="C38" s="66"/>
      <c r="D38" s="67"/>
      <c r="E38" s="65"/>
      <c r="F38" s="25"/>
      <c r="G38" s="250"/>
      <c r="H38" s="290"/>
      <c r="I38" s="67"/>
      <c r="J38" s="65"/>
      <c r="K38" s="25"/>
      <c r="L38" s="250"/>
      <c r="M38" s="290"/>
    </row>
    <row r="39" spans="1:13" x14ac:dyDescent="0.25">
      <c r="A39" s="292">
        <f t="shared" si="0"/>
        <v>33</v>
      </c>
      <c r="B39" s="261" t="s">
        <v>18</v>
      </c>
      <c r="C39" s="299"/>
      <c r="D39" s="302"/>
      <c r="E39" s="261"/>
      <c r="F39" s="261"/>
      <c r="G39" s="261"/>
      <c r="H39" s="293">
        <f>SUM(H30:H38)</f>
        <v>379797.24000000005</v>
      </c>
      <c r="I39" s="146"/>
      <c r="J39" s="261"/>
      <c r="K39" s="261"/>
      <c r="L39" s="261"/>
      <c r="M39" s="293">
        <f>SUM(M30:M38)</f>
        <v>380934.83999999997</v>
      </c>
    </row>
    <row r="40" spans="1:13" x14ac:dyDescent="0.25">
      <c r="A40" s="285">
        <f t="shared" si="0"/>
        <v>34</v>
      </c>
      <c r="B40" s="286" t="s">
        <v>315</v>
      </c>
      <c r="C40" s="298"/>
      <c r="D40" s="301"/>
      <c r="E40" s="287"/>
      <c r="F40" s="287"/>
      <c r="G40" s="287"/>
      <c r="H40" s="288"/>
      <c r="I40" s="304"/>
      <c r="J40" s="287"/>
      <c r="K40" s="287"/>
      <c r="L40" s="287"/>
      <c r="M40" s="288"/>
    </row>
    <row r="41" spans="1:13" x14ac:dyDescent="0.25">
      <c r="A41" s="120">
        <f t="shared" si="0"/>
        <v>35</v>
      </c>
      <c r="B41" s="3" t="s">
        <v>2</v>
      </c>
      <c r="C41" s="52" t="s">
        <v>24</v>
      </c>
      <c r="D41" s="60">
        <f>IF($C41="kWh",Summary!$D8,Summary!$E8)</f>
        <v>282657108.65256178</v>
      </c>
      <c r="E41" s="3">
        <f>IF(C41="kWh",E8,0)</f>
        <v>1.0427999999999999</v>
      </c>
      <c r="F41" s="5">
        <f>IF(C41="kwh",D41*E41,D41)</f>
        <v>294754832.9028914</v>
      </c>
      <c r="G41" s="248">
        <f>'COP Rates'!C50</f>
        <v>2.9999999999999997E-4</v>
      </c>
      <c r="H41" s="249">
        <f>F41*G41</f>
        <v>88426.449870867407</v>
      </c>
      <c r="I41" s="60">
        <f>IF($C41="kWh",Summary!$G8,Summary!$H8)</f>
        <v>277042719.94251806</v>
      </c>
      <c r="J41" s="3">
        <f>IF(C41="kWh",J8,0)</f>
        <v>1.0431999999999999</v>
      </c>
      <c r="K41" s="5">
        <f>IF(C41="kwh",I41*J41,I41)</f>
        <v>289010965.44403481</v>
      </c>
      <c r="L41" s="248">
        <f>'COP Rates'!D50</f>
        <v>1.8E-3</v>
      </c>
      <c r="M41" s="249">
        <f>K41*L41</f>
        <v>520219.73779926263</v>
      </c>
    </row>
    <row r="42" spans="1:13" x14ac:dyDescent="0.25">
      <c r="A42" s="120">
        <f t="shared" si="0"/>
        <v>36</v>
      </c>
      <c r="B42" s="3" t="s">
        <v>309</v>
      </c>
      <c r="C42" s="52" t="s">
        <v>24</v>
      </c>
      <c r="D42" s="60">
        <f>IF($C42="kWh",Summary!$D9,Summary!$E9)</f>
        <v>104393456.82244611</v>
      </c>
      <c r="E42" s="3">
        <f t="shared" ref="E42:E43" si="10">IF(C42="kWh",E9,0)</f>
        <v>1.0427999999999999</v>
      </c>
      <c r="F42" s="5">
        <f t="shared" ref="F42:F48" si="11">IF(C42="kwh",D42*E42,D42)</f>
        <v>108861496.7744468</v>
      </c>
      <c r="G42" s="248">
        <f>'COP Rates'!C51</f>
        <v>2.9999999999999997E-4</v>
      </c>
      <c r="H42" s="249">
        <f t="shared" ref="H42:H48" si="12">F42*G42</f>
        <v>32658.449032334036</v>
      </c>
      <c r="I42" s="60">
        <f>IF($C42="kWh",Summary!$G9,Summary!$H9)</f>
        <v>99899667.416754559</v>
      </c>
      <c r="J42" s="3">
        <f t="shared" ref="J42:J43" si="13">IF(C42="kWh",J9,0)</f>
        <v>1.0431999999999999</v>
      </c>
      <c r="K42" s="5">
        <f t="shared" ref="K42:K48" si="14">IF(C42="kwh",I42*J42,I42)</f>
        <v>104215333.04915835</v>
      </c>
      <c r="L42" s="248">
        <f>'COP Rates'!D51</f>
        <v>1.6000000000000001E-3</v>
      </c>
      <c r="M42" s="249">
        <f t="shared" ref="M42:M48" si="15">K42*L42</f>
        <v>166744.53287865338</v>
      </c>
    </row>
    <row r="43" spans="1:13" x14ac:dyDescent="0.25">
      <c r="A43" s="120">
        <f t="shared" si="0"/>
        <v>37</v>
      </c>
      <c r="B43" s="3" t="s">
        <v>310</v>
      </c>
      <c r="C43" s="52" t="s">
        <v>54</v>
      </c>
      <c r="D43" s="60">
        <f>IF($C43="kWh",Summary!$D10,Summary!$E10)</f>
        <v>1261723.862658361</v>
      </c>
      <c r="E43" s="3">
        <f t="shared" si="10"/>
        <v>0</v>
      </c>
      <c r="F43" s="5">
        <f t="shared" si="11"/>
        <v>1261723.862658361</v>
      </c>
      <c r="G43" s="248">
        <f>'COP Rates'!C52</f>
        <v>0.12620000000000001</v>
      </c>
      <c r="H43" s="249">
        <f t="shared" si="12"/>
        <v>159229.55146748517</v>
      </c>
      <c r="I43" s="60">
        <f>IF($C43="kWh",Summary!$G10,Summary!$H10)</f>
        <v>1287117.3058017949</v>
      </c>
      <c r="J43" s="3">
        <f t="shared" si="13"/>
        <v>0</v>
      </c>
      <c r="K43" s="5">
        <f t="shared" si="14"/>
        <v>1287117.3058017949</v>
      </c>
      <c r="L43" s="248">
        <f>'COP Rates'!D52</f>
        <v>0.6512</v>
      </c>
      <c r="M43" s="249">
        <f t="shared" si="15"/>
        <v>838170.78953812877</v>
      </c>
    </row>
    <row r="44" spans="1:13" x14ac:dyDescent="0.25">
      <c r="A44" s="120">
        <f t="shared" si="0"/>
        <v>38</v>
      </c>
      <c r="B44" s="3" t="s">
        <v>5</v>
      </c>
      <c r="C44" s="52" t="s">
        <v>54</v>
      </c>
      <c r="D44" s="60">
        <f>Summary!E11</f>
        <v>130215</v>
      </c>
      <c r="E44" s="3">
        <f>IF(C44="kWh",E12,0)</f>
        <v>0</v>
      </c>
      <c r="F44" s="5">
        <f t="shared" si="11"/>
        <v>130215</v>
      </c>
      <c r="G44" s="248">
        <f>'COP Rates'!C54</f>
        <v>0.1363</v>
      </c>
      <c r="H44" s="249">
        <f t="shared" si="12"/>
        <v>17748.304500000002</v>
      </c>
      <c r="I44" s="60">
        <f>Summary!H11</f>
        <v>94834</v>
      </c>
      <c r="J44" s="3">
        <f>IF(C44="kWh",J12,0)</f>
        <v>0</v>
      </c>
      <c r="K44" s="5">
        <f t="shared" si="14"/>
        <v>94834</v>
      </c>
      <c r="L44" s="248">
        <f>'COP Rates'!D54</f>
        <v>0.71589999999999998</v>
      </c>
      <c r="M44" s="249">
        <f t="shared" si="15"/>
        <v>67891.660600000003</v>
      </c>
    </row>
    <row r="45" spans="1:13" x14ac:dyDescent="0.25">
      <c r="A45" s="120">
        <f t="shared" si="0"/>
        <v>39</v>
      </c>
      <c r="B45" s="3" t="s">
        <v>313</v>
      </c>
      <c r="C45" s="52" t="s">
        <v>24</v>
      </c>
      <c r="D45" s="60">
        <f>IF($C45="kWh",Summary!$D12,Summary!$E12)</f>
        <v>1268750</v>
      </c>
      <c r="E45" s="3">
        <f>IF(C45="kWh",E13,0)</f>
        <v>1.0427999999999999</v>
      </c>
      <c r="F45" s="5">
        <f t="shared" si="11"/>
        <v>1323052.5</v>
      </c>
      <c r="G45" s="248">
        <f>'COP Rates'!C55</f>
        <v>2.9999999999999997E-4</v>
      </c>
      <c r="H45" s="249">
        <f t="shared" si="12"/>
        <v>396.91574999999995</v>
      </c>
      <c r="I45" s="60">
        <f>IF($C45="kWh",Summary!$G12,Summary!$H12)</f>
        <v>1288075</v>
      </c>
      <c r="J45" s="3">
        <f>IF(C45="kWh",J13,0)</f>
        <v>1.0431999999999999</v>
      </c>
      <c r="K45" s="5">
        <f t="shared" si="14"/>
        <v>1343719.8399999999</v>
      </c>
      <c r="L45" s="248">
        <f>'COP Rates'!D55</f>
        <v>1.6000000000000001E-3</v>
      </c>
      <c r="M45" s="249">
        <f t="shared" si="15"/>
        <v>2149.951744</v>
      </c>
    </row>
    <row r="46" spans="1:13" x14ac:dyDescent="0.25">
      <c r="A46" s="120">
        <f t="shared" si="0"/>
        <v>40</v>
      </c>
      <c r="B46" s="3" t="s">
        <v>8</v>
      </c>
      <c r="C46" s="52" t="s">
        <v>54</v>
      </c>
      <c r="D46" s="60">
        <f>IF($C46="kWh",Summary!$D13,Summary!$E13)</f>
        <v>1127</v>
      </c>
      <c r="E46" s="3">
        <f>IF(C46="kWh",E14,0)</f>
        <v>0</v>
      </c>
      <c r="F46" s="5">
        <f t="shared" si="11"/>
        <v>1127</v>
      </c>
      <c r="G46" s="248">
        <f>'COP Rates'!C56</f>
        <v>9.11E-2</v>
      </c>
      <c r="H46" s="249">
        <f t="shared" si="12"/>
        <v>102.66970000000001</v>
      </c>
      <c r="I46" s="60">
        <f>IF($C46="kWh",Summary!$G13,Summary!$H13)</f>
        <v>1110</v>
      </c>
      <c r="J46" s="3">
        <f>IF(C46="kWh",J14,0)</f>
        <v>0</v>
      </c>
      <c r="K46" s="5">
        <f t="shared" si="14"/>
        <v>1110</v>
      </c>
      <c r="L46" s="248">
        <f>'COP Rates'!D56</f>
        <v>0.4894</v>
      </c>
      <c r="M46" s="249">
        <f t="shared" si="15"/>
        <v>543.23400000000004</v>
      </c>
    </row>
    <row r="47" spans="1:13" x14ac:dyDescent="0.25">
      <c r="A47" s="120">
        <f t="shared" si="0"/>
        <v>41</v>
      </c>
      <c r="B47" s="3" t="s">
        <v>7</v>
      </c>
      <c r="C47" s="52" t="s">
        <v>54</v>
      </c>
      <c r="D47" s="60">
        <f>IF($C47="kWh",Summary!$D14,Summary!$E14)</f>
        <v>20969</v>
      </c>
      <c r="E47" s="3">
        <f>IF(C47="kWh",E15,0)</f>
        <v>0</v>
      </c>
      <c r="F47" s="5">
        <f t="shared" si="11"/>
        <v>20969</v>
      </c>
      <c r="G47" s="248">
        <f>'COP Rates'!C57</f>
        <v>5.2299999999999999E-2</v>
      </c>
      <c r="H47" s="249">
        <f t="shared" si="12"/>
        <v>1096.6786999999999</v>
      </c>
      <c r="I47" s="60">
        <f>IF($C47="kWh",Summary!$G14,Summary!$H14)</f>
        <v>19358</v>
      </c>
      <c r="J47" s="3">
        <f>IF(C47="kWh",J15,0)</f>
        <v>0</v>
      </c>
      <c r="K47" s="5">
        <f t="shared" si="14"/>
        <v>19358</v>
      </c>
      <c r="L47" s="248">
        <f>'COP Rates'!D57</f>
        <v>0.47799999999999998</v>
      </c>
      <c r="M47" s="249">
        <f t="shared" si="15"/>
        <v>9253.1239999999998</v>
      </c>
    </row>
    <row r="48" spans="1:13" x14ac:dyDescent="0.25">
      <c r="A48" s="289">
        <f t="shared" si="0"/>
        <v>42</v>
      </c>
      <c r="B48" s="65" t="s">
        <v>303</v>
      </c>
      <c r="C48" s="66" t="s">
        <v>54</v>
      </c>
      <c r="D48" s="67">
        <f>IF($C48="kWh",Summary!$D15,Summary!$E15)</f>
        <v>11499</v>
      </c>
      <c r="E48" s="65">
        <f>IF(C48="kWh",E16,0)</f>
        <v>0</v>
      </c>
      <c r="F48" s="25">
        <f t="shared" si="11"/>
        <v>11499</v>
      </c>
      <c r="G48" s="250">
        <f>'COP Rates'!C58</f>
        <v>0</v>
      </c>
      <c r="H48" s="290">
        <f t="shared" si="12"/>
        <v>0</v>
      </c>
      <c r="I48" s="67">
        <f>IF($C48="kWh",Summary!$G15,Summary!$H15)</f>
        <v>11231</v>
      </c>
      <c r="J48" s="65">
        <f>IF(C48="kWh",J16,0)</f>
        <v>0</v>
      </c>
      <c r="K48" s="25">
        <f t="shared" si="14"/>
        <v>11231</v>
      </c>
      <c r="L48" s="250">
        <f>'COP Rates'!D58</f>
        <v>0</v>
      </c>
      <c r="M48" s="290">
        <f t="shared" si="15"/>
        <v>0</v>
      </c>
    </row>
    <row r="49" spans="1:13" x14ac:dyDescent="0.25">
      <c r="A49" s="292">
        <f t="shared" si="0"/>
        <v>43</v>
      </c>
      <c r="B49" s="261" t="s">
        <v>18</v>
      </c>
      <c r="C49" s="299"/>
      <c r="D49" s="302"/>
      <c r="E49" s="261"/>
      <c r="F49" s="261"/>
      <c r="G49" s="261"/>
      <c r="H49" s="293">
        <f>SUM(H41:H48)</f>
        <v>299659.01902068662</v>
      </c>
      <c r="I49" s="146"/>
      <c r="J49" s="261"/>
      <c r="K49" s="261"/>
      <c r="L49" s="261"/>
      <c r="M49" s="293">
        <f>SUM(M41:M48)</f>
        <v>1604973.0305600448</v>
      </c>
    </row>
    <row r="50" spans="1:13" x14ac:dyDescent="0.25">
      <c r="A50" s="285">
        <f t="shared" si="0"/>
        <v>44</v>
      </c>
      <c r="B50" s="286" t="s">
        <v>317</v>
      </c>
      <c r="C50" s="298"/>
      <c r="D50" s="301"/>
      <c r="E50" s="287"/>
      <c r="F50" s="287"/>
      <c r="G50" s="287"/>
      <c r="H50" s="288"/>
      <c r="I50" s="304"/>
      <c r="J50" s="287"/>
      <c r="K50" s="287"/>
      <c r="L50" s="287"/>
      <c r="M50" s="288"/>
    </row>
    <row r="51" spans="1:13" x14ac:dyDescent="0.25">
      <c r="A51" s="120">
        <f t="shared" si="0"/>
        <v>45</v>
      </c>
      <c r="B51" s="3" t="s">
        <v>2</v>
      </c>
      <c r="C51" s="52" t="s">
        <v>24</v>
      </c>
      <c r="D51" s="60">
        <f t="shared" ref="D51:E58" si="16">D41</f>
        <v>282657108.65256178</v>
      </c>
      <c r="E51" s="3">
        <f t="shared" si="16"/>
        <v>1.0427999999999999</v>
      </c>
      <c r="F51" s="5">
        <f t="shared" ref="F51:F58" si="17">IF(C51="kwh",D51*E51,D51)</f>
        <v>294754832.9028914</v>
      </c>
      <c r="G51" s="248">
        <f>'COP Rates'!E50</f>
        <v>7.4000000000000003E-3</v>
      </c>
      <c r="H51" s="249">
        <f>F51*G51</f>
        <v>2181185.7634813963</v>
      </c>
      <c r="I51" s="60">
        <f t="shared" ref="I51:J58" si="18">I41</f>
        <v>277042719.94251806</v>
      </c>
      <c r="J51" s="3">
        <f t="shared" si="18"/>
        <v>1.0431999999999999</v>
      </c>
      <c r="K51" s="5">
        <f t="shared" ref="K51:K58" si="19">IF(C51="kwh",I51*J51,I51)</f>
        <v>289010965.44403481</v>
      </c>
      <c r="L51" s="248">
        <f>'COP Rates'!F50</f>
        <v>7.3000000000000001E-3</v>
      </c>
      <c r="M51" s="249">
        <f>K51*L51</f>
        <v>2109780.0477414541</v>
      </c>
    </row>
    <row r="52" spans="1:13" x14ac:dyDescent="0.25">
      <c r="A52" s="120">
        <f t="shared" si="0"/>
        <v>46</v>
      </c>
      <c r="B52" s="3" t="s">
        <v>309</v>
      </c>
      <c r="C52" s="52" t="s">
        <v>24</v>
      </c>
      <c r="D52" s="60">
        <f t="shared" si="16"/>
        <v>104393456.82244611</v>
      </c>
      <c r="E52" s="3">
        <f t="shared" si="16"/>
        <v>1.0427999999999999</v>
      </c>
      <c r="F52" s="5">
        <f t="shared" si="17"/>
        <v>108861496.7744468</v>
      </c>
      <c r="G52" s="248">
        <f>'COP Rates'!E51</f>
        <v>6.4999999999999997E-3</v>
      </c>
      <c r="H52" s="249">
        <f t="shared" ref="H52:H58" si="20">F52*G52</f>
        <v>707599.72903390415</v>
      </c>
      <c r="I52" s="60">
        <f t="shared" si="18"/>
        <v>99899667.416754559</v>
      </c>
      <c r="J52" s="3">
        <f t="shared" si="18"/>
        <v>1.0431999999999999</v>
      </c>
      <c r="K52" s="5">
        <f t="shared" si="19"/>
        <v>104215333.04915835</v>
      </c>
      <c r="L52" s="248">
        <f>'COP Rates'!F51</f>
        <v>6.4000000000000003E-3</v>
      </c>
      <c r="M52" s="249">
        <f t="shared" ref="M52:M58" si="21">K52*L52</f>
        <v>666978.13151461352</v>
      </c>
    </row>
    <row r="53" spans="1:13" x14ac:dyDescent="0.25">
      <c r="A53" s="120">
        <f t="shared" si="0"/>
        <v>47</v>
      </c>
      <c r="B53" s="3" t="s">
        <v>310</v>
      </c>
      <c r="C53" s="52" t="s">
        <v>54</v>
      </c>
      <c r="D53" s="60">
        <f t="shared" si="16"/>
        <v>1261723.862658361</v>
      </c>
      <c r="E53" s="3">
        <f t="shared" si="16"/>
        <v>0</v>
      </c>
      <c r="F53" s="5">
        <f t="shared" si="17"/>
        <v>1261723.862658361</v>
      </c>
      <c r="G53" s="248">
        <f>'COP Rates'!E52</f>
        <v>2.8271999999999999</v>
      </c>
      <c r="H53" s="249">
        <f t="shared" si="20"/>
        <v>3567145.7045077179</v>
      </c>
      <c r="I53" s="60">
        <f t="shared" si="18"/>
        <v>1287117.3058017949</v>
      </c>
      <c r="J53" s="3">
        <f t="shared" si="18"/>
        <v>0</v>
      </c>
      <c r="K53" s="5">
        <f t="shared" si="19"/>
        <v>1287117.3058017949</v>
      </c>
      <c r="L53" s="248">
        <f>'COP Rates'!F52</f>
        <v>2.7772999999999999</v>
      </c>
      <c r="M53" s="249">
        <f t="shared" si="21"/>
        <v>3574710.8934033248</v>
      </c>
    </row>
    <row r="54" spans="1:13" x14ac:dyDescent="0.25">
      <c r="A54" s="120">
        <f t="shared" si="0"/>
        <v>48</v>
      </c>
      <c r="B54" s="3" t="s">
        <v>5</v>
      </c>
      <c r="C54" s="52" t="s">
        <v>54</v>
      </c>
      <c r="D54" s="60">
        <f t="shared" si="16"/>
        <v>130215</v>
      </c>
      <c r="E54" s="3">
        <f t="shared" si="16"/>
        <v>0</v>
      </c>
      <c r="F54" s="5">
        <f t="shared" si="17"/>
        <v>130215</v>
      </c>
      <c r="G54" s="248">
        <f>'COP Rates'!E54</f>
        <v>2.9998</v>
      </c>
      <c r="H54" s="249">
        <f t="shared" si="20"/>
        <v>390618.95699999999</v>
      </c>
      <c r="I54" s="60">
        <f t="shared" si="18"/>
        <v>94834</v>
      </c>
      <c r="J54" s="3">
        <f t="shared" si="18"/>
        <v>0</v>
      </c>
      <c r="K54" s="5">
        <f t="shared" si="19"/>
        <v>94834</v>
      </c>
      <c r="L54" s="248">
        <f>'COP Rates'!F54</f>
        <v>2.9468999999999999</v>
      </c>
      <c r="M54" s="249">
        <f t="shared" si="21"/>
        <v>279466.31459999998</v>
      </c>
    </row>
    <row r="55" spans="1:13" x14ac:dyDescent="0.25">
      <c r="A55" s="120">
        <f t="shared" si="0"/>
        <v>49</v>
      </c>
      <c r="B55" s="3" t="s">
        <v>313</v>
      </c>
      <c r="C55" s="52" t="s">
        <v>24</v>
      </c>
      <c r="D55" s="60">
        <f t="shared" si="16"/>
        <v>1268750</v>
      </c>
      <c r="E55" s="3">
        <f t="shared" si="16"/>
        <v>1.0427999999999999</v>
      </c>
      <c r="F55" s="5">
        <f t="shared" si="17"/>
        <v>1323052.5</v>
      </c>
      <c r="G55" s="248">
        <f>'COP Rates'!E55</f>
        <v>6.4999999999999997E-3</v>
      </c>
      <c r="H55" s="249">
        <f t="shared" si="20"/>
        <v>8599.8412499999995</v>
      </c>
      <c r="I55" s="60">
        <f t="shared" si="18"/>
        <v>1288075</v>
      </c>
      <c r="J55" s="3">
        <f t="shared" si="18"/>
        <v>1.0431999999999999</v>
      </c>
      <c r="K55" s="5">
        <f t="shared" si="19"/>
        <v>1343719.8399999999</v>
      </c>
      <c r="L55" s="248">
        <f>'COP Rates'!F55</f>
        <v>6.4000000000000003E-3</v>
      </c>
      <c r="M55" s="249">
        <f t="shared" si="21"/>
        <v>8599.8069759999998</v>
      </c>
    </row>
    <row r="56" spans="1:13" x14ac:dyDescent="0.25">
      <c r="A56" s="120">
        <f t="shared" si="0"/>
        <v>50</v>
      </c>
      <c r="B56" s="3" t="s">
        <v>8</v>
      </c>
      <c r="C56" s="52" t="s">
        <v>54</v>
      </c>
      <c r="D56" s="60">
        <f t="shared" si="16"/>
        <v>1127</v>
      </c>
      <c r="E56" s="3">
        <f t="shared" si="16"/>
        <v>0</v>
      </c>
      <c r="F56" s="5">
        <f t="shared" si="17"/>
        <v>1127</v>
      </c>
      <c r="G56" s="248">
        <f>'COP Rates'!E56</f>
        <v>2.0769000000000002</v>
      </c>
      <c r="H56" s="249">
        <f t="shared" si="20"/>
        <v>2340.6663000000003</v>
      </c>
      <c r="I56" s="60">
        <f t="shared" si="18"/>
        <v>1110</v>
      </c>
      <c r="J56" s="3">
        <f t="shared" si="18"/>
        <v>0</v>
      </c>
      <c r="K56" s="5">
        <f t="shared" si="19"/>
        <v>1110</v>
      </c>
      <c r="L56" s="248">
        <f>'COP Rates'!F56</f>
        <v>2.0402999999999998</v>
      </c>
      <c r="M56" s="249">
        <f t="shared" si="21"/>
        <v>2264.7329999999997</v>
      </c>
    </row>
    <row r="57" spans="1:13" x14ac:dyDescent="0.25">
      <c r="A57" s="120">
        <f t="shared" si="0"/>
        <v>51</v>
      </c>
      <c r="B57" s="3" t="s">
        <v>7</v>
      </c>
      <c r="C57" s="52" t="s">
        <v>54</v>
      </c>
      <c r="D57" s="60">
        <f t="shared" si="16"/>
        <v>20969</v>
      </c>
      <c r="E57" s="3">
        <f t="shared" si="16"/>
        <v>0</v>
      </c>
      <c r="F57" s="5">
        <f t="shared" si="17"/>
        <v>20969</v>
      </c>
      <c r="G57" s="248">
        <f>'COP Rates'!E57</f>
        <v>2.0554999999999999</v>
      </c>
      <c r="H57" s="249">
        <f t="shared" si="20"/>
        <v>43101.779499999997</v>
      </c>
      <c r="I57" s="60">
        <f t="shared" si="18"/>
        <v>19358</v>
      </c>
      <c r="J57" s="3">
        <f t="shared" si="18"/>
        <v>0</v>
      </c>
      <c r="K57" s="5">
        <f t="shared" si="19"/>
        <v>19358</v>
      </c>
      <c r="L57" s="248">
        <f>'COP Rates'!F57</f>
        <v>2.0192000000000001</v>
      </c>
      <c r="M57" s="249">
        <f t="shared" si="21"/>
        <v>39087.673600000002</v>
      </c>
    </row>
    <row r="58" spans="1:13" x14ac:dyDescent="0.25">
      <c r="A58" s="289">
        <f t="shared" si="0"/>
        <v>52</v>
      </c>
      <c r="B58" s="65" t="s">
        <v>303</v>
      </c>
      <c r="C58" s="66" t="s">
        <v>54</v>
      </c>
      <c r="D58" s="67">
        <f t="shared" si="16"/>
        <v>11499</v>
      </c>
      <c r="E58" s="65">
        <f t="shared" si="16"/>
        <v>0</v>
      </c>
      <c r="F58" s="25">
        <f t="shared" si="17"/>
        <v>11499</v>
      </c>
      <c r="G58" s="250">
        <f>'COP Rates'!E58</f>
        <v>0</v>
      </c>
      <c r="H58" s="290">
        <f t="shared" si="20"/>
        <v>0</v>
      </c>
      <c r="I58" s="67">
        <f t="shared" si="18"/>
        <v>11231</v>
      </c>
      <c r="J58" s="65">
        <f t="shared" si="18"/>
        <v>0</v>
      </c>
      <c r="K58" s="25">
        <f t="shared" si="19"/>
        <v>11231</v>
      </c>
      <c r="L58" s="250">
        <f>'COP Rates'!F58</f>
        <v>0</v>
      </c>
      <c r="M58" s="290">
        <f t="shared" si="21"/>
        <v>0</v>
      </c>
    </row>
    <row r="59" spans="1:13" x14ac:dyDescent="0.25">
      <c r="A59" s="292">
        <f t="shared" si="0"/>
        <v>53</v>
      </c>
      <c r="B59" s="261" t="s">
        <v>18</v>
      </c>
      <c r="C59" s="299"/>
      <c r="D59" s="302"/>
      <c r="E59" s="261"/>
      <c r="F59" s="261"/>
      <c r="G59" s="261"/>
      <c r="H59" s="293">
        <f>SUM(H51:H58)</f>
        <v>6900592.4410730181</v>
      </c>
      <c r="I59" s="146"/>
      <c r="J59" s="261"/>
      <c r="K59" s="261"/>
      <c r="L59" s="261"/>
      <c r="M59" s="293">
        <f>SUM(M51:M58)</f>
        <v>6680887.6008353923</v>
      </c>
    </row>
    <row r="60" spans="1:13" x14ac:dyDescent="0.25">
      <c r="A60" s="285">
        <f t="shared" si="0"/>
        <v>54</v>
      </c>
      <c r="B60" s="286" t="s">
        <v>318</v>
      </c>
      <c r="C60" s="298"/>
      <c r="D60" s="301"/>
      <c r="E60" s="287"/>
      <c r="F60" s="287"/>
      <c r="G60" s="287"/>
      <c r="H60" s="288"/>
      <c r="I60" s="304"/>
      <c r="J60" s="287"/>
      <c r="K60" s="287"/>
      <c r="L60" s="287"/>
      <c r="M60" s="288"/>
    </row>
    <row r="61" spans="1:13" x14ac:dyDescent="0.25">
      <c r="A61" s="120">
        <f t="shared" si="0"/>
        <v>55</v>
      </c>
      <c r="B61" s="3" t="s">
        <v>2</v>
      </c>
      <c r="C61" s="52" t="s">
        <v>24</v>
      </c>
      <c r="D61" s="60">
        <f t="shared" ref="D61:E68" si="22">D51</f>
        <v>282657108.65256178</v>
      </c>
      <c r="E61" s="3">
        <f t="shared" si="22"/>
        <v>1.0427999999999999</v>
      </c>
      <c r="F61" s="5">
        <f>IF(C61="kwh",D61*E61,D61)</f>
        <v>294754832.9028914</v>
      </c>
      <c r="G61" s="248">
        <f>'COP Rates'!G50</f>
        <v>5.3E-3</v>
      </c>
      <c r="H61" s="249">
        <f>F61*G61</f>
        <v>1562200.6143853243</v>
      </c>
      <c r="I61" s="60">
        <f t="shared" ref="I61:J68" si="23">I51</f>
        <v>277042719.94251806</v>
      </c>
      <c r="J61" s="3">
        <f t="shared" si="23"/>
        <v>1.0431999999999999</v>
      </c>
      <c r="K61" s="5">
        <f>IF(C61="kwh",I61*J61,I61)</f>
        <v>289010965.44403481</v>
      </c>
      <c r="L61" s="248">
        <f>'COP Rates'!H50</f>
        <v>5.4000000000000003E-3</v>
      </c>
      <c r="M61" s="249">
        <f>K61*L61</f>
        <v>1560659.2133977881</v>
      </c>
    </row>
    <row r="62" spans="1:13" x14ac:dyDescent="0.25">
      <c r="A62" s="120">
        <f t="shared" si="0"/>
        <v>56</v>
      </c>
      <c r="B62" s="3" t="s">
        <v>309</v>
      </c>
      <c r="C62" s="52" t="s">
        <v>24</v>
      </c>
      <c r="D62" s="60">
        <f t="shared" si="22"/>
        <v>104393456.82244611</v>
      </c>
      <c r="E62" s="3">
        <f t="shared" si="22"/>
        <v>1.0427999999999999</v>
      </c>
      <c r="F62" s="5">
        <f t="shared" ref="F62:F68" si="24">IF(C62="kwh",D62*E62,D62)</f>
        <v>108861496.7744468</v>
      </c>
      <c r="G62" s="248">
        <f>'COP Rates'!G51</f>
        <v>4.7000000000000002E-3</v>
      </c>
      <c r="H62" s="249">
        <f t="shared" ref="H62:H68" si="25">F62*G62</f>
        <v>511649.03483989998</v>
      </c>
      <c r="I62" s="60">
        <f t="shared" si="23"/>
        <v>99899667.416754559</v>
      </c>
      <c r="J62" s="3">
        <f t="shared" si="23"/>
        <v>1.0431999999999999</v>
      </c>
      <c r="K62" s="5">
        <f t="shared" ref="K62:K68" si="26">IF(C62="kwh",I62*J62,I62)</f>
        <v>104215333.04915835</v>
      </c>
      <c r="L62" s="248">
        <f>'COP Rates'!H51</f>
        <v>4.7999999999999996E-3</v>
      </c>
      <c r="M62" s="249">
        <f t="shared" ref="M62:M68" si="27">K62*L62</f>
        <v>500233.59863596002</v>
      </c>
    </row>
    <row r="63" spans="1:13" x14ac:dyDescent="0.25">
      <c r="A63" s="120">
        <f t="shared" si="0"/>
        <v>57</v>
      </c>
      <c r="B63" s="3" t="s">
        <v>310</v>
      </c>
      <c r="C63" s="52" t="s">
        <v>54</v>
      </c>
      <c r="D63" s="60">
        <f t="shared" si="22"/>
        <v>1261723.862658361</v>
      </c>
      <c r="E63" s="3">
        <f t="shared" si="22"/>
        <v>0</v>
      </c>
      <c r="F63" s="5">
        <f t="shared" si="24"/>
        <v>1261723.862658361</v>
      </c>
      <c r="G63" s="248">
        <f>'COP Rates'!G52</f>
        <v>1.9723999999999999</v>
      </c>
      <c r="H63" s="249">
        <f t="shared" si="25"/>
        <v>2488624.1467073513</v>
      </c>
      <c r="I63" s="60">
        <f t="shared" si="23"/>
        <v>1287117.3058017949</v>
      </c>
      <c r="J63" s="3">
        <f t="shared" si="23"/>
        <v>0</v>
      </c>
      <c r="K63" s="5">
        <f t="shared" si="26"/>
        <v>1287117.3058017949</v>
      </c>
      <c r="L63" s="248">
        <f>'COP Rates'!H52</f>
        <v>2.0087000000000002</v>
      </c>
      <c r="M63" s="249">
        <f t="shared" si="27"/>
        <v>2585432.5321640656</v>
      </c>
    </row>
    <row r="64" spans="1:13" x14ac:dyDescent="0.25">
      <c r="A64" s="120">
        <f t="shared" si="0"/>
        <v>58</v>
      </c>
      <c r="B64" s="3" t="s">
        <v>5</v>
      </c>
      <c r="C64" s="52" t="s">
        <v>54</v>
      </c>
      <c r="D64" s="60">
        <f t="shared" si="22"/>
        <v>130215</v>
      </c>
      <c r="E64" s="3">
        <f t="shared" si="22"/>
        <v>0</v>
      </c>
      <c r="F64" s="5">
        <f t="shared" si="24"/>
        <v>130215</v>
      </c>
      <c r="G64" s="248">
        <f>'COP Rates'!G54</f>
        <v>2.1684000000000001</v>
      </c>
      <c r="H64" s="249">
        <f t="shared" si="25"/>
        <v>282358.20600000001</v>
      </c>
      <c r="I64" s="60">
        <f t="shared" si="23"/>
        <v>94834</v>
      </c>
      <c r="J64" s="3">
        <f t="shared" si="23"/>
        <v>0</v>
      </c>
      <c r="K64" s="5">
        <f t="shared" si="26"/>
        <v>94834</v>
      </c>
      <c r="L64" s="248">
        <f>'COP Rates'!H54</f>
        <v>2.2082999999999999</v>
      </c>
      <c r="M64" s="249">
        <f t="shared" si="27"/>
        <v>209421.9222</v>
      </c>
    </row>
    <row r="65" spans="1:13" x14ac:dyDescent="0.25">
      <c r="A65" s="120">
        <f t="shared" si="0"/>
        <v>59</v>
      </c>
      <c r="B65" s="3" t="s">
        <v>313</v>
      </c>
      <c r="C65" s="52" t="s">
        <v>24</v>
      </c>
      <c r="D65" s="60">
        <f t="shared" si="22"/>
        <v>1268750</v>
      </c>
      <c r="E65" s="3">
        <f t="shared" si="22"/>
        <v>1.0427999999999999</v>
      </c>
      <c r="F65" s="5">
        <f t="shared" si="24"/>
        <v>1323052.5</v>
      </c>
      <c r="G65" s="248">
        <f>'COP Rates'!G55</f>
        <v>4.7000000000000002E-3</v>
      </c>
      <c r="H65" s="249">
        <f t="shared" si="25"/>
        <v>6218.3467500000006</v>
      </c>
      <c r="I65" s="60">
        <f t="shared" si="23"/>
        <v>1288075</v>
      </c>
      <c r="J65" s="3">
        <f t="shared" si="23"/>
        <v>1.0431999999999999</v>
      </c>
      <c r="K65" s="5">
        <f t="shared" si="26"/>
        <v>1343719.8399999999</v>
      </c>
      <c r="L65" s="248">
        <f>'COP Rates'!H55</f>
        <v>4.7999999999999996E-3</v>
      </c>
      <c r="M65" s="249">
        <f t="shared" si="27"/>
        <v>6449.855231999999</v>
      </c>
    </row>
    <row r="66" spans="1:13" x14ac:dyDescent="0.25">
      <c r="A66" s="120">
        <f t="shared" si="0"/>
        <v>60</v>
      </c>
      <c r="B66" s="3" t="s">
        <v>8</v>
      </c>
      <c r="C66" s="52" t="s">
        <v>54</v>
      </c>
      <c r="D66" s="60">
        <f t="shared" si="22"/>
        <v>1127</v>
      </c>
      <c r="E66" s="3">
        <f t="shared" si="22"/>
        <v>0</v>
      </c>
      <c r="F66" s="5">
        <f t="shared" si="24"/>
        <v>1127</v>
      </c>
      <c r="G66" s="248">
        <f>'COP Rates'!G56</f>
        <v>1.4823</v>
      </c>
      <c r="H66" s="249">
        <f t="shared" si="25"/>
        <v>1670.5520999999999</v>
      </c>
      <c r="I66" s="60">
        <f t="shared" si="23"/>
        <v>1110</v>
      </c>
      <c r="J66" s="3">
        <f t="shared" si="23"/>
        <v>0</v>
      </c>
      <c r="K66" s="5">
        <f t="shared" si="26"/>
        <v>1110</v>
      </c>
      <c r="L66" s="248">
        <f>'COP Rates'!H56</f>
        <v>1.5096000000000001</v>
      </c>
      <c r="M66" s="249">
        <f t="shared" si="27"/>
        <v>1675.6559999999999</v>
      </c>
    </row>
    <row r="67" spans="1:13" x14ac:dyDescent="0.25">
      <c r="A67" s="120">
        <f t="shared" si="0"/>
        <v>61</v>
      </c>
      <c r="B67" s="3" t="s">
        <v>7</v>
      </c>
      <c r="C67" s="52" t="s">
        <v>54</v>
      </c>
      <c r="D67" s="60">
        <f t="shared" si="22"/>
        <v>20969</v>
      </c>
      <c r="E67" s="3">
        <f t="shared" si="22"/>
        <v>0</v>
      </c>
      <c r="F67" s="5">
        <f t="shared" si="24"/>
        <v>20969</v>
      </c>
      <c r="G67" s="248">
        <f>'COP Rates'!G57</f>
        <v>1.4478</v>
      </c>
      <c r="H67" s="249">
        <f t="shared" si="25"/>
        <v>30358.9182</v>
      </c>
      <c r="I67" s="60">
        <f t="shared" si="23"/>
        <v>19358</v>
      </c>
      <c r="J67" s="3">
        <f t="shared" si="23"/>
        <v>0</v>
      </c>
      <c r="K67" s="5">
        <f t="shared" si="26"/>
        <v>19358</v>
      </c>
      <c r="L67" s="248">
        <f>'COP Rates'!H57</f>
        <v>1.4744999999999999</v>
      </c>
      <c r="M67" s="249">
        <f t="shared" si="27"/>
        <v>28543.370999999999</v>
      </c>
    </row>
    <row r="68" spans="1:13" x14ac:dyDescent="0.25">
      <c r="A68" s="289">
        <f t="shared" si="0"/>
        <v>62</v>
      </c>
      <c r="B68" s="65" t="s">
        <v>303</v>
      </c>
      <c r="C68" s="66" t="s">
        <v>54</v>
      </c>
      <c r="D68" s="67">
        <f t="shared" si="22"/>
        <v>11499</v>
      </c>
      <c r="E68" s="65">
        <f t="shared" si="22"/>
        <v>0</v>
      </c>
      <c r="F68" s="25">
        <f t="shared" si="24"/>
        <v>11499</v>
      </c>
      <c r="G68" s="250">
        <f>'COP Rates'!G58</f>
        <v>0</v>
      </c>
      <c r="H68" s="290">
        <f t="shared" si="25"/>
        <v>0</v>
      </c>
      <c r="I68" s="67">
        <f t="shared" si="23"/>
        <v>11231</v>
      </c>
      <c r="J68" s="65">
        <f t="shared" si="23"/>
        <v>0</v>
      </c>
      <c r="K68" s="25">
        <f t="shared" si="26"/>
        <v>11231</v>
      </c>
      <c r="L68" s="250">
        <f>'COP Rates'!H58</f>
        <v>0</v>
      </c>
      <c r="M68" s="290">
        <f t="shared" si="27"/>
        <v>0</v>
      </c>
    </row>
    <row r="69" spans="1:13" x14ac:dyDescent="0.25">
      <c r="A69" s="292">
        <f t="shared" si="0"/>
        <v>63</v>
      </c>
      <c r="B69" s="261" t="s">
        <v>18</v>
      </c>
      <c r="C69" s="299"/>
      <c r="D69" s="302"/>
      <c r="E69" s="261"/>
      <c r="F69" s="261"/>
      <c r="G69" s="261"/>
      <c r="H69" s="293">
        <f>SUM(H61:H68)</f>
        <v>4883079.818982576</v>
      </c>
      <c r="I69" s="146"/>
      <c r="J69" s="261"/>
      <c r="K69" s="261"/>
      <c r="L69" s="261"/>
      <c r="M69" s="293">
        <f>SUM(M61:M68)</f>
        <v>4892416.1486298144</v>
      </c>
    </row>
    <row r="70" spans="1:13" ht="15.75" x14ac:dyDescent="0.25">
      <c r="A70" s="305">
        <f>A69+1</f>
        <v>64</v>
      </c>
      <c r="B70" s="306" t="s">
        <v>319</v>
      </c>
      <c r="C70" s="306"/>
      <c r="D70" s="307"/>
      <c r="E70" s="306"/>
      <c r="F70" s="306"/>
      <c r="G70" s="306"/>
      <c r="H70" s="308">
        <f>H17+H28+H39+H49+H59+H69</f>
        <v>119981593.60187621</v>
      </c>
      <c r="I70" s="306"/>
      <c r="J70" s="306"/>
      <c r="K70" s="306"/>
      <c r="L70" s="306"/>
      <c r="M70" s="309">
        <f>M17+M28+M39+M49+M59+M69</f>
        <v>119615854.7383514</v>
      </c>
    </row>
    <row r="71" spans="1:13" x14ac:dyDescent="0.25">
      <c r="H71" s="252"/>
      <c r="M71" s="252"/>
    </row>
    <row r="72" spans="1:13" x14ac:dyDescent="0.25">
      <c r="H72" s="252"/>
      <c r="M72" s="252"/>
    </row>
    <row r="73" spans="1:13" x14ac:dyDescent="0.25">
      <c r="H73" s="252"/>
      <c r="M73" s="252"/>
    </row>
    <row r="74" spans="1:13" x14ac:dyDescent="0.25">
      <c r="H74" s="252"/>
      <c r="M74" s="252"/>
    </row>
    <row r="75" spans="1:13" x14ac:dyDescent="0.25">
      <c r="H75" s="252"/>
      <c r="M75" s="252"/>
    </row>
    <row r="76" spans="1:13" x14ac:dyDescent="0.25">
      <c r="M76" s="252"/>
    </row>
  </sheetData>
  <mergeCells count="5">
    <mergeCell ref="D5:H5"/>
    <mergeCell ref="I5:M5"/>
    <mergeCell ref="A5:A6"/>
    <mergeCell ref="B5:B6"/>
    <mergeCell ref="C5:C6"/>
  </mergeCells>
  <pageMargins left="0.5" right="0.5" top="0.5" bottom="0.5" header="0.3" footer="0.3"/>
  <pageSetup scale="59" orientation="portrait" verticalDpi="0" r:id="rId1"/>
  <ignoredErrors>
    <ignoredError sqref="G8:G10 E12 E23 G19:G21 L8:L10 J12 J23 L19:L21 G12:G16 L12:L17 L23:L2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K40"/>
  <sheetViews>
    <sheetView workbookViewId="0">
      <pane xSplit="2" ySplit="6" topLeftCell="C7" activePane="bottomRight" state="frozen"/>
      <selection activeCell="Y35" sqref="Y35"/>
      <selection pane="topRight" activeCell="Y35" sqref="Y35"/>
      <selection pane="bottomLeft" activeCell="Y35" sqref="Y35"/>
      <selection pane="bottomRight" activeCell="G27" sqref="G27"/>
    </sheetView>
  </sheetViews>
  <sheetFormatPr defaultRowHeight="15" x14ac:dyDescent="0.25"/>
  <cols>
    <col min="1" max="1" width="6.7109375" style="283" customWidth="1"/>
    <col min="2" max="2" width="32.140625" customWidth="1"/>
    <col min="3" max="11" width="12.7109375" customWidth="1"/>
  </cols>
  <sheetData>
    <row r="1" spans="1:11" ht="18.75" x14ac:dyDescent="0.3">
      <c r="A1" s="398" t="s">
        <v>34</v>
      </c>
    </row>
    <row r="2" spans="1:11" ht="18.75" x14ac:dyDescent="0.3">
      <c r="A2" s="398" t="s">
        <v>396</v>
      </c>
    </row>
    <row r="3" spans="1:11" ht="19.5" thickBot="1" x14ac:dyDescent="0.35">
      <c r="A3" s="466" t="s">
        <v>395</v>
      </c>
      <c r="B3" s="33"/>
      <c r="C3" s="33"/>
      <c r="D3" s="33"/>
      <c r="E3" s="33"/>
      <c r="F3" s="33"/>
      <c r="G3" s="33"/>
      <c r="H3" s="33"/>
      <c r="I3" s="33"/>
      <c r="J3" s="33"/>
      <c r="K3" s="33"/>
    </row>
    <row r="5" spans="1:11" x14ac:dyDescent="0.25">
      <c r="A5" s="528" t="s">
        <v>394</v>
      </c>
      <c r="B5" s="502" t="s">
        <v>35</v>
      </c>
      <c r="C5" s="528" t="s">
        <v>393</v>
      </c>
      <c r="D5" s="530"/>
      <c r="E5" s="530"/>
      <c r="F5" s="530"/>
      <c r="G5" s="531"/>
      <c r="H5" s="532" t="s">
        <v>392</v>
      </c>
      <c r="I5" s="530"/>
      <c r="J5" s="530"/>
      <c r="K5" s="531"/>
    </row>
    <row r="6" spans="1:11" x14ac:dyDescent="0.25">
      <c r="A6" s="529"/>
      <c r="B6" s="503"/>
      <c r="C6" s="350" t="s">
        <v>391</v>
      </c>
      <c r="D6" s="344" t="s">
        <v>383</v>
      </c>
      <c r="E6" s="344" t="s">
        <v>390</v>
      </c>
      <c r="F6" s="344" t="s">
        <v>389</v>
      </c>
      <c r="G6" s="322" t="s">
        <v>18</v>
      </c>
      <c r="H6" s="346" t="s">
        <v>391</v>
      </c>
      <c r="I6" s="344" t="s">
        <v>383</v>
      </c>
      <c r="J6" s="344" t="s">
        <v>390</v>
      </c>
      <c r="K6" s="322" t="s">
        <v>389</v>
      </c>
    </row>
    <row r="7" spans="1:11" x14ac:dyDescent="0.25">
      <c r="A7" s="403">
        <v>1</v>
      </c>
      <c r="B7" s="447" t="s">
        <v>388</v>
      </c>
      <c r="C7" s="448"/>
      <c r="D7" s="23"/>
      <c r="E7" s="23"/>
      <c r="F7" s="23"/>
      <c r="G7" s="24"/>
      <c r="H7" s="449"/>
      <c r="I7" s="23"/>
      <c r="J7" s="23"/>
      <c r="K7" s="24"/>
    </row>
    <row r="8" spans="1:11" x14ac:dyDescent="0.25">
      <c r="A8" s="120">
        <f t="shared" ref="A8:A40" si="0">A7+1</f>
        <v>2</v>
      </c>
      <c r="B8" s="417" t="s">
        <v>2</v>
      </c>
      <c r="C8" s="445">
        <v>28836</v>
      </c>
      <c r="D8" s="397">
        <v>6572</v>
      </c>
      <c r="E8" s="397">
        <v>552</v>
      </c>
      <c r="F8" s="397">
        <v>171</v>
      </c>
      <c r="G8" s="446">
        <f t="shared" ref="G8:G17" si="1">SUM(C8:F8)</f>
        <v>36131</v>
      </c>
      <c r="H8" s="443">
        <f t="shared" ref="H8:H16" si="2">C8/G8</f>
        <v>0.79809581799562701</v>
      </c>
      <c r="I8" s="35">
        <f t="shared" ref="I8:I16" si="3">D8/G8</f>
        <v>0.18189366472004651</v>
      </c>
      <c r="J8" s="35">
        <f t="shared" ref="J8:J16" si="4">E8/G8</f>
        <v>1.5277739337411087E-2</v>
      </c>
      <c r="K8" s="442">
        <f t="shared" ref="K8:K16" si="5">F8/G8</f>
        <v>4.7327779469153912E-3</v>
      </c>
    </row>
    <row r="9" spans="1:11" x14ac:dyDescent="0.25">
      <c r="A9" s="120">
        <f t="shared" si="0"/>
        <v>3</v>
      </c>
      <c r="B9" s="417" t="s">
        <v>309</v>
      </c>
      <c r="C9" s="445">
        <v>3092</v>
      </c>
      <c r="D9" s="397">
        <v>661</v>
      </c>
      <c r="E9" s="397">
        <v>89</v>
      </c>
      <c r="F9" s="397">
        <v>32</v>
      </c>
      <c r="G9" s="446">
        <f t="shared" si="1"/>
        <v>3874</v>
      </c>
      <c r="H9" s="443">
        <f t="shared" si="2"/>
        <v>0.79814145585957663</v>
      </c>
      <c r="I9" s="35">
        <f t="shared" si="3"/>
        <v>0.17062467733608674</v>
      </c>
      <c r="J9" s="35">
        <f t="shared" si="4"/>
        <v>2.2973670624677336E-2</v>
      </c>
      <c r="K9" s="442">
        <f t="shared" si="5"/>
        <v>8.2601961796592675E-3</v>
      </c>
    </row>
    <row r="10" spans="1:11" x14ac:dyDescent="0.25">
      <c r="A10" s="120">
        <f t="shared" si="0"/>
        <v>4</v>
      </c>
      <c r="B10" s="417" t="s">
        <v>310</v>
      </c>
      <c r="C10" s="445">
        <v>386</v>
      </c>
      <c r="D10" s="397">
        <v>96</v>
      </c>
      <c r="E10" s="397">
        <v>0</v>
      </c>
      <c r="F10" s="397">
        <v>4</v>
      </c>
      <c r="G10" s="446">
        <f t="shared" si="1"/>
        <v>486</v>
      </c>
      <c r="H10" s="443">
        <f t="shared" si="2"/>
        <v>0.79423868312757206</v>
      </c>
      <c r="I10" s="35">
        <f t="shared" si="3"/>
        <v>0.19753086419753085</v>
      </c>
      <c r="J10" s="35">
        <f t="shared" si="4"/>
        <v>0</v>
      </c>
      <c r="K10" s="442">
        <f t="shared" si="5"/>
        <v>8.23045267489712E-3</v>
      </c>
    </row>
    <row r="11" spans="1:11" x14ac:dyDescent="0.25">
      <c r="A11" s="120">
        <f t="shared" si="0"/>
        <v>5</v>
      </c>
      <c r="B11" s="417" t="s">
        <v>275</v>
      </c>
      <c r="C11" s="445">
        <v>12</v>
      </c>
      <c r="D11" s="397">
        <v>0</v>
      </c>
      <c r="E11" s="397">
        <v>0</v>
      </c>
      <c r="F11" s="397">
        <v>0</v>
      </c>
      <c r="G11" s="446">
        <f t="shared" si="1"/>
        <v>12</v>
      </c>
      <c r="H11" s="443">
        <f t="shared" si="2"/>
        <v>1</v>
      </c>
      <c r="I11" s="35">
        <f t="shared" si="3"/>
        <v>0</v>
      </c>
      <c r="J11" s="35">
        <f t="shared" si="4"/>
        <v>0</v>
      </c>
      <c r="K11" s="442">
        <f t="shared" si="5"/>
        <v>0</v>
      </c>
    </row>
    <row r="12" spans="1:11" x14ac:dyDescent="0.25">
      <c r="A12" s="120">
        <f t="shared" si="0"/>
        <v>6</v>
      </c>
      <c r="B12" s="417" t="s">
        <v>387</v>
      </c>
      <c r="C12" s="445">
        <v>1</v>
      </c>
      <c r="D12" s="397">
        <v>0</v>
      </c>
      <c r="E12" s="397">
        <v>0</v>
      </c>
      <c r="F12" s="397">
        <v>0</v>
      </c>
      <c r="G12" s="446">
        <f t="shared" si="1"/>
        <v>1</v>
      </c>
      <c r="H12" s="443">
        <f t="shared" si="2"/>
        <v>1</v>
      </c>
      <c r="I12" s="35">
        <f t="shared" si="3"/>
        <v>0</v>
      </c>
      <c r="J12" s="35">
        <f t="shared" si="4"/>
        <v>0</v>
      </c>
      <c r="K12" s="442">
        <f t="shared" si="5"/>
        <v>0</v>
      </c>
    </row>
    <row r="13" spans="1:11" x14ac:dyDescent="0.25">
      <c r="A13" s="120">
        <f t="shared" si="0"/>
        <v>7</v>
      </c>
      <c r="B13" s="417" t="s">
        <v>312</v>
      </c>
      <c r="C13" s="445">
        <v>0</v>
      </c>
      <c r="D13" s="397">
        <v>1</v>
      </c>
      <c r="E13" s="397">
        <v>0</v>
      </c>
      <c r="F13" s="397">
        <v>0</v>
      </c>
      <c r="G13" s="446">
        <f t="shared" si="1"/>
        <v>1</v>
      </c>
      <c r="H13" s="443">
        <f t="shared" si="2"/>
        <v>0</v>
      </c>
      <c r="I13" s="35">
        <f t="shared" si="3"/>
        <v>1</v>
      </c>
      <c r="J13" s="35">
        <f t="shared" si="4"/>
        <v>0</v>
      </c>
      <c r="K13" s="442">
        <f t="shared" si="5"/>
        <v>0</v>
      </c>
    </row>
    <row r="14" spans="1:11" x14ac:dyDescent="0.25">
      <c r="A14" s="120">
        <f t="shared" si="0"/>
        <v>8</v>
      </c>
      <c r="B14" s="417" t="s">
        <v>386</v>
      </c>
      <c r="C14" s="445">
        <v>199</v>
      </c>
      <c r="D14" s="397">
        <v>51</v>
      </c>
      <c r="E14" s="397">
        <v>0</v>
      </c>
      <c r="F14" s="397">
        <v>0</v>
      </c>
      <c r="G14" s="446">
        <f t="shared" si="1"/>
        <v>250</v>
      </c>
      <c r="H14" s="443">
        <f t="shared" si="2"/>
        <v>0.79600000000000004</v>
      </c>
      <c r="I14" s="35">
        <f t="shared" si="3"/>
        <v>0.20399999999999999</v>
      </c>
      <c r="J14" s="35">
        <f t="shared" si="4"/>
        <v>0</v>
      </c>
      <c r="K14" s="442">
        <f t="shared" si="5"/>
        <v>0</v>
      </c>
    </row>
    <row r="15" spans="1:11" x14ac:dyDescent="0.25">
      <c r="A15" s="120">
        <f t="shared" si="0"/>
        <v>9</v>
      </c>
      <c r="B15" s="417" t="s">
        <v>385</v>
      </c>
      <c r="C15" s="445">
        <v>411</v>
      </c>
      <c r="D15" s="397">
        <v>69</v>
      </c>
      <c r="E15" s="397">
        <v>1</v>
      </c>
      <c r="F15" s="397">
        <v>0</v>
      </c>
      <c r="G15" s="446">
        <f t="shared" si="1"/>
        <v>481</v>
      </c>
      <c r="H15" s="443">
        <f t="shared" si="2"/>
        <v>0.85446985446985446</v>
      </c>
      <c r="I15" s="35">
        <f t="shared" si="3"/>
        <v>0.14345114345114346</v>
      </c>
      <c r="J15" s="35">
        <f t="shared" si="4"/>
        <v>2.0790020790020791E-3</v>
      </c>
      <c r="K15" s="442">
        <f t="shared" si="5"/>
        <v>0</v>
      </c>
    </row>
    <row r="16" spans="1:11" x14ac:dyDescent="0.25">
      <c r="A16" s="120">
        <f t="shared" si="0"/>
        <v>10</v>
      </c>
      <c r="B16" s="417" t="s">
        <v>384</v>
      </c>
      <c r="C16" s="445">
        <v>10623</v>
      </c>
      <c r="D16" s="397">
        <v>2361</v>
      </c>
      <c r="E16" s="397">
        <v>208</v>
      </c>
      <c r="F16" s="397">
        <v>74</v>
      </c>
      <c r="G16" s="446">
        <f t="shared" si="1"/>
        <v>13266</v>
      </c>
      <c r="H16" s="443">
        <f t="shared" si="2"/>
        <v>0.80076888285843506</v>
      </c>
      <c r="I16" s="35">
        <f t="shared" si="3"/>
        <v>0.17797376752600633</v>
      </c>
      <c r="J16" s="35">
        <f t="shared" si="4"/>
        <v>1.5679179858284337E-2</v>
      </c>
      <c r="K16" s="442">
        <f t="shared" si="5"/>
        <v>5.5781697572742346E-3</v>
      </c>
    </row>
    <row r="17" spans="1:11" x14ac:dyDescent="0.25">
      <c r="A17" s="120">
        <f t="shared" si="0"/>
        <v>11</v>
      </c>
      <c r="B17" s="417" t="s">
        <v>9</v>
      </c>
      <c r="C17" s="445"/>
      <c r="D17" s="397"/>
      <c r="E17" s="397"/>
      <c r="F17" s="397"/>
      <c r="G17" s="446">
        <f t="shared" si="1"/>
        <v>0</v>
      </c>
      <c r="H17" s="443"/>
      <c r="I17" s="35"/>
      <c r="J17" s="35"/>
      <c r="K17" s="442"/>
    </row>
    <row r="18" spans="1:11" x14ac:dyDescent="0.25">
      <c r="A18" s="450">
        <f t="shared" si="0"/>
        <v>12</v>
      </c>
      <c r="B18" s="451" t="s">
        <v>56</v>
      </c>
      <c r="C18" s="452">
        <f>SUM(C8:C16)</f>
        <v>43560</v>
      </c>
      <c r="D18" s="453">
        <f>SUM(D8:D16)</f>
        <v>9811</v>
      </c>
      <c r="E18" s="453">
        <f>SUM(E8:E16)</f>
        <v>850</v>
      </c>
      <c r="F18" s="453">
        <f>SUM(F8:F16)</f>
        <v>281</v>
      </c>
      <c r="G18" s="454">
        <f>SUM(G8:G16)</f>
        <v>54502</v>
      </c>
      <c r="H18" s="455"/>
      <c r="I18" s="456"/>
      <c r="J18" s="456"/>
      <c r="K18" s="457"/>
    </row>
    <row r="19" spans="1:11" x14ac:dyDescent="0.25">
      <c r="A19" s="404">
        <f t="shared" si="0"/>
        <v>13</v>
      </c>
      <c r="B19" s="416" t="s">
        <v>24</v>
      </c>
      <c r="C19" s="428"/>
      <c r="D19" s="335"/>
      <c r="E19" s="335"/>
      <c r="F19" s="335"/>
      <c r="G19" s="353"/>
      <c r="H19" s="424"/>
      <c r="I19" s="335"/>
      <c r="J19" s="335"/>
      <c r="K19" s="353"/>
    </row>
    <row r="20" spans="1:11" x14ac:dyDescent="0.25">
      <c r="A20" s="120">
        <f t="shared" si="0"/>
        <v>14</v>
      </c>
      <c r="B20" s="52" t="s">
        <v>2</v>
      </c>
      <c r="C20" s="60">
        <v>225602338.60690317</v>
      </c>
      <c r="D20" s="5">
        <v>57965625.719457015</v>
      </c>
      <c r="E20" s="5">
        <v>4528709</v>
      </c>
      <c r="F20" s="5">
        <v>1358770</v>
      </c>
      <c r="G20" s="18">
        <f t="shared" ref="G20:G29" si="6">SUM(C20:F20)</f>
        <v>289455443.32636017</v>
      </c>
      <c r="H20" s="443">
        <f t="shared" ref="H20:H28" si="7">C20/G20</f>
        <v>0.77940264661921455</v>
      </c>
      <c r="I20" s="35">
        <f t="shared" ref="I20:I28" si="8">D20/G20</f>
        <v>0.20025750786832136</v>
      </c>
      <c r="J20" s="35">
        <f t="shared" ref="J20:J28" si="9">E20/G20</f>
        <v>1.5645616983246343E-2</v>
      </c>
      <c r="K20" s="442">
        <f t="shared" ref="K20:K28" si="10">F20/G20</f>
        <v>4.6942285292178483E-3</v>
      </c>
    </row>
    <row r="21" spans="1:11" x14ac:dyDescent="0.25">
      <c r="A21" s="120">
        <f t="shared" si="0"/>
        <v>15</v>
      </c>
      <c r="B21" s="52" t="s">
        <v>309</v>
      </c>
      <c r="C21" s="60">
        <v>88516284.126289561</v>
      </c>
      <c r="D21" s="5">
        <v>17337883.176470589</v>
      </c>
      <c r="E21" s="5">
        <v>3437363</v>
      </c>
      <c r="F21" s="5">
        <v>534747</v>
      </c>
      <c r="G21" s="18">
        <f t="shared" si="6"/>
        <v>109826277.30276015</v>
      </c>
      <c r="H21" s="443">
        <f t="shared" si="7"/>
        <v>0.80596635249936643</v>
      </c>
      <c r="I21" s="35">
        <f t="shared" si="8"/>
        <v>0.15786643781683432</v>
      </c>
      <c r="J21" s="35">
        <f t="shared" si="9"/>
        <v>3.1298183680797606E-2</v>
      </c>
      <c r="K21" s="442">
        <f t="shared" si="10"/>
        <v>4.8690260030015671E-3</v>
      </c>
    </row>
    <row r="22" spans="1:11" x14ac:dyDescent="0.25">
      <c r="A22" s="120">
        <f t="shared" si="0"/>
        <v>16</v>
      </c>
      <c r="B22" s="52" t="s">
        <v>310</v>
      </c>
      <c r="C22" s="60">
        <v>245152652.91698945</v>
      </c>
      <c r="D22" s="5">
        <v>106710585.06033182</v>
      </c>
      <c r="E22" s="5">
        <v>0</v>
      </c>
      <c r="F22" s="5">
        <v>1478160</v>
      </c>
      <c r="G22" s="18">
        <f t="shared" si="6"/>
        <v>353341397.97732127</v>
      </c>
      <c r="H22" s="443">
        <f t="shared" si="7"/>
        <v>0.69381242707576607</v>
      </c>
      <c r="I22" s="35">
        <f t="shared" si="8"/>
        <v>0.30200419670944101</v>
      </c>
      <c r="J22" s="35">
        <f t="shared" si="9"/>
        <v>0</v>
      </c>
      <c r="K22" s="442">
        <f t="shared" si="10"/>
        <v>4.1833762147929056E-3</v>
      </c>
    </row>
    <row r="23" spans="1:11" x14ac:dyDescent="0.25">
      <c r="A23" s="120">
        <f t="shared" si="0"/>
        <v>17</v>
      </c>
      <c r="B23" s="52" t="s">
        <v>275</v>
      </c>
      <c r="C23" s="60">
        <v>113731870.00479385</v>
      </c>
      <c r="D23" s="5">
        <v>0</v>
      </c>
      <c r="E23" s="5">
        <v>0</v>
      </c>
      <c r="F23" s="5">
        <v>0</v>
      </c>
      <c r="G23" s="18">
        <f t="shared" si="6"/>
        <v>113731870.00479385</v>
      </c>
      <c r="H23" s="443">
        <f t="shared" si="7"/>
        <v>1</v>
      </c>
      <c r="I23" s="35">
        <f t="shared" si="8"/>
        <v>0</v>
      </c>
      <c r="J23" s="35">
        <f t="shared" si="9"/>
        <v>0</v>
      </c>
      <c r="K23" s="442">
        <f t="shared" si="10"/>
        <v>0</v>
      </c>
    </row>
    <row r="24" spans="1:11" x14ac:dyDescent="0.25">
      <c r="A24" s="120">
        <f t="shared" si="0"/>
        <v>18</v>
      </c>
      <c r="B24" s="52" t="s">
        <v>387</v>
      </c>
      <c r="C24" s="60">
        <v>33167215.004141606</v>
      </c>
      <c r="D24" s="5">
        <v>0</v>
      </c>
      <c r="E24" s="5">
        <v>0</v>
      </c>
      <c r="F24" s="5">
        <v>0</v>
      </c>
      <c r="G24" s="18">
        <f t="shared" si="6"/>
        <v>33167215.004141606</v>
      </c>
      <c r="H24" s="443">
        <f t="shared" si="7"/>
        <v>1</v>
      </c>
      <c r="I24" s="35">
        <f t="shared" si="8"/>
        <v>0</v>
      </c>
      <c r="J24" s="35">
        <f t="shared" si="9"/>
        <v>0</v>
      </c>
      <c r="K24" s="442">
        <f t="shared" si="10"/>
        <v>0</v>
      </c>
    </row>
    <row r="25" spans="1:11" x14ac:dyDescent="0.25">
      <c r="A25" s="120">
        <f t="shared" si="0"/>
        <v>19</v>
      </c>
      <c r="B25" s="52" t="s">
        <v>312</v>
      </c>
      <c r="C25" s="60">
        <v>0</v>
      </c>
      <c r="D25" s="5">
        <v>31573402.002986562</v>
      </c>
      <c r="E25" s="5">
        <v>0</v>
      </c>
      <c r="F25" s="5">
        <v>0</v>
      </c>
      <c r="G25" s="18">
        <f t="shared" si="6"/>
        <v>31573402.002986562</v>
      </c>
      <c r="H25" s="443">
        <f t="shared" si="7"/>
        <v>0</v>
      </c>
      <c r="I25" s="35">
        <f t="shared" si="8"/>
        <v>1</v>
      </c>
      <c r="J25" s="35">
        <f t="shared" si="9"/>
        <v>0</v>
      </c>
      <c r="K25" s="442">
        <f t="shared" si="10"/>
        <v>0</v>
      </c>
    </row>
    <row r="26" spans="1:11" x14ac:dyDescent="0.25">
      <c r="A26" s="120">
        <f t="shared" si="0"/>
        <v>20</v>
      </c>
      <c r="B26" s="52" t="s">
        <v>386</v>
      </c>
      <c r="C26" s="60">
        <v>923683.96</v>
      </c>
      <c r="D26" s="5">
        <v>325760</v>
      </c>
      <c r="E26" s="5">
        <v>0</v>
      </c>
      <c r="F26" s="5">
        <v>0</v>
      </c>
      <c r="G26" s="18">
        <f t="shared" si="6"/>
        <v>1249443.96</v>
      </c>
      <c r="H26" s="443">
        <f t="shared" si="7"/>
        <v>0.73927602163125428</v>
      </c>
      <c r="I26" s="35">
        <f t="shared" si="8"/>
        <v>0.26072397836874572</v>
      </c>
      <c r="J26" s="35">
        <f t="shared" si="9"/>
        <v>0</v>
      </c>
      <c r="K26" s="442">
        <f t="shared" si="10"/>
        <v>0</v>
      </c>
    </row>
    <row r="27" spans="1:11" x14ac:dyDescent="0.25">
      <c r="A27" s="120">
        <f t="shared" si="0"/>
        <v>21</v>
      </c>
      <c r="B27" s="52" t="s">
        <v>385</v>
      </c>
      <c r="C27" s="60">
        <v>364562.62511984661</v>
      </c>
      <c r="D27" s="5">
        <v>43208.128205128203</v>
      </c>
      <c r="E27" s="5">
        <v>881</v>
      </c>
      <c r="F27" s="5">
        <v>0</v>
      </c>
      <c r="G27" s="18">
        <f t="shared" si="6"/>
        <v>408651.75332497479</v>
      </c>
      <c r="H27" s="443">
        <f t="shared" si="7"/>
        <v>0.89211075727340172</v>
      </c>
      <c r="I27" s="35">
        <f t="shared" si="8"/>
        <v>0.10573337286226574</v>
      </c>
      <c r="J27" s="35">
        <f t="shared" si="9"/>
        <v>2.1558698643326184E-3</v>
      </c>
      <c r="K27" s="442">
        <f t="shared" si="10"/>
        <v>0</v>
      </c>
    </row>
    <row r="28" spans="1:11" x14ac:dyDescent="0.25">
      <c r="A28" s="120">
        <f t="shared" si="0"/>
        <v>22</v>
      </c>
      <c r="B28" s="52" t="s">
        <v>384</v>
      </c>
      <c r="C28" s="60">
        <v>5912082.511025887</v>
      </c>
      <c r="D28" s="5">
        <v>1450049.8190045247</v>
      </c>
      <c r="E28" s="5">
        <v>116024</v>
      </c>
      <c r="F28" s="5">
        <v>55093</v>
      </c>
      <c r="G28" s="18">
        <f t="shared" si="6"/>
        <v>7533249.3300304115</v>
      </c>
      <c r="H28" s="443">
        <f t="shared" si="7"/>
        <v>0.78479846504722284</v>
      </c>
      <c r="I28" s="35">
        <f t="shared" si="8"/>
        <v>0.19248663564394078</v>
      </c>
      <c r="J28" s="35">
        <f t="shared" si="9"/>
        <v>1.5401587670473614E-2</v>
      </c>
      <c r="K28" s="442">
        <f t="shared" si="10"/>
        <v>7.313311638362777E-3</v>
      </c>
    </row>
    <row r="29" spans="1:11" x14ac:dyDescent="0.25">
      <c r="A29" s="458">
        <f t="shared" si="0"/>
        <v>23</v>
      </c>
      <c r="B29" s="459" t="s">
        <v>18</v>
      </c>
      <c r="C29" s="460">
        <f>SUM(C20:C28)</f>
        <v>713370689.75526345</v>
      </c>
      <c r="D29" s="461">
        <f>SUM(D20:D28)</f>
        <v>215406513.90645564</v>
      </c>
      <c r="E29" s="461">
        <f>SUM(E20:E28)</f>
        <v>8082977</v>
      </c>
      <c r="F29" s="461">
        <f>SUM(F20:F28)</f>
        <v>3426770</v>
      </c>
      <c r="G29" s="462">
        <f t="shared" si="6"/>
        <v>940286950.66171908</v>
      </c>
      <c r="H29" s="463"/>
      <c r="I29" s="464"/>
      <c r="J29" s="464"/>
      <c r="K29" s="465"/>
    </row>
    <row r="30" spans="1:11" x14ac:dyDescent="0.25">
      <c r="A30" s="404">
        <f t="shared" si="0"/>
        <v>24</v>
      </c>
      <c r="B30" s="416" t="s">
        <v>54</v>
      </c>
      <c r="C30" s="428"/>
      <c r="D30" s="335"/>
      <c r="E30" s="335"/>
      <c r="F30" s="335"/>
      <c r="G30" s="353"/>
      <c r="H30" s="424"/>
      <c r="I30" s="335"/>
      <c r="J30" s="335"/>
      <c r="K30" s="353"/>
    </row>
    <row r="31" spans="1:11" x14ac:dyDescent="0.25">
      <c r="A31" s="120">
        <f t="shared" si="0"/>
        <v>25</v>
      </c>
      <c r="B31" s="52" t="s">
        <v>2</v>
      </c>
      <c r="C31" s="60">
        <v>0</v>
      </c>
      <c r="D31" s="5">
        <v>0</v>
      </c>
      <c r="E31" s="5">
        <v>0</v>
      </c>
      <c r="F31" s="5">
        <v>0</v>
      </c>
      <c r="G31" s="18">
        <f t="shared" ref="G31:G39" si="11">SUM(C31:F31)</f>
        <v>0</v>
      </c>
      <c r="H31" s="444"/>
      <c r="I31" s="3"/>
      <c r="J31" s="3"/>
      <c r="K31" s="11"/>
    </row>
    <row r="32" spans="1:11" x14ac:dyDescent="0.25">
      <c r="A32" s="120">
        <f t="shared" si="0"/>
        <v>26</v>
      </c>
      <c r="B32" s="52" t="s">
        <v>309</v>
      </c>
      <c r="C32" s="60">
        <v>0</v>
      </c>
      <c r="D32" s="5">
        <v>0</v>
      </c>
      <c r="E32" s="5">
        <v>0</v>
      </c>
      <c r="F32" s="5">
        <v>0</v>
      </c>
      <c r="G32" s="18">
        <f t="shared" si="11"/>
        <v>0</v>
      </c>
      <c r="H32" s="444"/>
      <c r="I32" s="3"/>
      <c r="J32" s="3"/>
      <c r="K32" s="11"/>
    </row>
    <row r="33" spans="1:11" x14ac:dyDescent="0.25">
      <c r="A33" s="120">
        <f t="shared" si="0"/>
        <v>27</v>
      </c>
      <c r="B33" s="52" t="s">
        <v>310</v>
      </c>
      <c r="C33" s="60">
        <v>694185</v>
      </c>
      <c r="D33" s="5">
        <v>240319.3</v>
      </c>
      <c r="E33" s="5">
        <v>0</v>
      </c>
      <c r="F33" s="5">
        <v>3877.7</v>
      </c>
      <c r="G33" s="18">
        <f t="shared" si="11"/>
        <v>938382</v>
      </c>
      <c r="H33" s="443">
        <f>C33/G33</f>
        <v>0.73976802624091254</v>
      </c>
      <c r="I33" s="35">
        <f>D33/G33</f>
        <v>0.25609964811771752</v>
      </c>
      <c r="J33" s="35">
        <f>E33/G33</f>
        <v>0</v>
      </c>
      <c r="K33" s="442">
        <f>F33/G33</f>
        <v>4.1323256413699321E-3</v>
      </c>
    </row>
    <row r="34" spans="1:11" x14ac:dyDescent="0.25">
      <c r="A34" s="120">
        <f t="shared" si="0"/>
        <v>28</v>
      </c>
      <c r="B34" s="52" t="s">
        <v>275</v>
      </c>
      <c r="C34" s="60">
        <v>273287</v>
      </c>
      <c r="D34" s="5">
        <v>0</v>
      </c>
      <c r="E34" s="5">
        <v>0</v>
      </c>
      <c r="F34" s="5">
        <v>0</v>
      </c>
      <c r="G34" s="18">
        <f t="shared" si="11"/>
        <v>273287</v>
      </c>
      <c r="H34" s="443">
        <f>C34/G34</f>
        <v>1</v>
      </c>
      <c r="I34" s="35">
        <f>D34/G34</f>
        <v>0</v>
      </c>
      <c r="J34" s="35">
        <f>E34/G34</f>
        <v>0</v>
      </c>
      <c r="K34" s="442">
        <f>F34/G34</f>
        <v>0</v>
      </c>
    </row>
    <row r="35" spans="1:11" x14ac:dyDescent="0.25">
      <c r="A35" s="120">
        <f t="shared" si="0"/>
        <v>29</v>
      </c>
      <c r="B35" s="52" t="s">
        <v>387</v>
      </c>
      <c r="C35" s="60">
        <v>81852</v>
      </c>
      <c r="D35" s="5">
        <v>0</v>
      </c>
      <c r="E35" s="5">
        <v>0</v>
      </c>
      <c r="F35" s="5">
        <v>0</v>
      </c>
      <c r="G35" s="18">
        <f t="shared" si="11"/>
        <v>81852</v>
      </c>
      <c r="H35" s="444"/>
      <c r="I35" s="3"/>
      <c r="J35" s="3"/>
      <c r="K35" s="11"/>
    </row>
    <row r="36" spans="1:11" x14ac:dyDescent="0.25">
      <c r="A36" s="120">
        <f t="shared" si="0"/>
        <v>30</v>
      </c>
      <c r="B36" s="52" t="s">
        <v>312</v>
      </c>
      <c r="C36" s="60">
        <v>0</v>
      </c>
      <c r="D36" s="5">
        <v>65619</v>
      </c>
      <c r="E36" s="5">
        <v>0</v>
      </c>
      <c r="F36" s="5">
        <v>0</v>
      </c>
      <c r="G36" s="18">
        <f t="shared" si="11"/>
        <v>65619</v>
      </c>
      <c r="H36" s="443">
        <f>C36/G36</f>
        <v>0</v>
      </c>
      <c r="I36" s="35">
        <f>D36/G36</f>
        <v>1</v>
      </c>
      <c r="J36" s="35">
        <f>E36/G36</f>
        <v>0</v>
      </c>
      <c r="K36" s="442">
        <f>F36/G36</f>
        <v>0</v>
      </c>
    </row>
    <row r="37" spans="1:11" x14ac:dyDescent="0.25">
      <c r="A37" s="120">
        <f t="shared" si="0"/>
        <v>31</v>
      </c>
      <c r="B37" s="52" t="s">
        <v>386</v>
      </c>
      <c r="C37" s="60"/>
      <c r="D37" s="5">
        <v>0</v>
      </c>
      <c r="E37" s="5">
        <v>0</v>
      </c>
      <c r="F37" s="5">
        <v>0</v>
      </c>
      <c r="G37" s="18">
        <f t="shared" si="11"/>
        <v>0</v>
      </c>
      <c r="H37" s="444"/>
      <c r="I37" s="3"/>
      <c r="J37" s="3"/>
      <c r="K37" s="11"/>
    </row>
    <row r="38" spans="1:11" x14ac:dyDescent="0.25">
      <c r="A38" s="120">
        <f t="shared" si="0"/>
        <v>32</v>
      </c>
      <c r="B38" s="52" t="s">
        <v>385</v>
      </c>
      <c r="C38" s="60">
        <v>1022.0166666666667</v>
      </c>
      <c r="D38" s="5">
        <v>120.24722222222222</v>
      </c>
      <c r="E38" s="5">
        <v>2</v>
      </c>
      <c r="F38" s="5">
        <v>0</v>
      </c>
      <c r="G38" s="18">
        <f t="shared" si="11"/>
        <v>1144.2638888888889</v>
      </c>
      <c r="H38" s="443">
        <f>C38/G38</f>
        <v>0.89316518382754562</v>
      </c>
      <c r="I38" s="35">
        <f>D38/G38</f>
        <v>0.10508696760411229</v>
      </c>
      <c r="J38" s="35">
        <f>E38/G38</f>
        <v>1.7478485683420928E-3</v>
      </c>
      <c r="K38" s="442">
        <f>F38/G38</f>
        <v>0</v>
      </c>
    </row>
    <row r="39" spans="1:11" x14ac:dyDescent="0.25">
      <c r="A39" s="120">
        <f t="shared" si="0"/>
        <v>33</v>
      </c>
      <c r="B39" s="52" t="s">
        <v>384</v>
      </c>
      <c r="C39" s="60">
        <v>17520.12</v>
      </c>
      <c r="D39" s="5">
        <v>4315.7</v>
      </c>
      <c r="E39" s="5">
        <v>343.4</v>
      </c>
      <c r="F39" s="5">
        <v>163.1</v>
      </c>
      <c r="G39" s="18">
        <f t="shared" si="11"/>
        <v>22342.32</v>
      </c>
      <c r="H39" s="443">
        <f>C39/G39</f>
        <v>0.78416744545776795</v>
      </c>
      <c r="I39" s="35">
        <f>D39/G39</f>
        <v>0.19316257219483024</v>
      </c>
      <c r="J39" s="35">
        <f>E39/G39</f>
        <v>1.5369934724773434E-2</v>
      </c>
      <c r="K39" s="442">
        <f>F39/G39</f>
        <v>7.300047622628268E-3</v>
      </c>
    </row>
    <row r="40" spans="1:11" x14ac:dyDescent="0.25">
      <c r="A40" s="458">
        <f t="shared" si="0"/>
        <v>34</v>
      </c>
      <c r="B40" s="459" t="s">
        <v>18</v>
      </c>
      <c r="C40" s="460"/>
      <c r="D40" s="461"/>
      <c r="E40" s="461"/>
      <c r="F40" s="461"/>
      <c r="G40" s="462"/>
      <c r="H40" s="463"/>
      <c r="I40" s="464"/>
      <c r="J40" s="464"/>
      <c r="K40" s="465"/>
    </row>
  </sheetData>
  <mergeCells count="4">
    <mergeCell ref="A5:A6"/>
    <mergeCell ref="B5:B6"/>
    <mergeCell ref="C5:G5"/>
    <mergeCell ref="H5:K5"/>
  </mergeCells>
  <pageMargins left="0.7" right="0.7" top="0.75" bottom="0.75" header="0.3" footer="0.3"/>
  <pageSetup scale="79" orientation="landscape" verticalDpi="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T75"/>
  <sheetViews>
    <sheetView workbookViewId="0">
      <pane xSplit="2" ySplit="6" topLeftCell="C34" activePane="bottomRight" state="frozen"/>
      <selection pane="topRight" activeCell="C1" sqref="C1"/>
      <selection pane="bottomLeft" activeCell="A7" sqref="A7"/>
      <selection pane="bottomRight" activeCell="H56" sqref="H56"/>
    </sheetView>
  </sheetViews>
  <sheetFormatPr defaultRowHeight="15" x14ac:dyDescent="0.25"/>
  <cols>
    <col min="1" max="1" width="5.5703125" customWidth="1"/>
    <col min="2" max="2" width="36.85546875" bestFit="1" customWidth="1"/>
    <col min="3" max="3" width="7.28515625" customWidth="1"/>
    <col min="4" max="8" width="12.7109375" customWidth="1"/>
    <col min="9" max="12" width="9.28515625" bestFit="1" customWidth="1"/>
    <col min="13" max="18" width="13.7109375" customWidth="1"/>
    <col min="19" max="19" width="14.28515625" style="399" bestFit="1" customWidth="1"/>
    <col min="20" max="20" width="14.5703125" bestFit="1" customWidth="1"/>
  </cols>
  <sheetData>
    <row r="1" spans="1:19" ht="18.75" x14ac:dyDescent="0.3">
      <c r="A1" s="398" t="s">
        <v>34</v>
      </c>
    </row>
    <row r="2" spans="1:19" ht="18.75" x14ac:dyDescent="0.3">
      <c r="A2" s="398" t="s">
        <v>396</v>
      </c>
    </row>
    <row r="3" spans="1:19" ht="19.5" thickBot="1" x14ac:dyDescent="0.35">
      <c r="A3" s="466" t="s">
        <v>395</v>
      </c>
      <c r="B3" s="33"/>
      <c r="C3" s="33"/>
      <c r="D3" s="33"/>
      <c r="E3" s="33"/>
      <c r="F3" s="33"/>
      <c r="G3" s="33"/>
      <c r="H3" s="33"/>
      <c r="I3" s="33"/>
      <c r="J3" s="33"/>
      <c r="K3" s="33"/>
      <c r="L3" s="33"/>
      <c r="M3" s="33"/>
      <c r="N3" s="33"/>
      <c r="O3" s="33"/>
      <c r="P3" s="33"/>
      <c r="Q3" s="33"/>
      <c r="R3" s="33"/>
      <c r="S3" s="483"/>
    </row>
    <row r="4" spans="1:19" x14ac:dyDescent="0.25">
      <c r="A4" s="283"/>
    </row>
    <row r="5" spans="1:19" x14ac:dyDescent="0.25">
      <c r="A5" s="504" t="s">
        <v>394</v>
      </c>
      <c r="B5" s="525" t="s">
        <v>35</v>
      </c>
      <c r="C5" s="537" t="s">
        <v>406</v>
      </c>
      <c r="D5" s="509" t="s">
        <v>397</v>
      </c>
      <c r="E5" s="539"/>
      <c r="F5" s="539"/>
      <c r="G5" s="539"/>
      <c r="H5" s="540"/>
      <c r="I5" s="509" t="s">
        <v>399</v>
      </c>
      <c r="J5" s="539"/>
      <c r="K5" s="539"/>
      <c r="L5" s="540"/>
      <c r="M5" s="539" t="s">
        <v>400</v>
      </c>
      <c r="N5" s="539"/>
      <c r="O5" s="539"/>
      <c r="P5" s="541"/>
      <c r="Q5" s="533" t="s">
        <v>401</v>
      </c>
      <c r="R5" s="535" t="s">
        <v>402</v>
      </c>
      <c r="S5" s="535" t="s">
        <v>407</v>
      </c>
    </row>
    <row r="6" spans="1:19" x14ac:dyDescent="0.25">
      <c r="A6" s="505"/>
      <c r="B6" s="526"/>
      <c r="C6" s="538"/>
      <c r="D6" s="392" t="s">
        <v>391</v>
      </c>
      <c r="E6" s="394" t="s">
        <v>383</v>
      </c>
      <c r="F6" s="394" t="s">
        <v>398</v>
      </c>
      <c r="G6" s="394" t="s">
        <v>389</v>
      </c>
      <c r="H6" s="427" t="s">
        <v>18</v>
      </c>
      <c r="I6" s="392" t="s">
        <v>391</v>
      </c>
      <c r="J6" s="394" t="s">
        <v>383</v>
      </c>
      <c r="K6" s="394" t="s">
        <v>398</v>
      </c>
      <c r="L6" s="427" t="s">
        <v>389</v>
      </c>
      <c r="M6" s="393" t="s">
        <v>391</v>
      </c>
      <c r="N6" s="394" t="s">
        <v>383</v>
      </c>
      <c r="O6" s="394" t="s">
        <v>398</v>
      </c>
      <c r="P6" s="394" t="s">
        <v>389</v>
      </c>
      <c r="Q6" s="534"/>
      <c r="R6" s="536"/>
      <c r="S6" s="536"/>
    </row>
    <row r="7" spans="1:19" s="34" customFormat="1" ht="30" customHeight="1" x14ac:dyDescent="0.25">
      <c r="A7" s="467"/>
      <c r="B7" s="478">
        <v>2015</v>
      </c>
      <c r="C7" s="469"/>
      <c r="D7" s="470"/>
      <c r="E7" s="471"/>
      <c r="F7" s="471"/>
      <c r="G7" s="471"/>
      <c r="H7" s="472"/>
      <c r="I7" s="473"/>
      <c r="J7" s="468"/>
      <c r="K7" s="468"/>
      <c r="L7" s="474"/>
      <c r="M7" s="475"/>
      <c r="N7" s="476"/>
      <c r="O7" s="476"/>
      <c r="P7" s="476"/>
      <c r="Q7" s="476"/>
      <c r="R7" s="477"/>
      <c r="S7" s="477"/>
    </row>
    <row r="8" spans="1:19" x14ac:dyDescent="0.25">
      <c r="A8" s="404">
        <v>1</v>
      </c>
      <c r="B8" s="335" t="s">
        <v>403</v>
      </c>
      <c r="C8" s="416"/>
      <c r="D8" s="428"/>
      <c r="E8" s="335"/>
      <c r="F8" s="335"/>
      <c r="G8" s="335"/>
      <c r="H8" s="353"/>
      <c r="I8" s="428"/>
      <c r="J8" s="335"/>
      <c r="K8" s="335"/>
      <c r="L8" s="353"/>
      <c r="M8" s="424"/>
      <c r="N8" s="335"/>
      <c r="O8" s="335"/>
      <c r="P8" s="335"/>
      <c r="Q8" s="335"/>
      <c r="R8" s="353"/>
      <c r="S8" s="353"/>
    </row>
    <row r="9" spans="1:19" x14ac:dyDescent="0.25">
      <c r="A9" s="120">
        <f t="shared" ref="A9:A32" si="0">A8+1</f>
        <v>2</v>
      </c>
      <c r="B9" s="206" t="s">
        <v>2</v>
      </c>
      <c r="C9" s="417" t="s">
        <v>316</v>
      </c>
      <c r="D9" s="60">
        <f>ROUND(Summary!$C$8*'Allocation of LF'!H8,0)</f>
        <v>28893</v>
      </c>
      <c r="E9" s="5">
        <f>ROUND(Summary!$C$8*'Allocation of LF'!I8,0)</f>
        <v>6585</v>
      </c>
      <c r="F9" s="5">
        <f>ROUND(Summary!$C$8*'Allocation of LF'!J8,0)</f>
        <v>553</v>
      </c>
      <c r="G9" s="5">
        <f>ROUND(Summary!$C$8*'Allocation of LF'!K8,0)</f>
        <v>171</v>
      </c>
      <c r="H9" s="18">
        <f>SUM(D9:G9)</f>
        <v>36202</v>
      </c>
      <c r="I9" s="436">
        <v>18.98</v>
      </c>
      <c r="J9" s="401">
        <v>14.43</v>
      </c>
      <c r="K9" s="401">
        <v>13.44</v>
      </c>
      <c r="L9" s="402">
        <v>12.52</v>
      </c>
      <c r="M9" s="425">
        <f>D9*I9*12</f>
        <v>6580669.6799999997</v>
      </c>
      <c r="N9" s="401">
        <f>E9*J9*12</f>
        <v>1140258.6000000001</v>
      </c>
      <c r="O9" s="401">
        <f>F9*K9*12</f>
        <v>89187.839999999997</v>
      </c>
      <c r="P9" s="401">
        <f>G9*L9*12</f>
        <v>25691.040000000001</v>
      </c>
      <c r="Q9" s="401"/>
      <c r="R9" s="402">
        <f>SUM(M9:Q9)</f>
        <v>7835807.1599999992</v>
      </c>
      <c r="S9" s="402">
        <f>ROUND(SUM(M9:P9)/H9/12,2)</f>
        <v>18.04</v>
      </c>
    </row>
    <row r="10" spans="1:19" x14ac:dyDescent="0.25">
      <c r="A10" s="120">
        <f t="shared" si="0"/>
        <v>3</v>
      </c>
      <c r="B10" s="206" t="s">
        <v>309</v>
      </c>
      <c r="C10" s="417" t="s">
        <v>316</v>
      </c>
      <c r="D10" s="60">
        <f>ROUND(Summary!$C$9*'Allocation of LF'!H9,0)</f>
        <v>3081</v>
      </c>
      <c r="E10" s="5">
        <f>ROUND(Summary!$C$9*'Allocation of LF'!I9,0)</f>
        <v>659</v>
      </c>
      <c r="F10" s="5">
        <f>ROUND(Summary!$C$9*'Allocation of LF'!J9,0)</f>
        <v>89</v>
      </c>
      <c r="G10" s="5">
        <f>ROUND(Summary!$C$9*'Allocation of LF'!K9,0)</f>
        <v>32</v>
      </c>
      <c r="H10" s="18">
        <f t="shared" ref="H10:H18" si="1">SUM(D10:G10)</f>
        <v>3861</v>
      </c>
      <c r="I10" s="436">
        <v>34.840000000000003</v>
      </c>
      <c r="J10" s="401">
        <v>19.059999999999999</v>
      </c>
      <c r="K10" s="401">
        <v>27.45</v>
      </c>
      <c r="L10" s="402">
        <v>22.91</v>
      </c>
      <c r="M10" s="425">
        <f t="shared" ref="M10:M18" si="2">D10*I10*12</f>
        <v>1288104.48</v>
      </c>
      <c r="N10" s="401">
        <f t="shared" ref="N10:N18" si="3">E10*J10*12</f>
        <v>150726.47999999998</v>
      </c>
      <c r="O10" s="401">
        <f t="shared" ref="O10:O18" si="4">F10*K10*12</f>
        <v>29316.6</v>
      </c>
      <c r="P10" s="401">
        <f t="shared" ref="P10:P18" si="5">G10*L10*12</f>
        <v>8797.44</v>
      </c>
      <c r="Q10" s="401"/>
      <c r="R10" s="402">
        <f t="shared" ref="R10:R18" si="6">SUM(M10:Q10)</f>
        <v>1476945</v>
      </c>
      <c r="S10" s="402">
        <f t="shared" ref="S10" si="7">ROUND(SUM(M10:P10)/H10/12,2)</f>
        <v>31.88</v>
      </c>
    </row>
    <row r="11" spans="1:19" x14ac:dyDescent="0.25">
      <c r="A11" s="120">
        <f t="shared" si="0"/>
        <v>4</v>
      </c>
      <c r="B11" s="206" t="s">
        <v>310</v>
      </c>
      <c r="C11" s="417" t="s">
        <v>316</v>
      </c>
      <c r="D11" s="60">
        <f>ROUND(Summary!$C$10*'Allocation of LF'!H10,0)-D12-D18</f>
        <v>380</v>
      </c>
      <c r="E11" s="5">
        <f>ROUND(Summary!$C$10*'Allocation of LF'!I10,0)-E12-E18</f>
        <v>98</v>
      </c>
      <c r="F11" s="5">
        <f>ROUND(Summary!$C$10*'Allocation of LF'!J10,0)-F12-F18</f>
        <v>0</v>
      </c>
      <c r="G11" s="5">
        <f>ROUND(Summary!$C$10*'Allocation of LF'!K10,0)-G12-G18</f>
        <v>4</v>
      </c>
      <c r="H11" s="18">
        <f t="shared" si="1"/>
        <v>482</v>
      </c>
      <c r="I11" s="436">
        <v>122.86</v>
      </c>
      <c r="J11" s="401">
        <v>45.55</v>
      </c>
      <c r="K11" s="401"/>
      <c r="L11" s="402">
        <v>279.02</v>
      </c>
      <c r="M11" s="425">
        <f t="shared" si="2"/>
        <v>560241.60000000009</v>
      </c>
      <c r="N11" s="401">
        <f t="shared" si="3"/>
        <v>53566.799999999996</v>
      </c>
      <c r="O11" s="401">
        <f t="shared" si="4"/>
        <v>0</v>
      </c>
      <c r="P11" s="401">
        <f t="shared" si="5"/>
        <v>13392.96</v>
      </c>
      <c r="Q11" s="401"/>
      <c r="R11" s="402">
        <f t="shared" si="6"/>
        <v>627201.3600000001</v>
      </c>
      <c r="S11" s="402">
        <f>ROUND(SUM(M11:P12)/SUM(H11:H12)/12,2)</f>
        <v>108.23</v>
      </c>
    </row>
    <row r="12" spans="1:19" x14ac:dyDescent="0.25">
      <c r="A12" s="120">
        <f t="shared" si="0"/>
        <v>5</v>
      </c>
      <c r="B12" s="206" t="s">
        <v>275</v>
      </c>
      <c r="C12" s="417" t="s">
        <v>316</v>
      </c>
      <c r="D12" s="60">
        <v>12</v>
      </c>
      <c r="E12" s="5"/>
      <c r="F12" s="5"/>
      <c r="G12" s="5"/>
      <c r="H12" s="18">
        <f t="shared" si="1"/>
        <v>12</v>
      </c>
      <c r="I12" s="436">
        <v>99.74</v>
      </c>
      <c r="J12" s="401"/>
      <c r="K12" s="401"/>
      <c r="L12" s="402"/>
      <c r="M12" s="425">
        <f t="shared" si="2"/>
        <v>14362.559999999998</v>
      </c>
      <c r="N12" s="401">
        <f t="shared" si="3"/>
        <v>0</v>
      </c>
      <c r="O12" s="401">
        <f t="shared" si="4"/>
        <v>0</v>
      </c>
      <c r="P12" s="401">
        <f t="shared" si="5"/>
        <v>0</v>
      </c>
      <c r="Q12" s="401"/>
      <c r="R12" s="402">
        <f t="shared" si="6"/>
        <v>14362.559999999998</v>
      </c>
      <c r="S12" s="402"/>
    </row>
    <row r="13" spans="1:19" x14ac:dyDescent="0.25">
      <c r="A13" s="120">
        <f t="shared" si="0"/>
        <v>6</v>
      </c>
      <c r="B13" s="206" t="s">
        <v>387</v>
      </c>
      <c r="C13" s="417" t="s">
        <v>316</v>
      </c>
      <c r="D13" s="60">
        <v>1</v>
      </c>
      <c r="E13" s="5"/>
      <c r="F13" s="5"/>
      <c r="G13" s="5"/>
      <c r="H13" s="18">
        <f t="shared" si="1"/>
        <v>1</v>
      </c>
      <c r="I13" s="436">
        <v>1385.39</v>
      </c>
      <c r="J13" s="401"/>
      <c r="K13" s="401"/>
      <c r="L13" s="402"/>
      <c r="M13" s="425">
        <f t="shared" si="2"/>
        <v>16624.68</v>
      </c>
      <c r="N13" s="401">
        <f t="shared" si="3"/>
        <v>0</v>
      </c>
      <c r="O13" s="401">
        <f t="shared" si="4"/>
        <v>0</v>
      </c>
      <c r="P13" s="401">
        <f t="shared" si="5"/>
        <v>0</v>
      </c>
      <c r="Q13" s="401"/>
      <c r="R13" s="402">
        <f t="shared" si="6"/>
        <v>16624.68</v>
      </c>
      <c r="S13" s="402">
        <f>ROUND(SUM(M13:P14)/SUM(H13:H14)/12,2)</f>
        <v>2615.41</v>
      </c>
    </row>
    <row r="14" spans="1:19" x14ac:dyDescent="0.25">
      <c r="A14" s="120">
        <f t="shared" si="0"/>
        <v>7</v>
      </c>
      <c r="B14" s="206" t="s">
        <v>312</v>
      </c>
      <c r="C14" s="417" t="s">
        <v>316</v>
      </c>
      <c r="D14" s="60"/>
      <c r="E14" s="5">
        <v>1</v>
      </c>
      <c r="F14" s="5"/>
      <c r="G14" s="5"/>
      <c r="H14" s="18">
        <f t="shared" si="1"/>
        <v>1</v>
      </c>
      <c r="I14" s="436"/>
      <c r="J14" s="401">
        <v>3845.43</v>
      </c>
      <c r="K14" s="401"/>
      <c r="L14" s="402"/>
      <c r="M14" s="425">
        <f t="shared" si="2"/>
        <v>0</v>
      </c>
      <c r="N14" s="401">
        <f t="shared" si="3"/>
        <v>46145.159999999996</v>
      </c>
      <c r="O14" s="401">
        <f t="shared" si="4"/>
        <v>0</v>
      </c>
      <c r="P14" s="401">
        <f t="shared" si="5"/>
        <v>0</v>
      </c>
      <c r="Q14" s="401"/>
      <c r="R14" s="402">
        <f t="shared" si="6"/>
        <v>46145.159999999996</v>
      </c>
      <c r="S14" s="402"/>
    </row>
    <row r="15" spans="1:19" x14ac:dyDescent="0.25">
      <c r="A15" s="120">
        <f t="shared" si="0"/>
        <v>8</v>
      </c>
      <c r="B15" s="206" t="s">
        <v>386</v>
      </c>
      <c r="C15" s="417" t="s">
        <v>405</v>
      </c>
      <c r="D15" s="60">
        <f>ROUND(Summary!$C$12*'Allocation of LF'!H14,0)</f>
        <v>231</v>
      </c>
      <c r="E15" s="5">
        <f>ROUND(Summary!$C$12*'Allocation of LF'!I14,0)</f>
        <v>59</v>
      </c>
      <c r="F15" s="5">
        <f>ROUND(Summary!$C$12*'Allocation of LF'!J14,0)</f>
        <v>0</v>
      </c>
      <c r="G15" s="5">
        <f>ROUND(Summary!$C$12*'Allocation of LF'!K14,0)</f>
        <v>0</v>
      </c>
      <c r="H15" s="18">
        <f t="shared" si="1"/>
        <v>290</v>
      </c>
      <c r="I15" s="436">
        <v>11.06</v>
      </c>
      <c r="J15" s="401">
        <v>9.5399999999999991</v>
      </c>
      <c r="K15" s="401"/>
      <c r="L15" s="402"/>
      <c r="M15" s="425">
        <f t="shared" si="2"/>
        <v>30658.32</v>
      </c>
      <c r="N15" s="401">
        <f t="shared" si="3"/>
        <v>6754.3199999999988</v>
      </c>
      <c r="O15" s="401">
        <f t="shared" si="4"/>
        <v>0</v>
      </c>
      <c r="P15" s="401">
        <f t="shared" si="5"/>
        <v>0</v>
      </c>
      <c r="Q15" s="401"/>
      <c r="R15" s="402">
        <f t="shared" si="6"/>
        <v>37412.639999999999</v>
      </c>
      <c r="S15" s="402">
        <f t="shared" ref="S15:S18" si="8">ROUND(SUM(M15:P15)/H15/12,2)</f>
        <v>10.75</v>
      </c>
    </row>
    <row r="16" spans="1:19" x14ac:dyDescent="0.25">
      <c r="A16" s="120">
        <f t="shared" si="0"/>
        <v>9</v>
      </c>
      <c r="B16" s="206" t="s">
        <v>385</v>
      </c>
      <c r="C16" s="417" t="s">
        <v>405</v>
      </c>
      <c r="D16" s="60">
        <f>ROUND(Summary!$C$13*'Allocation of LF'!H15,0)</f>
        <v>435</v>
      </c>
      <c r="E16" s="5">
        <f>ROUND(Summary!$C$13*'Allocation of LF'!I15,0)</f>
        <v>73</v>
      </c>
      <c r="F16" s="5">
        <f>ROUND(Summary!$C$13*'Allocation of LF'!J15,0)</f>
        <v>1</v>
      </c>
      <c r="G16" s="5">
        <f>ROUND(Summary!$C$13*'Allocation of LF'!K15,0)</f>
        <v>0</v>
      </c>
      <c r="H16" s="18">
        <f t="shared" si="1"/>
        <v>509</v>
      </c>
      <c r="I16" s="436">
        <v>8.7100000000000009</v>
      </c>
      <c r="J16" s="401">
        <v>0.18</v>
      </c>
      <c r="K16" s="401">
        <v>0.98</v>
      </c>
      <c r="L16" s="402"/>
      <c r="M16" s="425">
        <f t="shared" si="2"/>
        <v>45466.200000000004</v>
      </c>
      <c r="N16" s="401">
        <f t="shared" si="3"/>
        <v>157.67999999999998</v>
      </c>
      <c r="O16" s="401">
        <f t="shared" si="4"/>
        <v>11.76</v>
      </c>
      <c r="P16" s="401">
        <f t="shared" si="5"/>
        <v>0</v>
      </c>
      <c r="Q16" s="401"/>
      <c r="R16" s="402">
        <f t="shared" si="6"/>
        <v>45635.640000000007</v>
      </c>
      <c r="S16" s="402">
        <f t="shared" si="8"/>
        <v>7.47</v>
      </c>
    </row>
    <row r="17" spans="1:20" x14ac:dyDescent="0.25">
      <c r="A17" s="120">
        <f t="shared" si="0"/>
        <v>10</v>
      </c>
      <c r="B17" s="206" t="s">
        <v>384</v>
      </c>
      <c r="C17" s="417" t="s">
        <v>405</v>
      </c>
      <c r="D17" s="60">
        <f>ROUND(Summary!$C$14*'Allocation of LF'!H16,0)</f>
        <v>10374</v>
      </c>
      <c r="E17" s="5">
        <f>ROUND(Summary!$C$14*'Allocation of LF'!I16,0)</f>
        <v>2306</v>
      </c>
      <c r="F17" s="5">
        <f>ROUND(Summary!$C$14*'Allocation of LF'!J16,0)</f>
        <v>203</v>
      </c>
      <c r="G17" s="5">
        <f>ROUND(Summary!$C$14*'Allocation of LF'!K16,0)</f>
        <v>72</v>
      </c>
      <c r="H17" s="18">
        <f t="shared" si="1"/>
        <v>12955</v>
      </c>
      <c r="I17" s="436">
        <v>1.73</v>
      </c>
      <c r="J17" s="401">
        <v>0.14000000000000001</v>
      </c>
      <c r="K17" s="401">
        <v>0.66</v>
      </c>
      <c r="L17" s="402">
        <v>0.85</v>
      </c>
      <c r="M17" s="425">
        <f t="shared" si="2"/>
        <v>215364.24</v>
      </c>
      <c r="N17" s="401">
        <f t="shared" si="3"/>
        <v>3874.0800000000004</v>
      </c>
      <c r="O17" s="401">
        <f t="shared" si="4"/>
        <v>1607.7600000000002</v>
      </c>
      <c r="P17" s="401">
        <f t="shared" si="5"/>
        <v>734.4</v>
      </c>
      <c r="Q17" s="401"/>
      <c r="R17" s="402">
        <f t="shared" si="6"/>
        <v>221580.47999999998</v>
      </c>
      <c r="S17" s="402">
        <f t="shared" si="8"/>
        <v>1.43</v>
      </c>
    </row>
    <row r="18" spans="1:20" x14ac:dyDescent="0.25">
      <c r="A18" s="289">
        <f t="shared" si="0"/>
        <v>11</v>
      </c>
      <c r="B18" s="210" t="s">
        <v>303</v>
      </c>
      <c r="C18" s="418" t="s">
        <v>316</v>
      </c>
      <c r="D18" s="67">
        <v>1</v>
      </c>
      <c r="E18" s="25"/>
      <c r="F18" s="25"/>
      <c r="G18" s="25"/>
      <c r="H18" s="68">
        <f t="shared" si="1"/>
        <v>1</v>
      </c>
      <c r="I18" s="437">
        <f>I11</f>
        <v>122.86</v>
      </c>
      <c r="J18" s="65"/>
      <c r="K18" s="65"/>
      <c r="L18" s="22"/>
      <c r="M18" s="426">
        <f t="shared" si="2"/>
        <v>1474.32</v>
      </c>
      <c r="N18" s="405">
        <f t="shared" si="3"/>
        <v>0</v>
      </c>
      <c r="O18" s="405">
        <f t="shared" si="4"/>
        <v>0</v>
      </c>
      <c r="P18" s="405">
        <f t="shared" si="5"/>
        <v>0</v>
      </c>
      <c r="Q18" s="65"/>
      <c r="R18" s="406">
        <f t="shared" si="6"/>
        <v>1474.32</v>
      </c>
      <c r="S18" s="406">
        <f t="shared" si="8"/>
        <v>122.86</v>
      </c>
    </row>
    <row r="19" spans="1:20" x14ac:dyDescent="0.25">
      <c r="A19" s="292">
        <f t="shared" si="0"/>
        <v>12</v>
      </c>
      <c r="B19" s="407" t="s">
        <v>56</v>
      </c>
      <c r="C19" s="419"/>
      <c r="D19" s="302">
        <f>SUM(D9:D18)</f>
        <v>43408</v>
      </c>
      <c r="E19" s="262">
        <f t="shared" ref="E19:H19" si="9">SUM(E9:E18)</f>
        <v>9781</v>
      </c>
      <c r="F19" s="262">
        <f t="shared" si="9"/>
        <v>846</v>
      </c>
      <c r="G19" s="262">
        <f t="shared" si="9"/>
        <v>279</v>
      </c>
      <c r="H19" s="263">
        <f t="shared" si="9"/>
        <v>54314</v>
      </c>
      <c r="I19" s="146"/>
      <c r="J19" s="261"/>
      <c r="K19" s="261"/>
      <c r="L19" s="87"/>
      <c r="M19" s="434">
        <f t="shared" ref="M19:Q19" si="10">SUM(M9:M18)</f>
        <v>8752966.0800000001</v>
      </c>
      <c r="N19" s="408">
        <f t="shared" si="10"/>
        <v>1401483.12</v>
      </c>
      <c r="O19" s="408">
        <f t="shared" si="10"/>
        <v>120123.95999999999</v>
      </c>
      <c r="P19" s="408">
        <f t="shared" si="10"/>
        <v>48615.840000000004</v>
      </c>
      <c r="Q19" s="408">
        <f t="shared" si="10"/>
        <v>0</v>
      </c>
      <c r="R19" s="409">
        <f>SUM(R9:R18)</f>
        <v>10323189.000000002</v>
      </c>
      <c r="S19" s="409"/>
    </row>
    <row r="20" spans="1:20" x14ac:dyDescent="0.25">
      <c r="A20" s="404">
        <f t="shared" si="0"/>
        <v>13</v>
      </c>
      <c r="B20" s="389" t="s">
        <v>404</v>
      </c>
      <c r="C20" s="420"/>
      <c r="D20" s="429"/>
      <c r="E20" s="415"/>
      <c r="F20" s="415"/>
      <c r="G20" s="415"/>
      <c r="H20" s="430"/>
      <c r="I20" s="428"/>
      <c r="J20" s="335"/>
      <c r="K20" s="335"/>
      <c r="L20" s="353"/>
      <c r="M20" s="424"/>
      <c r="N20" s="335"/>
      <c r="O20" s="335"/>
      <c r="P20" s="335"/>
      <c r="Q20" s="335"/>
      <c r="R20" s="353"/>
      <c r="S20" s="353"/>
    </row>
    <row r="21" spans="1:20" x14ac:dyDescent="0.25">
      <c r="A21" s="120">
        <f t="shared" si="0"/>
        <v>14</v>
      </c>
      <c r="B21" s="3" t="s">
        <v>2</v>
      </c>
      <c r="C21" s="52" t="s">
        <v>24</v>
      </c>
      <c r="D21" s="60">
        <f>Summary!$D$8*'Allocation of LF'!H20</f>
        <v>220303698.56954154</v>
      </c>
      <c r="E21" s="5">
        <f>Summary!$D$8*'Allocation of LF'!I20</f>
        <v>56604208.160027355</v>
      </c>
      <c r="F21" s="5">
        <f>Summary!$D$8*'Allocation of LF'!J20</f>
        <v>4422344.8595698271</v>
      </c>
      <c r="G21" s="5">
        <f>Summary!$D$8*'Allocation of LF'!K20</f>
        <v>1326857.0634230846</v>
      </c>
      <c r="H21" s="18">
        <f>SUM(D21:G21)</f>
        <v>282657108.65256184</v>
      </c>
      <c r="I21" s="438">
        <v>8.8000000000000005E-3</v>
      </c>
      <c r="J21" s="248">
        <v>1.46E-2</v>
      </c>
      <c r="K21" s="248">
        <v>1.2699999999999999E-2</v>
      </c>
      <c r="L21" s="312">
        <v>1.26E-2</v>
      </c>
      <c r="M21" s="479">
        <f>D21*I21</f>
        <v>1938672.5474119657</v>
      </c>
      <c r="N21" s="480">
        <f>E21*J21</f>
        <v>826421.43913639942</v>
      </c>
      <c r="O21" s="480">
        <f>F21*K21</f>
        <v>56163.779716536803</v>
      </c>
      <c r="P21" s="480">
        <f>G21*L21</f>
        <v>16718.398999130866</v>
      </c>
      <c r="Q21" s="480"/>
      <c r="R21" s="249">
        <f>SUM(M21:Q21)</f>
        <v>2837976.1652640328</v>
      </c>
      <c r="S21" s="312">
        <f>ROUND(SUM(M21:P21)/H21,4)</f>
        <v>0.01</v>
      </c>
    </row>
    <row r="22" spans="1:20" x14ac:dyDescent="0.25">
      <c r="A22" s="120">
        <f t="shared" si="0"/>
        <v>15</v>
      </c>
      <c r="B22" s="3" t="s">
        <v>309</v>
      </c>
      <c r="C22" s="52" t="s">
        <v>24</v>
      </c>
      <c r="D22" s="60">
        <f>Summary!$D$9*'Allocation of LF'!H21</f>
        <v>84137613.619986996</v>
      </c>
      <c r="E22" s="5">
        <f>Summary!$D$9*'Allocation of LF'!I21</f>
        <v>16480223.159945067</v>
      </c>
      <c r="F22" s="5">
        <f>Summary!$D$9*'Allocation of LF'!J21</f>
        <v>3267325.5867023324</v>
      </c>
      <c r="G22" s="5">
        <f>Summary!$D$9*'Allocation of LF'!K21</f>
        <v>508294.45581171144</v>
      </c>
      <c r="H22" s="18">
        <f t="shared" ref="H22:H30" si="11">SUM(D22:G22)</f>
        <v>104393456.82244611</v>
      </c>
      <c r="I22" s="438">
        <v>1.18E-2</v>
      </c>
      <c r="J22" s="248">
        <v>5.1000000000000004E-3</v>
      </c>
      <c r="K22" s="248">
        <v>6.1000000000000004E-3</v>
      </c>
      <c r="L22" s="312">
        <v>1.14E-2</v>
      </c>
      <c r="M22" s="479">
        <f>D22*I22</f>
        <v>992823.84071584651</v>
      </c>
      <c r="N22" s="480">
        <f t="shared" ref="N22:N29" si="12">E22*J22</f>
        <v>84049.138115719848</v>
      </c>
      <c r="O22" s="480">
        <f t="shared" ref="O22:O29" si="13">F22*K22</f>
        <v>19930.686078884228</v>
      </c>
      <c r="P22" s="480">
        <f t="shared" ref="P22:P29" si="14">G22*L22</f>
        <v>5794.5567962535106</v>
      </c>
      <c r="Q22" s="480"/>
      <c r="R22" s="249">
        <f t="shared" ref="R22:R30" si="15">SUM(M22:Q22)</f>
        <v>1102598.221706704</v>
      </c>
      <c r="S22" s="312">
        <f>ROUND(SUM(M22:P22)/H22,4)</f>
        <v>1.06E-2</v>
      </c>
    </row>
    <row r="23" spans="1:20" x14ac:dyDescent="0.25">
      <c r="A23" s="120">
        <f t="shared" si="0"/>
        <v>16</v>
      </c>
      <c r="B23" s="3" t="s">
        <v>310</v>
      </c>
      <c r="C23" s="52" t="s">
        <v>54</v>
      </c>
      <c r="D23" s="431">
        <f>(Summary!$E$10*'Allocation of LF'!H22)-D24</f>
        <v>591269.72064883658</v>
      </c>
      <c r="E23" s="5">
        <f>(Summary!$E$10*'Allocation of LF'!I22)-E24</f>
        <v>381045.90161127137</v>
      </c>
      <c r="F23" s="5">
        <f>(Summary!$E$10*'Allocation of LF'!J22)-F24</f>
        <v>0</v>
      </c>
      <c r="G23" s="5">
        <f>(Summary!$E$10*'Allocation of LF'!K22)-G24</f>
        <v>5278.2655966816183</v>
      </c>
      <c r="H23" s="18">
        <f t="shared" si="11"/>
        <v>977593.88785678952</v>
      </c>
      <c r="I23" s="438">
        <v>3.4826999999999999</v>
      </c>
      <c r="J23" s="248">
        <v>1.5094000000000001</v>
      </c>
      <c r="K23" s="248"/>
      <c r="L23" s="312">
        <v>1.4026000000000001</v>
      </c>
      <c r="M23" s="479">
        <f t="shared" ref="M23:M28" si="16">D23*I23</f>
        <v>2059215.0561037031</v>
      </c>
      <c r="N23" s="480">
        <f t="shared" si="12"/>
        <v>575150.68389205309</v>
      </c>
      <c r="O23" s="480">
        <f t="shared" si="13"/>
        <v>0</v>
      </c>
      <c r="P23" s="480">
        <f t="shared" si="14"/>
        <v>7403.2953259056385</v>
      </c>
      <c r="Q23" s="480">
        <f>(H23*34.9%*-0.6)</f>
        <v>-204708.16011721172</v>
      </c>
      <c r="R23" s="249">
        <f t="shared" si="15"/>
        <v>2437060.87520445</v>
      </c>
      <c r="S23" s="312">
        <f>ROUND(SUM(M23:P24)/SUM(H23:H24),4)</f>
        <v>3.1589</v>
      </c>
      <c r="T23" s="108"/>
    </row>
    <row r="24" spans="1:20" x14ac:dyDescent="0.25">
      <c r="A24" s="120">
        <f t="shared" si="0"/>
        <v>17</v>
      </c>
      <c r="B24" s="3" t="s">
        <v>275</v>
      </c>
      <c r="C24" s="52" t="s">
        <v>54</v>
      </c>
      <c r="D24" s="60">
        <f>('Allocation of LF'!C34*'Rate Class Energy Model'!D37)</f>
        <v>284129.97480157134</v>
      </c>
      <c r="E24" s="5"/>
      <c r="F24" s="5"/>
      <c r="G24" s="5"/>
      <c r="H24" s="18">
        <f t="shared" si="11"/>
        <v>284129.97480157134</v>
      </c>
      <c r="I24" s="438">
        <v>4.7298</v>
      </c>
      <c r="J24" s="248"/>
      <c r="K24" s="248"/>
      <c r="L24" s="312"/>
      <c r="M24" s="479">
        <f t="shared" si="16"/>
        <v>1343877.954816472</v>
      </c>
      <c r="N24" s="480">
        <f t="shared" si="12"/>
        <v>0</v>
      </c>
      <c r="O24" s="480">
        <f t="shared" si="13"/>
        <v>0</v>
      </c>
      <c r="P24" s="480">
        <f t="shared" si="14"/>
        <v>0</v>
      </c>
      <c r="Q24" s="480">
        <f>D24*-0.6</f>
        <v>-170477.98488094279</v>
      </c>
      <c r="R24" s="249">
        <f t="shared" si="15"/>
        <v>1173399.9699355292</v>
      </c>
      <c r="S24" s="312"/>
      <c r="T24" s="2"/>
    </row>
    <row r="25" spans="1:20" x14ac:dyDescent="0.25">
      <c r="A25" s="120">
        <f t="shared" si="0"/>
        <v>18</v>
      </c>
      <c r="B25" s="3" t="s">
        <v>387</v>
      </c>
      <c r="C25" s="52" t="s">
        <v>54</v>
      </c>
      <c r="D25" s="60">
        <f>'Rate Class Demand Model'!E36</f>
        <v>68896</v>
      </c>
      <c r="E25" s="5"/>
      <c r="F25" s="5"/>
      <c r="G25" s="5"/>
      <c r="H25" s="18">
        <f t="shared" si="11"/>
        <v>68896</v>
      </c>
      <c r="I25" s="438">
        <v>3.4954000000000001</v>
      </c>
      <c r="J25" s="248"/>
      <c r="K25" s="248"/>
      <c r="L25" s="312"/>
      <c r="M25" s="479">
        <f t="shared" si="16"/>
        <v>240819.0784</v>
      </c>
      <c r="N25" s="480">
        <f t="shared" si="12"/>
        <v>0</v>
      </c>
      <c r="O25" s="480">
        <f t="shared" si="13"/>
        <v>0</v>
      </c>
      <c r="P25" s="480">
        <f t="shared" si="14"/>
        <v>0</v>
      </c>
      <c r="Q25" s="480">
        <f>D25*-0.6</f>
        <v>-41337.599999999999</v>
      </c>
      <c r="R25" s="249">
        <f t="shared" si="15"/>
        <v>199481.47839999999</v>
      </c>
      <c r="S25" s="312">
        <f>ROUND(SUM(M25:P26)/SUM(H25:H26),4)</f>
        <v>1.8761000000000001</v>
      </c>
      <c r="T25" s="108"/>
    </row>
    <row r="26" spans="1:20" x14ac:dyDescent="0.25">
      <c r="A26" s="120">
        <f t="shared" si="0"/>
        <v>19</v>
      </c>
      <c r="B26" s="3" t="s">
        <v>312</v>
      </c>
      <c r="C26" s="52" t="s">
        <v>54</v>
      </c>
      <c r="D26" s="60"/>
      <c r="E26" s="5">
        <f>'Rate Class Demand Model'!F36</f>
        <v>61319</v>
      </c>
      <c r="F26" s="5"/>
      <c r="G26" s="5"/>
      <c r="H26" s="18">
        <f t="shared" si="11"/>
        <v>61319</v>
      </c>
      <c r="I26" s="438"/>
      <c r="J26" s="248">
        <v>5.67E-2</v>
      </c>
      <c r="K26" s="248"/>
      <c r="L26" s="312"/>
      <c r="M26" s="479">
        <f t="shared" si="16"/>
        <v>0</v>
      </c>
      <c r="N26" s="480">
        <f t="shared" si="12"/>
        <v>3476.7873</v>
      </c>
      <c r="O26" s="480">
        <f t="shared" si="13"/>
        <v>0</v>
      </c>
      <c r="P26" s="480">
        <f t="shared" si="14"/>
        <v>0</v>
      </c>
      <c r="Q26" s="480">
        <f>E26*-0.6</f>
        <v>-36791.4</v>
      </c>
      <c r="R26" s="249">
        <f t="shared" si="15"/>
        <v>-33314.612699999998</v>
      </c>
      <c r="S26" s="312"/>
    </row>
    <row r="27" spans="1:20" x14ac:dyDescent="0.25">
      <c r="A27" s="120">
        <f t="shared" si="0"/>
        <v>20</v>
      </c>
      <c r="B27" s="3" t="s">
        <v>386</v>
      </c>
      <c r="C27" s="421" t="s">
        <v>24</v>
      </c>
      <c r="D27" s="60">
        <f>Summary!$D$12*'Allocation of LF'!H26</f>
        <v>937956.45244465384</v>
      </c>
      <c r="E27" s="5">
        <f>Summary!$D$12*'Allocation of LF'!I26</f>
        <v>330793.54755534616</v>
      </c>
      <c r="F27" s="5">
        <f>Summary!$D$12*'Allocation of LF'!J26</f>
        <v>0</v>
      </c>
      <c r="G27" s="5">
        <f>Summary!$D$12*'Allocation of LF'!K26</f>
        <v>0</v>
      </c>
      <c r="H27" s="18">
        <f t="shared" si="11"/>
        <v>1268750</v>
      </c>
      <c r="I27" s="438">
        <v>8.0000000000000004E-4</v>
      </c>
      <c r="J27" s="248">
        <v>5.4999999999999997E-3</v>
      </c>
      <c r="K27" s="248"/>
      <c r="L27" s="312"/>
      <c r="M27" s="479">
        <f t="shared" si="16"/>
        <v>750.36516195572312</v>
      </c>
      <c r="N27" s="480">
        <f t="shared" si="12"/>
        <v>1819.3645115544039</v>
      </c>
      <c r="O27" s="480">
        <f t="shared" si="13"/>
        <v>0</v>
      </c>
      <c r="P27" s="480">
        <f t="shared" si="14"/>
        <v>0</v>
      </c>
      <c r="Q27" s="480"/>
      <c r="R27" s="249">
        <f t="shared" si="15"/>
        <v>2569.7296735101272</v>
      </c>
      <c r="S27" s="312">
        <f t="shared" ref="S27:S30" si="17">ROUND(SUM(M27:P27)/H27,4)</f>
        <v>2E-3</v>
      </c>
    </row>
    <row r="28" spans="1:20" x14ac:dyDescent="0.25">
      <c r="A28" s="120">
        <f t="shared" si="0"/>
        <v>21</v>
      </c>
      <c r="B28" s="3" t="s">
        <v>385</v>
      </c>
      <c r="C28" s="421" t="s">
        <v>54</v>
      </c>
      <c r="D28" s="60">
        <f>Summary!$E$13*'Allocation of LF'!H27</f>
        <v>1005.4088234471237</v>
      </c>
      <c r="E28" s="5">
        <f>Summary!$E$13*'Allocation of LF'!I27</f>
        <v>119.16151121577349</v>
      </c>
      <c r="F28" s="5">
        <f>Summary!$E$13*'Allocation of LF'!J27</f>
        <v>2.4296653371028611</v>
      </c>
      <c r="G28" s="5">
        <f>Summary!$E$13*'Allocation of LF'!K27</f>
        <v>0</v>
      </c>
      <c r="H28" s="18">
        <f t="shared" si="11"/>
        <v>1127.0000000000002</v>
      </c>
      <c r="I28" s="438">
        <v>0.61850000000000005</v>
      </c>
      <c r="J28" s="248">
        <v>1.0357000000000001</v>
      </c>
      <c r="K28" s="248">
        <v>5.2239000000000004</v>
      </c>
      <c r="L28" s="312"/>
      <c r="M28" s="479">
        <f t="shared" si="16"/>
        <v>621.84535730204607</v>
      </c>
      <c r="N28" s="480">
        <f t="shared" si="12"/>
        <v>123.4155771661766</v>
      </c>
      <c r="O28" s="480">
        <f t="shared" si="13"/>
        <v>12.692328754491637</v>
      </c>
      <c r="P28" s="480">
        <f t="shared" si="14"/>
        <v>0</v>
      </c>
      <c r="Q28" s="480"/>
      <c r="R28" s="249">
        <f t="shared" si="15"/>
        <v>757.95326322271433</v>
      </c>
      <c r="S28" s="312">
        <f t="shared" si="17"/>
        <v>0.67249999999999999</v>
      </c>
    </row>
    <row r="29" spans="1:20" x14ac:dyDescent="0.25">
      <c r="A29" s="120">
        <f t="shared" si="0"/>
        <v>22</v>
      </c>
      <c r="B29" s="3" t="s">
        <v>384</v>
      </c>
      <c r="C29" s="421" t="s">
        <v>54</v>
      </c>
      <c r="D29" s="60">
        <f>Summary!$E$14*'Allocation of LF'!H28</f>
        <v>16456.439013575215</v>
      </c>
      <c r="E29" s="5">
        <f>Summary!$E$14*'Allocation of LF'!I28</f>
        <v>4036.2522628177944</v>
      </c>
      <c r="F29" s="5">
        <f>Summary!$E$14*'Allocation of LF'!J28</f>
        <v>322.9558918621612</v>
      </c>
      <c r="G29" s="5">
        <f>Summary!$E$14*'Allocation of LF'!K28</f>
        <v>153.35283174482907</v>
      </c>
      <c r="H29" s="18">
        <f t="shared" si="11"/>
        <v>20969</v>
      </c>
      <c r="I29" s="438">
        <v>1.2859</v>
      </c>
      <c r="J29" s="248">
        <v>0.6069</v>
      </c>
      <c r="K29" s="248">
        <v>3.0966</v>
      </c>
      <c r="L29" s="312">
        <v>3.5493999999999999</v>
      </c>
      <c r="M29" s="479">
        <f>D29*I29</f>
        <v>21161.334927556371</v>
      </c>
      <c r="N29" s="480">
        <f t="shared" si="12"/>
        <v>2449.6014983041196</v>
      </c>
      <c r="O29" s="480">
        <f t="shared" si="13"/>
        <v>1000.0652147403683</v>
      </c>
      <c r="P29" s="480">
        <f t="shared" si="14"/>
        <v>544.31054099509629</v>
      </c>
      <c r="Q29" s="480"/>
      <c r="R29" s="249">
        <f t="shared" si="15"/>
        <v>25155.312181595953</v>
      </c>
      <c r="S29" s="312">
        <f t="shared" si="17"/>
        <v>1.1996</v>
      </c>
    </row>
    <row r="30" spans="1:20" x14ac:dyDescent="0.25">
      <c r="A30" s="289">
        <f t="shared" si="0"/>
        <v>23</v>
      </c>
      <c r="B30" s="65" t="s">
        <v>303</v>
      </c>
      <c r="C30" s="422" t="s">
        <v>54</v>
      </c>
      <c r="D30" s="67">
        <v>0</v>
      </c>
      <c r="E30" s="25"/>
      <c r="F30" s="25"/>
      <c r="G30" s="25"/>
      <c r="H30" s="68">
        <f t="shared" si="11"/>
        <v>0</v>
      </c>
      <c r="I30" s="439">
        <v>0</v>
      </c>
      <c r="J30" s="250">
        <v>0</v>
      </c>
      <c r="K30" s="250">
        <v>0</v>
      </c>
      <c r="L30" s="268">
        <v>0</v>
      </c>
      <c r="M30" s="481">
        <f t="shared" ref="M30" si="18">D30*I30</f>
        <v>0</v>
      </c>
      <c r="N30" s="482"/>
      <c r="O30" s="482"/>
      <c r="P30" s="482"/>
      <c r="Q30" s="482"/>
      <c r="R30" s="290">
        <f t="shared" si="15"/>
        <v>0</v>
      </c>
      <c r="S30" s="268" t="e">
        <f t="shared" si="17"/>
        <v>#DIV/0!</v>
      </c>
    </row>
    <row r="31" spans="1:20" x14ac:dyDescent="0.25">
      <c r="A31" s="292">
        <f t="shared" si="0"/>
        <v>24</v>
      </c>
      <c r="B31" s="261" t="s">
        <v>18</v>
      </c>
      <c r="C31" s="299"/>
      <c r="D31" s="302"/>
      <c r="E31" s="262"/>
      <c r="F31" s="262"/>
      <c r="G31" s="262"/>
      <c r="H31" s="263"/>
      <c r="I31" s="146"/>
      <c r="J31" s="261"/>
      <c r="K31" s="261"/>
      <c r="L31" s="87"/>
      <c r="M31" s="434">
        <f>SUM(M21:M30)</f>
        <v>6597942.0228948006</v>
      </c>
      <c r="N31" s="408">
        <f t="shared" ref="N31:R31" si="19">SUM(N21:N29)</f>
        <v>1493490.4300311971</v>
      </c>
      <c r="O31" s="408">
        <f t="shared" si="19"/>
        <v>77107.223338915894</v>
      </c>
      <c r="P31" s="408">
        <f t="shared" si="19"/>
        <v>30460.561662285108</v>
      </c>
      <c r="Q31" s="408">
        <f t="shared" si="19"/>
        <v>-453315.14499815449</v>
      </c>
      <c r="R31" s="409">
        <f t="shared" si="19"/>
        <v>7745685.0929290457</v>
      </c>
      <c r="S31" s="409"/>
    </row>
    <row r="32" spans="1:20" s="34" customFormat="1" ht="30" customHeight="1" x14ac:dyDescent="0.25">
      <c r="A32" s="410">
        <f t="shared" si="0"/>
        <v>25</v>
      </c>
      <c r="B32" s="411" t="s">
        <v>319</v>
      </c>
      <c r="C32" s="423"/>
      <c r="D32" s="432"/>
      <c r="E32" s="412"/>
      <c r="F32" s="412"/>
      <c r="G32" s="412"/>
      <c r="H32" s="433"/>
      <c r="I32" s="440"/>
      <c r="J32" s="411"/>
      <c r="K32" s="411"/>
      <c r="L32" s="441"/>
      <c r="M32" s="435">
        <f>M19+M31</f>
        <v>15350908.102894802</v>
      </c>
      <c r="N32" s="413">
        <f t="shared" ref="N32:R32" si="20">N19+N31</f>
        <v>2894973.5500311973</v>
      </c>
      <c r="O32" s="413">
        <f t="shared" si="20"/>
        <v>197231.18333891587</v>
      </c>
      <c r="P32" s="413">
        <f t="shared" si="20"/>
        <v>79076.40166228512</v>
      </c>
      <c r="Q32" s="413">
        <f t="shared" si="20"/>
        <v>-453315.14499815449</v>
      </c>
      <c r="R32" s="414">
        <f t="shared" si="20"/>
        <v>18068874.092929047</v>
      </c>
      <c r="S32" s="414"/>
    </row>
    <row r="33" spans="1:19" s="34" customFormat="1" ht="30" customHeight="1" x14ac:dyDescent="0.25">
      <c r="A33" s="467"/>
      <c r="B33" s="478">
        <v>2016</v>
      </c>
      <c r="C33" s="469"/>
      <c r="D33" s="470"/>
      <c r="E33" s="471"/>
      <c r="F33" s="471"/>
      <c r="G33" s="471"/>
      <c r="H33" s="472"/>
      <c r="I33" s="473"/>
      <c r="J33" s="468"/>
      <c r="K33" s="468"/>
      <c r="L33" s="474"/>
      <c r="M33" s="475"/>
      <c r="N33" s="476"/>
      <c r="O33" s="476"/>
      <c r="P33" s="476"/>
      <c r="Q33" s="476"/>
      <c r="R33" s="477"/>
      <c r="S33" s="477"/>
    </row>
    <row r="34" spans="1:19" x14ac:dyDescent="0.25">
      <c r="A34" s="404">
        <v>1</v>
      </c>
      <c r="B34" s="335" t="s">
        <v>403</v>
      </c>
      <c r="C34" s="416"/>
      <c r="D34" s="428"/>
      <c r="E34" s="335"/>
      <c r="F34" s="335"/>
      <c r="G34" s="335"/>
      <c r="H34" s="353"/>
      <c r="I34" s="428"/>
      <c r="J34" s="335"/>
      <c r="K34" s="335"/>
      <c r="L34" s="353"/>
      <c r="M34" s="424"/>
      <c r="N34" s="335"/>
      <c r="O34" s="335"/>
      <c r="P34" s="335"/>
      <c r="Q34" s="335"/>
      <c r="R34" s="353"/>
      <c r="S34" s="353"/>
    </row>
    <row r="35" spans="1:19" x14ac:dyDescent="0.25">
      <c r="A35" s="120">
        <f t="shared" ref="A35:A56" si="21">A34+1</f>
        <v>2</v>
      </c>
      <c r="B35" s="206" t="s">
        <v>2</v>
      </c>
      <c r="C35" s="417" t="s">
        <v>316</v>
      </c>
      <c r="D35" s="60">
        <f>ROUND(Summary!$F$8*'Allocation of LF'!H8,0)</f>
        <v>28997</v>
      </c>
      <c r="E35" s="5">
        <f>ROUND(Summary!$F$8*'Allocation of LF'!I8,0)</f>
        <v>6609</v>
      </c>
      <c r="F35" s="5">
        <f>ROUND(Summary!$F$8*'Allocation of LF'!J8,0)</f>
        <v>555</v>
      </c>
      <c r="G35" s="5">
        <f>ROUND(Summary!$F$8*'Allocation of LF'!K8,0)</f>
        <v>172</v>
      </c>
      <c r="H35" s="18">
        <f>SUM(D35:G35)</f>
        <v>36333</v>
      </c>
      <c r="I35" s="436">
        <v>18.98</v>
      </c>
      <c r="J35" s="401">
        <v>14.43</v>
      </c>
      <c r="K35" s="401">
        <v>13.44</v>
      </c>
      <c r="L35" s="402">
        <v>12.52</v>
      </c>
      <c r="M35" s="425">
        <f>D35*I35*12</f>
        <v>6604356.7200000007</v>
      </c>
      <c r="N35" s="401">
        <f>E35*J35*12</f>
        <v>1144414.44</v>
      </c>
      <c r="O35" s="401">
        <f>F35*K35*12</f>
        <v>89510.399999999994</v>
      </c>
      <c r="P35" s="401">
        <f>G35*L35*12</f>
        <v>25841.279999999999</v>
      </c>
      <c r="Q35" s="401"/>
      <c r="R35" s="402">
        <f>SUM(M35:Q35)</f>
        <v>7864122.8400000008</v>
      </c>
      <c r="S35" s="402">
        <f>ROUND(SUM(M35:P35)/H35/12,2)</f>
        <v>18.04</v>
      </c>
    </row>
    <row r="36" spans="1:19" x14ac:dyDescent="0.25">
      <c r="A36" s="120">
        <f t="shared" si="21"/>
        <v>3</v>
      </c>
      <c r="B36" s="206" t="s">
        <v>309</v>
      </c>
      <c r="C36" s="417" t="s">
        <v>316</v>
      </c>
      <c r="D36" s="60">
        <f>ROUND(Summary!$F$9*'Allocation of LF'!H9,0)</f>
        <v>3073</v>
      </c>
      <c r="E36" s="5">
        <f>ROUND(Summary!$F$9*'Allocation of LF'!I9,0)</f>
        <v>657</v>
      </c>
      <c r="F36" s="5">
        <f>ROUND(Summary!$F$9*'Allocation of LF'!J9,0)</f>
        <v>88</v>
      </c>
      <c r="G36" s="5">
        <f>ROUND(Summary!$F$9*'Allocation of LF'!K9,0)</f>
        <v>32</v>
      </c>
      <c r="H36" s="18">
        <f t="shared" ref="H36:H44" si="22">SUM(D36:G36)</f>
        <v>3850</v>
      </c>
      <c r="I36" s="436">
        <v>34.840000000000003</v>
      </c>
      <c r="J36" s="401">
        <v>19.059999999999999</v>
      </c>
      <c r="K36" s="401">
        <v>27.45</v>
      </c>
      <c r="L36" s="402">
        <v>22.91</v>
      </c>
      <c r="M36" s="425">
        <f t="shared" ref="M36:P44" si="23">D36*I36*12</f>
        <v>1284759.8400000001</v>
      </c>
      <c r="N36" s="401">
        <f t="shared" ref="N36:P43" si="24">E36*J36*12</f>
        <v>150269.03999999998</v>
      </c>
      <c r="O36" s="401">
        <f t="shared" si="24"/>
        <v>28987.199999999997</v>
      </c>
      <c r="P36" s="401">
        <f t="shared" si="24"/>
        <v>8797.44</v>
      </c>
      <c r="Q36" s="401"/>
      <c r="R36" s="402">
        <f t="shared" ref="R36:R44" si="25">SUM(M36:Q36)</f>
        <v>1472813.52</v>
      </c>
      <c r="S36" s="402">
        <f t="shared" ref="S36:S44" si="26">ROUND(SUM(M36:P36)/H36/12,2)</f>
        <v>31.88</v>
      </c>
    </row>
    <row r="37" spans="1:19" x14ac:dyDescent="0.25">
      <c r="A37" s="120">
        <f t="shared" si="21"/>
        <v>4</v>
      </c>
      <c r="B37" s="206" t="s">
        <v>310</v>
      </c>
      <c r="C37" s="417" t="s">
        <v>316</v>
      </c>
      <c r="D37" s="60">
        <f>ROUND(Summary!$F$10*'Allocation of LF'!H10,0)-D38-D44</f>
        <v>377</v>
      </c>
      <c r="E37" s="5">
        <f>ROUND(Summary!$F$10*'Allocation of LF'!I10,0)-E38</f>
        <v>97</v>
      </c>
      <c r="F37" s="5">
        <f>ROUND(Summary!$F$10*'Allocation of LF'!J10,0)-F38</f>
        <v>0</v>
      </c>
      <c r="G37" s="5">
        <f>ROUND(Summary!$F$10*'Allocation of LF'!K10,0)-G38</f>
        <v>4</v>
      </c>
      <c r="H37" s="18">
        <f t="shared" si="22"/>
        <v>478</v>
      </c>
      <c r="I37" s="436">
        <v>122.86</v>
      </c>
      <c r="J37" s="401">
        <v>45.55</v>
      </c>
      <c r="K37" s="401"/>
      <c r="L37" s="402">
        <v>279.02</v>
      </c>
      <c r="M37" s="425">
        <f t="shared" si="23"/>
        <v>555818.64</v>
      </c>
      <c r="N37" s="401">
        <f t="shared" si="24"/>
        <v>53020.2</v>
      </c>
      <c r="O37" s="401">
        <f t="shared" si="24"/>
        <v>0</v>
      </c>
      <c r="P37" s="401">
        <f t="shared" si="24"/>
        <v>13392.96</v>
      </c>
      <c r="Q37" s="401"/>
      <c r="R37" s="402">
        <f t="shared" si="25"/>
        <v>622231.79999999993</v>
      </c>
      <c r="S37" s="402">
        <f>ROUND(SUM(M37:P38)/SUM(H37:H38)/12,2)</f>
        <v>108.26</v>
      </c>
    </row>
    <row r="38" spans="1:19" x14ac:dyDescent="0.25">
      <c r="A38" s="120">
        <f t="shared" si="21"/>
        <v>5</v>
      </c>
      <c r="B38" s="206" t="s">
        <v>275</v>
      </c>
      <c r="C38" s="417" t="s">
        <v>316</v>
      </c>
      <c r="D38" s="60">
        <v>12</v>
      </c>
      <c r="E38" s="5"/>
      <c r="F38" s="5"/>
      <c r="G38" s="5"/>
      <c r="H38" s="18">
        <f t="shared" si="22"/>
        <v>12</v>
      </c>
      <c r="I38" s="436">
        <v>99.74</v>
      </c>
      <c r="J38" s="401"/>
      <c r="K38" s="401"/>
      <c r="L38" s="402"/>
      <c r="M38" s="425">
        <f t="shared" si="23"/>
        <v>14362.559999999998</v>
      </c>
      <c r="N38" s="401">
        <f t="shared" si="24"/>
        <v>0</v>
      </c>
      <c r="O38" s="401">
        <f t="shared" si="24"/>
        <v>0</v>
      </c>
      <c r="P38" s="401">
        <f t="shared" si="24"/>
        <v>0</v>
      </c>
      <c r="Q38" s="401"/>
      <c r="R38" s="402">
        <f t="shared" si="25"/>
        <v>14362.559999999998</v>
      </c>
      <c r="S38" s="402"/>
    </row>
    <row r="39" spans="1:19" x14ac:dyDescent="0.25">
      <c r="A39" s="120">
        <f t="shared" si="21"/>
        <v>6</v>
      </c>
      <c r="B39" s="206" t="s">
        <v>387</v>
      </c>
      <c r="C39" s="417" t="s">
        <v>316</v>
      </c>
      <c r="D39" s="60">
        <v>1</v>
      </c>
      <c r="E39" s="5"/>
      <c r="F39" s="5"/>
      <c r="G39" s="5"/>
      <c r="H39" s="18">
        <f t="shared" si="22"/>
        <v>1</v>
      </c>
      <c r="I39" s="436">
        <v>1385.39</v>
      </c>
      <c r="J39" s="401"/>
      <c r="K39" s="401"/>
      <c r="L39" s="402"/>
      <c r="M39" s="425">
        <f t="shared" si="23"/>
        <v>16624.68</v>
      </c>
      <c r="N39" s="401">
        <f t="shared" si="24"/>
        <v>0</v>
      </c>
      <c r="O39" s="401">
        <f t="shared" si="24"/>
        <v>0</v>
      </c>
      <c r="P39" s="401">
        <f t="shared" si="24"/>
        <v>0</v>
      </c>
      <c r="Q39" s="401"/>
      <c r="R39" s="402">
        <f t="shared" si="25"/>
        <v>16624.68</v>
      </c>
      <c r="S39" s="402">
        <f>ROUND(SUM(M39:P40)/SUM(H39:H40)/12,2)</f>
        <v>2615.41</v>
      </c>
    </row>
    <row r="40" spans="1:19" x14ac:dyDescent="0.25">
      <c r="A40" s="120">
        <f t="shared" si="21"/>
        <v>7</v>
      </c>
      <c r="B40" s="206" t="s">
        <v>312</v>
      </c>
      <c r="C40" s="417" t="s">
        <v>316</v>
      </c>
      <c r="D40" s="60"/>
      <c r="E40" s="5">
        <v>1</v>
      </c>
      <c r="F40" s="5"/>
      <c r="G40" s="5"/>
      <c r="H40" s="18">
        <f t="shared" si="22"/>
        <v>1</v>
      </c>
      <c r="I40" s="436"/>
      <c r="J40" s="401">
        <v>3845.43</v>
      </c>
      <c r="K40" s="401"/>
      <c r="L40" s="402"/>
      <c r="M40" s="425">
        <f t="shared" si="23"/>
        <v>0</v>
      </c>
      <c r="N40" s="401">
        <f t="shared" si="24"/>
        <v>46145.159999999996</v>
      </c>
      <c r="O40" s="401">
        <f t="shared" si="24"/>
        <v>0</v>
      </c>
      <c r="P40" s="401">
        <f t="shared" si="24"/>
        <v>0</v>
      </c>
      <c r="Q40" s="401"/>
      <c r="R40" s="402">
        <f t="shared" si="25"/>
        <v>46145.159999999996</v>
      </c>
      <c r="S40" s="402"/>
    </row>
    <row r="41" spans="1:19" x14ac:dyDescent="0.25">
      <c r="A41" s="120">
        <f t="shared" si="21"/>
        <v>8</v>
      </c>
      <c r="B41" s="206" t="s">
        <v>386</v>
      </c>
      <c r="C41" s="417" t="s">
        <v>405</v>
      </c>
      <c r="D41" s="60">
        <f>ROUND(Summary!$F$12*'Allocation of LF'!H14,0)</f>
        <v>267</v>
      </c>
      <c r="E41" s="5">
        <f>ROUND(Summary!$F$12*'Allocation of LF'!I14,0)</f>
        <v>68</v>
      </c>
      <c r="F41" s="5">
        <f>ROUND(Summary!$F$12*'Allocation of LF'!J14,0)</f>
        <v>0</v>
      </c>
      <c r="G41" s="5">
        <f>ROUND(Summary!$F$12*'Allocation of LF'!K14,0)</f>
        <v>0</v>
      </c>
      <c r="H41" s="18">
        <f t="shared" si="22"/>
        <v>335</v>
      </c>
      <c r="I41" s="436">
        <v>11.06</v>
      </c>
      <c r="J41" s="401">
        <v>9.5399999999999991</v>
      </c>
      <c r="K41" s="401"/>
      <c r="L41" s="402"/>
      <c r="M41" s="425">
        <f t="shared" si="23"/>
        <v>35436.239999999998</v>
      </c>
      <c r="N41" s="401">
        <f t="shared" si="24"/>
        <v>7784.6399999999994</v>
      </c>
      <c r="O41" s="401">
        <f t="shared" si="24"/>
        <v>0</v>
      </c>
      <c r="P41" s="401">
        <f t="shared" si="24"/>
        <v>0</v>
      </c>
      <c r="Q41" s="401"/>
      <c r="R41" s="402">
        <f t="shared" si="25"/>
        <v>43220.88</v>
      </c>
      <c r="S41" s="402">
        <f t="shared" si="26"/>
        <v>10.75</v>
      </c>
    </row>
    <row r="42" spans="1:19" x14ac:dyDescent="0.25">
      <c r="A42" s="120">
        <f t="shared" si="21"/>
        <v>9</v>
      </c>
      <c r="B42" s="206" t="s">
        <v>385</v>
      </c>
      <c r="C42" s="417" t="s">
        <v>405</v>
      </c>
      <c r="D42" s="60">
        <f>ROUND(Summary!$F$13*'Allocation of LF'!H15,0)</f>
        <v>455</v>
      </c>
      <c r="E42" s="5">
        <f>ROUND(Summary!$F$13*'Allocation of LF'!I15,0)</f>
        <v>76</v>
      </c>
      <c r="F42" s="5">
        <f>ROUND(Summary!$F$13*'Allocation of LF'!J15,0)</f>
        <v>1</v>
      </c>
      <c r="G42" s="5">
        <f>ROUND(Summary!$F$13*'Allocation of LF'!K15,0)</f>
        <v>0</v>
      </c>
      <c r="H42" s="18">
        <f t="shared" si="22"/>
        <v>532</v>
      </c>
      <c r="I42" s="436">
        <v>8.7100000000000009</v>
      </c>
      <c r="J42" s="401">
        <v>0.18</v>
      </c>
      <c r="K42" s="401">
        <v>0.98</v>
      </c>
      <c r="L42" s="402"/>
      <c r="M42" s="425">
        <f t="shared" si="23"/>
        <v>47556.600000000006</v>
      </c>
      <c r="N42" s="401">
        <f t="shared" si="24"/>
        <v>164.16</v>
      </c>
      <c r="O42" s="401">
        <f t="shared" si="24"/>
        <v>11.76</v>
      </c>
      <c r="P42" s="401">
        <f t="shared" si="24"/>
        <v>0</v>
      </c>
      <c r="Q42" s="401"/>
      <c r="R42" s="402">
        <f t="shared" si="25"/>
        <v>47732.520000000011</v>
      </c>
      <c r="S42" s="402">
        <f t="shared" si="26"/>
        <v>7.48</v>
      </c>
    </row>
    <row r="43" spans="1:19" x14ac:dyDescent="0.25">
      <c r="A43" s="120">
        <f t="shared" si="21"/>
        <v>10</v>
      </c>
      <c r="B43" s="206" t="s">
        <v>384</v>
      </c>
      <c r="C43" s="417" t="s">
        <v>405</v>
      </c>
      <c r="D43" s="60">
        <f>ROUND(Summary!$F$14*'Allocation of LF'!H16,0)</f>
        <v>10397</v>
      </c>
      <c r="E43" s="5">
        <f>ROUND(Summary!$F$14*'Allocation of LF'!I16,0)</f>
        <v>2311</v>
      </c>
      <c r="F43" s="5">
        <f>ROUND(Summary!$F$14*'Allocation of LF'!J16,0)</f>
        <v>204</v>
      </c>
      <c r="G43" s="5">
        <f>ROUND(Summary!$F$14*'Allocation of LF'!K16,0)</f>
        <v>72</v>
      </c>
      <c r="H43" s="18">
        <f t="shared" si="22"/>
        <v>12984</v>
      </c>
      <c r="I43" s="436">
        <v>1.73</v>
      </c>
      <c r="J43" s="401">
        <v>0.14000000000000001</v>
      </c>
      <c r="K43" s="401">
        <v>0.66</v>
      </c>
      <c r="L43" s="402">
        <v>0.85</v>
      </c>
      <c r="M43" s="425">
        <f t="shared" si="23"/>
        <v>215841.72000000003</v>
      </c>
      <c r="N43" s="401">
        <f t="shared" si="24"/>
        <v>3882.4800000000005</v>
      </c>
      <c r="O43" s="401">
        <f t="shared" si="24"/>
        <v>1615.6800000000003</v>
      </c>
      <c r="P43" s="401">
        <f t="shared" si="24"/>
        <v>734.4</v>
      </c>
      <c r="Q43" s="401"/>
      <c r="R43" s="402">
        <f t="shared" si="25"/>
        <v>222074.28000000003</v>
      </c>
      <c r="S43" s="402">
        <f t="shared" si="26"/>
        <v>1.43</v>
      </c>
    </row>
    <row r="44" spans="1:19" x14ac:dyDescent="0.25">
      <c r="A44" s="289">
        <f t="shared" si="21"/>
        <v>11</v>
      </c>
      <c r="B44" s="210" t="s">
        <v>303</v>
      </c>
      <c r="C44" s="418" t="s">
        <v>316</v>
      </c>
      <c r="D44" s="67">
        <v>1</v>
      </c>
      <c r="E44" s="25"/>
      <c r="F44" s="25"/>
      <c r="G44" s="25"/>
      <c r="H44" s="68">
        <f t="shared" si="22"/>
        <v>1</v>
      </c>
      <c r="I44" s="437">
        <f>I37</f>
        <v>122.86</v>
      </c>
      <c r="J44" s="65"/>
      <c r="K44" s="65"/>
      <c r="L44" s="22"/>
      <c r="M44" s="426">
        <f t="shared" si="23"/>
        <v>1474.32</v>
      </c>
      <c r="N44" s="405">
        <f t="shared" si="23"/>
        <v>0</v>
      </c>
      <c r="O44" s="405">
        <f t="shared" si="23"/>
        <v>0</v>
      </c>
      <c r="P44" s="405">
        <f t="shared" si="23"/>
        <v>0</v>
      </c>
      <c r="Q44" s="65"/>
      <c r="R44" s="406">
        <f t="shared" si="25"/>
        <v>1474.32</v>
      </c>
      <c r="S44" s="406">
        <f t="shared" si="26"/>
        <v>122.86</v>
      </c>
    </row>
    <row r="45" spans="1:19" x14ac:dyDescent="0.25">
      <c r="A45" s="292">
        <f t="shared" si="21"/>
        <v>12</v>
      </c>
      <c r="B45" s="407" t="s">
        <v>56</v>
      </c>
      <c r="C45" s="419"/>
      <c r="D45" s="302">
        <f>SUM(D35:D44)</f>
        <v>43580</v>
      </c>
      <c r="E45" s="262">
        <f t="shared" ref="E45:H45" si="27">SUM(E35:E44)</f>
        <v>9819</v>
      </c>
      <c r="F45" s="262">
        <f t="shared" si="27"/>
        <v>848</v>
      </c>
      <c r="G45" s="262">
        <f t="shared" si="27"/>
        <v>280</v>
      </c>
      <c r="H45" s="263">
        <f t="shared" si="27"/>
        <v>54527</v>
      </c>
      <c r="I45" s="146"/>
      <c r="J45" s="261"/>
      <c r="K45" s="261"/>
      <c r="L45" s="87"/>
      <c r="M45" s="434">
        <f t="shared" ref="M45:Q45" si="28">SUM(M35:M44)</f>
        <v>8776231.3200000022</v>
      </c>
      <c r="N45" s="408">
        <f t="shared" si="28"/>
        <v>1405680.1199999996</v>
      </c>
      <c r="O45" s="408">
        <f t="shared" si="28"/>
        <v>120125.03999999998</v>
      </c>
      <c r="P45" s="408">
        <f t="shared" si="28"/>
        <v>48766.080000000002</v>
      </c>
      <c r="Q45" s="408">
        <f t="shared" si="28"/>
        <v>0</v>
      </c>
      <c r="R45" s="409">
        <f>SUM(R35:R44)</f>
        <v>10350802.560000002</v>
      </c>
      <c r="S45" s="409"/>
    </row>
    <row r="46" spans="1:19" x14ac:dyDescent="0.25">
      <c r="A46" s="404">
        <f t="shared" si="21"/>
        <v>13</v>
      </c>
      <c r="B46" s="389" t="s">
        <v>404</v>
      </c>
      <c r="C46" s="420"/>
      <c r="D46" s="429"/>
      <c r="E46" s="415"/>
      <c r="F46" s="415"/>
      <c r="G46" s="415"/>
      <c r="H46" s="430"/>
      <c r="I46" s="428"/>
      <c r="J46" s="335"/>
      <c r="K46" s="335"/>
      <c r="L46" s="353"/>
      <c r="M46" s="424"/>
      <c r="N46" s="335"/>
      <c r="O46" s="335"/>
      <c r="P46" s="335"/>
      <c r="Q46" s="335"/>
      <c r="R46" s="353"/>
      <c r="S46" s="353"/>
    </row>
    <row r="47" spans="1:19" x14ac:dyDescent="0.25">
      <c r="A47" s="120">
        <f t="shared" si="21"/>
        <v>14</v>
      </c>
      <c r="B47" s="3" t="s">
        <v>2</v>
      </c>
      <c r="C47" s="52" t="s">
        <v>24</v>
      </c>
      <c r="D47" s="60">
        <f>Summary!$G$8*'Allocation of LF'!H20</f>
        <v>215927829.14978442</v>
      </c>
      <c r="E47" s="5">
        <f>Summary!$G$8*'Allocation of LF'!I20</f>
        <v>55479884.668749958</v>
      </c>
      <c r="F47" s="5">
        <f>Summary!$G$8*'Allocation of LF'!J20</f>
        <v>4334504.284217421</v>
      </c>
      <c r="G47" s="5">
        <f>Summary!$G$8*'Allocation of LF'!K20</f>
        <v>1300501.8397662789</v>
      </c>
      <c r="H47" s="18">
        <f>SUM(D47:G47)</f>
        <v>277042719.94251806</v>
      </c>
      <c r="I47" s="438">
        <v>8.8000000000000005E-3</v>
      </c>
      <c r="J47" s="248">
        <v>1.46E-2</v>
      </c>
      <c r="K47" s="248">
        <v>1.2699999999999999E-2</v>
      </c>
      <c r="L47" s="312">
        <v>1.26E-2</v>
      </c>
      <c r="M47" s="425">
        <f>D47*I47</f>
        <v>1900164.8965181031</v>
      </c>
      <c r="N47" s="401">
        <f>E47*J47</f>
        <v>810006.31616374943</v>
      </c>
      <c r="O47" s="401">
        <f>F47*K47</f>
        <v>55048.204409561244</v>
      </c>
      <c r="P47" s="401">
        <f>G47*L47</f>
        <v>16386.323181055115</v>
      </c>
      <c r="Q47" s="401"/>
      <c r="R47" s="402">
        <f>SUM(M47:Q47)</f>
        <v>2781605.7402724684</v>
      </c>
      <c r="S47" s="312">
        <f>ROUND(SUM(M47:P47)/H47,4)</f>
        <v>0.01</v>
      </c>
    </row>
    <row r="48" spans="1:19" x14ac:dyDescent="0.25">
      <c r="A48" s="120">
        <f t="shared" si="21"/>
        <v>15</v>
      </c>
      <c r="B48" s="3" t="s">
        <v>309</v>
      </c>
      <c r="C48" s="52" t="s">
        <v>24</v>
      </c>
      <c r="D48" s="60">
        <f>Summary!$G$9*'Allocation of LF'!H21</f>
        <v>80515770.56378147</v>
      </c>
      <c r="E48" s="5">
        <f>Summary!$G$9*'Allocation of LF'!I21</f>
        <v>15770804.634169513</v>
      </c>
      <c r="F48" s="5">
        <f>Summary!$G$9*'Allocation of LF'!J21</f>
        <v>3126678.1404601759</v>
      </c>
      <c r="G48" s="5">
        <f>Summary!$G$9*'Allocation of LF'!K21</f>
        <v>486414.07834338635</v>
      </c>
      <c r="H48" s="18">
        <f t="shared" ref="H48:H57" si="29">SUM(D48:G48)</f>
        <v>99899667.416754559</v>
      </c>
      <c r="I48" s="438">
        <v>1.18E-2</v>
      </c>
      <c r="J48" s="248">
        <v>5.1000000000000004E-3</v>
      </c>
      <c r="K48" s="248">
        <v>6.1000000000000004E-3</v>
      </c>
      <c r="L48" s="312">
        <v>1.14E-2</v>
      </c>
      <c r="M48" s="425">
        <f>D48*I48</f>
        <v>950086.09265262133</v>
      </c>
      <c r="N48" s="401">
        <f t="shared" ref="N48:P56" si="30">E48*J48</f>
        <v>80431.103634264524</v>
      </c>
      <c r="O48" s="401">
        <f t="shared" si="30"/>
        <v>19072.736656807076</v>
      </c>
      <c r="P48" s="401">
        <f t="shared" si="30"/>
        <v>5545.1204931146049</v>
      </c>
      <c r="Q48" s="401"/>
      <c r="R48" s="402">
        <f t="shared" ref="R48:R57" si="31">SUM(M48:Q48)</f>
        <v>1055135.0534368076</v>
      </c>
      <c r="S48" s="312">
        <f>ROUND(SUM(M48:P48)/H48,4)</f>
        <v>1.06E-2</v>
      </c>
    </row>
    <row r="49" spans="1:20" x14ac:dyDescent="0.25">
      <c r="A49" s="120">
        <f t="shared" si="21"/>
        <v>16</v>
      </c>
      <c r="B49" s="3" t="s">
        <v>310</v>
      </c>
      <c r="C49" s="52" t="s">
        <v>54</v>
      </c>
      <c r="D49" s="431">
        <f>(Summary!$H$10*'Allocation of LF'!H33)-D50</f>
        <v>656765.07180344826</v>
      </c>
      <c r="E49" s="104">
        <f>(Summary!$H$10*'Allocation of LF'!I33)-E50</f>
        <v>329630.28910206427</v>
      </c>
      <c r="F49" s="104">
        <f>(Summary!$H$10*'Allocation of LF'!J33)-F50</f>
        <v>0</v>
      </c>
      <c r="G49" s="104">
        <f>(Summary!$H$10*'Allocation of LF'!K33)-G50</f>
        <v>5318.7878462157405</v>
      </c>
      <c r="H49" s="18">
        <f t="shared" si="29"/>
        <v>991714.14875172824</v>
      </c>
      <c r="I49" s="438">
        <v>3.4826999999999999</v>
      </c>
      <c r="J49" s="248">
        <v>1.5094000000000001</v>
      </c>
      <c r="K49" s="248"/>
      <c r="L49" s="312">
        <v>1.4026000000000001</v>
      </c>
      <c r="M49" s="425">
        <f t="shared" ref="M49:M57" si="32">D49*I49</f>
        <v>2287315.7155698691</v>
      </c>
      <c r="N49" s="401">
        <f t="shared" si="30"/>
        <v>497543.95837065583</v>
      </c>
      <c r="O49" s="401">
        <f t="shared" si="30"/>
        <v>0</v>
      </c>
      <c r="P49" s="401">
        <f t="shared" si="30"/>
        <v>7460.1318331021976</v>
      </c>
      <c r="Q49" s="401">
        <f>(H49*34.9%*-0.6)</f>
        <v>-207664.94274861188</v>
      </c>
      <c r="R49" s="402">
        <f t="shared" si="31"/>
        <v>2584654.8630250152</v>
      </c>
      <c r="S49" s="312">
        <f>ROUND(SUM(M49:P50)/SUM(H49:H50),4)</f>
        <v>3.2549999999999999</v>
      </c>
      <c r="T49" s="108"/>
    </row>
    <row r="50" spans="1:20" x14ac:dyDescent="0.25">
      <c r="A50" s="120">
        <f t="shared" si="21"/>
        <v>17</v>
      </c>
      <c r="B50" s="3" t="s">
        <v>275</v>
      </c>
      <c r="C50" s="52" t="s">
        <v>54</v>
      </c>
      <c r="D50" s="60">
        <f>('Allocation of LF'!C34*'Rate Class Energy Model'!D37)*'Rate Class Energy Model'!D37</f>
        <v>295403.15705006669</v>
      </c>
      <c r="E50" s="5"/>
      <c r="F50" s="5"/>
      <c r="G50" s="5"/>
      <c r="H50" s="18">
        <f t="shared" si="29"/>
        <v>295403.15705006669</v>
      </c>
      <c r="I50" s="438">
        <v>4.7298</v>
      </c>
      <c r="J50" s="248"/>
      <c r="K50" s="248"/>
      <c r="L50" s="312"/>
      <c r="M50" s="425">
        <f t="shared" si="32"/>
        <v>1397197.8522154053</v>
      </c>
      <c r="N50" s="401">
        <f t="shared" si="30"/>
        <v>0</v>
      </c>
      <c r="O50" s="401">
        <f t="shared" si="30"/>
        <v>0</v>
      </c>
      <c r="P50" s="401">
        <f t="shared" si="30"/>
        <v>0</v>
      </c>
      <c r="Q50" s="401">
        <f>D50*-0.6</f>
        <v>-177241.89423003999</v>
      </c>
      <c r="R50" s="402">
        <f t="shared" si="31"/>
        <v>1219955.9579853653</v>
      </c>
      <c r="S50" s="312"/>
      <c r="T50" s="2"/>
    </row>
    <row r="51" spans="1:20" x14ac:dyDescent="0.25">
      <c r="A51" s="120">
        <f t="shared" si="21"/>
        <v>18</v>
      </c>
      <c r="B51" s="3" t="s">
        <v>387</v>
      </c>
      <c r="C51" s="52" t="s">
        <v>54</v>
      </c>
      <c r="D51" s="60">
        <f>'Rate Class Demand Model'!E37</f>
        <v>35187</v>
      </c>
      <c r="E51" s="5"/>
      <c r="F51" s="5"/>
      <c r="G51" s="5"/>
      <c r="H51" s="18">
        <f t="shared" si="29"/>
        <v>35187</v>
      </c>
      <c r="I51" s="438">
        <v>3.4954000000000001</v>
      </c>
      <c r="J51" s="248"/>
      <c r="K51" s="248"/>
      <c r="L51" s="312"/>
      <c r="M51" s="425">
        <f t="shared" si="32"/>
        <v>122992.6398</v>
      </c>
      <c r="N51" s="401">
        <f t="shared" si="30"/>
        <v>0</v>
      </c>
      <c r="O51" s="401">
        <f t="shared" si="30"/>
        <v>0</v>
      </c>
      <c r="P51" s="401">
        <f t="shared" si="30"/>
        <v>0</v>
      </c>
      <c r="Q51" s="401">
        <f>D51*-0.6</f>
        <v>-21112.2</v>
      </c>
      <c r="R51" s="402">
        <f t="shared" si="31"/>
        <v>101880.43980000001</v>
      </c>
      <c r="S51" s="312">
        <f>ROUND(SUM(M51:P53)/SUM(H51:H53),4)</f>
        <v>1.4802</v>
      </c>
      <c r="T51" s="108"/>
    </row>
    <row r="52" spans="1:20" x14ac:dyDescent="0.25">
      <c r="A52" s="120">
        <f t="shared" si="21"/>
        <v>19</v>
      </c>
      <c r="B52" s="488" t="s">
        <v>409</v>
      </c>
      <c r="C52" s="52" t="s">
        <v>54</v>
      </c>
      <c r="D52" s="60">
        <f>Summary!H24-'2016 Revenue at Old Rates'!D51</f>
        <v>51213</v>
      </c>
      <c r="E52" s="5"/>
      <c r="F52" s="5"/>
      <c r="G52" s="5"/>
      <c r="H52" s="18">
        <f t="shared" si="29"/>
        <v>51213</v>
      </c>
      <c r="I52" s="438">
        <v>1.7535000000000001</v>
      </c>
      <c r="J52" s="248"/>
      <c r="K52" s="248"/>
      <c r="L52" s="312"/>
      <c r="M52" s="425">
        <f t="shared" si="32"/>
        <v>89801.995500000005</v>
      </c>
      <c r="N52" s="401"/>
      <c r="O52" s="401"/>
      <c r="P52" s="401"/>
      <c r="Q52" s="401">
        <f>D52*-0.6</f>
        <v>-30727.8</v>
      </c>
      <c r="R52" s="402">
        <f t="shared" si="31"/>
        <v>59074.195500000002</v>
      </c>
      <c r="S52" s="312"/>
      <c r="T52" s="108"/>
    </row>
    <row r="53" spans="1:20" x14ac:dyDescent="0.25">
      <c r="A53" s="120">
        <f t="shared" si="21"/>
        <v>20</v>
      </c>
      <c r="B53" s="3" t="s">
        <v>312</v>
      </c>
      <c r="C53" s="52" t="s">
        <v>54</v>
      </c>
      <c r="D53" s="60"/>
      <c r="E53" s="5">
        <f>'Rate Class Demand Model'!F37</f>
        <v>59647</v>
      </c>
      <c r="F53" s="5"/>
      <c r="G53" s="5"/>
      <c r="H53" s="18">
        <f t="shared" si="29"/>
        <v>59647</v>
      </c>
      <c r="I53" s="438"/>
      <c r="J53" s="248">
        <v>5.67E-2</v>
      </c>
      <c r="K53" s="248"/>
      <c r="L53" s="312"/>
      <c r="M53" s="425">
        <f t="shared" si="32"/>
        <v>0</v>
      </c>
      <c r="N53" s="401">
        <f t="shared" si="30"/>
        <v>3381.9848999999999</v>
      </c>
      <c r="O53" s="401">
        <f t="shared" si="30"/>
        <v>0</v>
      </c>
      <c r="P53" s="401">
        <f t="shared" si="30"/>
        <v>0</v>
      </c>
      <c r="Q53" s="401">
        <f>E53*-0.6</f>
        <v>-35788.199999999997</v>
      </c>
      <c r="R53" s="402">
        <f t="shared" si="31"/>
        <v>-32406.215099999998</v>
      </c>
      <c r="S53" s="312"/>
    </row>
    <row r="54" spans="1:20" x14ac:dyDescent="0.25">
      <c r="A54" s="120">
        <f t="shared" si="21"/>
        <v>21</v>
      </c>
      <c r="B54" s="3" t="s">
        <v>386</v>
      </c>
      <c r="C54" s="421" t="s">
        <v>24</v>
      </c>
      <c r="D54" s="60">
        <f>Summary!$G$12*'Allocation of LF'!H26</f>
        <v>952242.96156267787</v>
      </c>
      <c r="E54" s="5">
        <f>Summary!$G$12*'Allocation of LF'!I26</f>
        <v>335832.03843732213</v>
      </c>
      <c r="F54" s="5">
        <f>Summary!$G$12*'Allocation of LF'!J26</f>
        <v>0</v>
      </c>
      <c r="G54" s="5">
        <f>Summary!$G$12*'Allocation of LF'!K26</f>
        <v>0</v>
      </c>
      <c r="H54" s="18">
        <f t="shared" si="29"/>
        <v>1288075</v>
      </c>
      <c r="I54" s="438">
        <v>8.0000000000000004E-4</v>
      </c>
      <c r="J54" s="248">
        <v>5.4999999999999997E-3</v>
      </c>
      <c r="K54" s="248"/>
      <c r="L54" s="312"/>
      <c r="M54" s="425">
        <f t="shared" si="32"/>
        <v>761.79436925014238</v>
      </c>
      <c r="N54" s="401">
        <f t="shared" si="30"/>
        <v>1847.0762114052716</v>
      </c>
      <c r="O54" s="401">
        <f t="shared" si="30"/>
        <v>0</v>
      </c>
      <c r="P54" s="401">
        <f t="shared" si="30"/>
        <v>0</v>
      </c>
      <c r="Q54" s="401"/>
      <c r="R54" s="402">
        <f t="shared" si="31"/>
        <v>2608.870580655414</v>
      </c>
      <c r="S54" s="312">
        <f t="shared" ref="S54:S57" si="33">ROUND(SUM(M54:P54)/H54,4)</f>
        <v>2E-3</v>
      </c>
    </row>
    <row r="55" spans="1:20" x14ac:dyDescent="0.25">
      <c r="A55" s="120">
        <f t="shared" si="21"/>
        <v>22</v>
      </c>
      <c r="B55" s="3" t="s">
        <v>385</v>
      </c>
      <c r="C55" s="421" t="s">
        <v>54</v>
      </c>
      <c r="D55" s="60">
        <f>Summary!$H$13*'Allocation of LF'!H38</f>
        <v>991.41335404857568</v>
      </c>
      <c r="E55" s="5">
        <f>Summary!$H$13*'Allocation of LF'!I38</f>
        <v>116.64653404056465</v>
      </c>
      <c r="F55" s="5">
        <f>Summary!$H$13*'Allocation of LF'!J38</f>
        <v>1.9401119108597229</v>
      </c>
      <c r="G55" s="5">
        <f>Summary!$H$13*'Allocation of LF'!K38</f>
        <v>0</v>
      </c>
      <c r="H55" s="18">
        <f t="shared" si="29"/>
        <v>1110</v>
      </c>
      <c r="I55" s="438">
        <v>0.61850000000000005</v>
      </c>
      <c r="J55" s="248">
        <v>1.0357000000000001</v>
      </c>
      <c r="K55" s="248">
        <v>5.2239000000000004</v>
      </c>
      <c r="L55" s="312"/>
      <c r="M55" s="425">
        <f t="shared" si="32"/>
        <v>613.18915947904406</v>
      </c>
      <c r="N55" s="401">
        <f t="shared" si="30"/>
        <v>120.81081530581281</v>
      </c>
      <c r="O55" s="401">
        <f t="shared" si="30"/>
        <v>10.134950611140107</v>
      </c>
      <c r="P55" s="401">
        <f t="shared" si="30"/>
        <v>0</v>
      </c>
      <c r="Q55" s="401"/>
      <c r="R55" s="402">
        <f t="shared" si="31"/>
        <v>744.13492539599702</v>
      </c>
      <c r="S55" s="312">
        <f t="shared" si="33"/>
        <v>0.6704</v>
      </c>
    </row>
    <row r="56" spans="1:20" x14ac:dyDescent="0.25">
      <c r="A56" s="120">
        <f t="shared" si="21"/>
        <v>23</v>
      </c>
      <c r="B56" s="3" t="s">
        <v>384</v>
      </c>
      <c r="C56" s="421" t="s">
        <v>54</v>
      </c>
      <c r="D56" s="60">
        <f>Summary!$H$14*'Allocation of LF'!H39</f>
        <v>15179.913409171471</v>
      </c>
      <c r="E56" s="5">
        <f>Summary!$H$14*'Allocation of LF'!I39</f>
        <v>3739.2410725475238</v>
      </c>
      <c r="F56" s="5">
        <f>Summary!$H$14*'Allocation of LF'!J39</f>
        <v>297.53119640216414</v>
      </c>
      <c r="G56" s="5">
        <f>Summary!$H$14*'Allocation of LF'!K39</f>
        <v>141.314321878838</v>
      </c>
      <c r="H56" s="18">
        <f t="shared" si="29"/>
        <v>19357.999999999996</v>
      </c>
      <c r="I56" s="438">
        <v>1.2859</v>
      </c>
      <c r="J56" s="248">
        <v>0.6069</v>
      </c>
      <c r="K56" s="248">
        <v>3.0966</v>
      </c>
      <c r="L56" s="312">
        <v>3.5493999999999999</v>
      </c>
      <c r="M56" s="425">
        <f>D56*I56</f>
        <v>19519.850652853595</v>
      </c>
      <c r="N56" s="401">
        <f t="shared" si="30"/>
        <v>2269.345406929092</v>
      </c>
      <c r="O56" s="401">
        <f t="shared" si="30"/>
        <v>921.33510277894152</v>
      </c>
      <c r="P56" s="401">
        <f t="shared" si="30"/>
        <v>501.58105407674759</v>
      </c>
      <c r="Q56" s="401"/>
      <c r="R56" s="402">
        <f t="shared" si="31"/>
        <v>23212.112216638379</v>
      </c>
      <c r="S56" s="312">
        <f t="shared" si="33"/>
        <v>1.1991000000000001</v>
      </c>
    </row>
    <row r="57" spans="1:20" x14ac:dyDescent="0.25">
      <c r="A57" s="289">
        <f t="shared" ref="A57:A59" si="34">A56+1</f>
        <v>24</v>
      </c>
      <c r="B57" s="65" t="s">
        <v>303</v>
      </c>
      <c r="C57" s="422" t="s">
        <v>54</v>
      </c>
      <c r="D57" s="67">
        <f>Summary!H15</f>
        <v>11231</v>
      </c>
      <c r="E57" s="25"/>
      <c r="F57" s="25"/>
      <c r="G57" s="25"/>
      <c r="H57" s="68">
        <f t="shared" si="29"/>
        <v>11231</v>
      </c>
      <c r="I57" s="439">
        <v>0</v>
      </c>
      <c r="J57" s="250">
        <v>0</v>
      </c>
      <c r="K57" s="250">
        <v>0</v>
      </c>
      <c r="L57" s="268">
        <v>0</v>
      </c>
      <c r="M57" s="426">
        <f t="shared" si="32"/>
        <v>0</v>
      </c>
      <c r="N57" s="405"/>
      <c r="O57" s="405"/>
      <c r="P57" s="405"/>
      <c r="Q57" s="405"/>
      <c r="R57" s="406">
        <f t="shared" si="31"/>
        <v>0</v>
      </c>
      <c r="S57" s="268">
        <f t="shared" si="33"/>
        <v>0</v>
      </c>
    </row>
    <row r="58" spans="1:20" x14ac:dyDescent="0.25">
      <c r="A58" s="292">
        <f t="shared" si="34"/>
        <v>25</v>
      </c>
      <c r="B58" s="261" t="s">
        <v>18</v>
      </c>
      <c r="C58" s="299"/>
      <c r="D58" s="302"/>
      <c r="E58" s="262"/>
      <c r="F58" s="262"/>
      <c r="G58" s="262"/>
      <c r="H58" s="263"/>
      <c r="I58" s="146"/>
      <c r="J58" s="261"/>
      <c r="K58" s="261"/>
      <c r="L58" s="87"/>
      <c r="M58" s="434">
        <f>SUM(M47:M57)</f>
        <v>6768454.0264375824</v>
      </c>
      <c r="N58" s="408">
        <f t="shared" ref="N58:R58" si="35">SUM(N47:N56)</f>
        <v>1395600.59550231</v>
      </c>
      <c r="O58" s="408">
        <f t="shared" si="35"/>
        <v>75052.411119758413</v>
      </c>
      <c r="P58" s="408">
        <f t="shared" si="35"/>
        <v>29893.156561348667</v>
      </c>
      <c r="Q58" s="408">
        <f t="shared" si="35"/>
        <v>-472535.03697865189</v>
      </c>
      <c r="R58" s="409">
        <f t="shared" si="35"/>
        <v>7796465.1526423478</v>
      </c>
      <c r="S58" s="409"/>
    </row>
    <row r="59" spans="1:20" s="34" customFormat="1" ht="30" customHeight="1" x14ac:dyDescent="0.25">
      <c r="A59" s="410">
        <f t="shared" si="34"/>
        <v>26</v>
      </c>
      <c r="B59" s="411" t="s">
        <v>319</v>
      </c>
      <c r="C59" s="423"/>
      <c r="D59" s="432"/>
      <c r="E59" s="412"/>
      <c r="F59" s="412"/>
      <c r="G59" s="412"/>
      <c r="H59" s="433"/>
      <c r="I59" s="440"/>
      <c r="J59" s="411"/>
      <c r="K59" s="411"/>
      <c r="L59" s="441"/>
      <c r="M59" s="435">
        <f>M45+M58</f>
        <v>15544685.346437585</v>
      </c>
      <c r="N59" s="413">
        <f t="shared" ref="N59:R59" si="36">N45+N58</f>
        <v>2801280.7155023096</v>
      </c>
      <c r="O59" s="413">
        <f t="shared" si="36"/>
        <v>195177.45111975839</v>
      </c>
      <c r="P59" s="413">
        <f t="shared" si="36"/>
        <v>78659.236561348662</v>
      </c>
      <c r="Q59" s="413">
        <f t="shared" si="36"/>
        <v>-472535.03697865189</v>
      </c>
      <c r="R59" s="414">
        <f t="shared" si="36"/>
        <v>18147267.712642349</v>
      </c>
      <c r="S59" s="414"/>
    </row>
    <row r="60" spans="1:20" x14ac:dyDescent="0.25">
      <c r="A60" s="400"/>
      <c r="B60" s="13"/>
      <c r="C60" s="31"/>
      <c r="D60" s="1"/>
      <c r="E60" s="1"/>
      <c r="F60" s="1"/>
      <c r="G60" s="1"/>
      <c r="H60" s="1"/>
    </row>
    <row r="61" spans="1:20" x14ac:dyDescent="0.25">
      <c r="A61" s="396"/>
      <c r="B61" s="3"/>
      <c r="C61" s="31"/>
      <c r="D61" s="1"/>
      <c r="E61" s="1"/>
      <c r="F61" s="1"/>
      <c r="G61" s="1"/>
      <c r="H61" s="1"/>
    </row>
    <row r="62" spans="1:20" x14ac:dyDescent="0.25">
      <c r="A62" s="396"/>
      <c r="B62" s="3"/>
      <c r="C62" s="31"/>
      <c r="D62" s="1"/>
      <c r="E62" s="1"/>
      <c r="F62" s="1"/>
      <c r="G62" s="1"/>
      <c r="H62" s="1"/>
      <c r="R62" s="399"/>
    </row>
    <row r="63" spans="1:20" x14ac:dyDescent="0.25">
      <c r="A63" s="396"/>
      <c r="B63" s="3"/>
      <c r="C63" s="31"/>
      <c r="D63" s="1"/>
      <c r="E63" s="1"/>
      <c r="F63" s="1"/>
      <c r="G63" s="1"/>
      <c r="H63" s="1"/>
    </row>
    <row r="64" spans="1:20" x14ac:dyDescent="0.25">
      <c r="A64" s="396"/>
      <c r="B64" s="3"/>
      <c r="C64" s="31"/>
      <c r="D64" s="1"/>
      <c r="E64" s="1"/>
      <c r="F64" s="1"/>
      <c r="G64" s="1"/>
      <c r="H64" s="1"/>
    </row>
    <row r="65" spans="1:20" x14ac:dyDescent="0.25">
      <c r="A65" s="396"/>
      <c r="B65" s="3"/>
      <c r="C65" s="31"/>
      <c r="D65" s="1"/>
      <c r="E65" s="1"/>
      <c r="F65" s="1"/>
      <c r="G65" s="1"/>
      <c r="H65" s="1"/>
      <c r="R65" s="399"/>
      <c r="T65" s="399"/>
    </row>
    <row r="66" spans="1:20" x14ac:dyDescent="0.25">
      <c r="A66" s="396"/>
      <c r="B66" s="3"/>
      <c r="C66" s="31"/>
      <c r="D66" s="1"/>
      <c r="E66" s="1"/>
      <c r="F66" s="1"/>
      <c r="G66" s="1"/>
      <c r="H66" s="1"/>
      <c r="R66" s="399"/>
      <c r="T66" s="399"/>
    </row>
    <row r="67" spans="1:20" x14ac:dyDescent="0.25">
      <c r="A67" s="396"/>
      <c r="B67" s="3"/>
      <c r="C67" s="31"/>
      <c r="D67" s="1"/>
      <c r="E67" s="1"/>
      <c r="F67" s="1"/>
      <c r="G67" s="1"/>
      <c r="H67" s="1"/>
      <c r="R67" s="399"/>
      <c r="T67" s="399"/>
    </row>
    <row r="68" spans="1:20" x14ac:dyDescent="0.25">
      <c r="A68" s="396"/>
      <c r="B68" s="3"/>
      <c r="C68" s="31"/>
      <c r="D68" s="1"/>
      <c r="E68" s="1"/>
      <c r="F68" s="1"/>
      <c r="G68" s="1"/>
      <c r="H68" s="1"/>
      <c r="R68" s="399"/>
      <c r="T68" s="399"/>
    </row>
    <row r="69" spans="1:20" x14ac:dyDescent="0.25">
      <c r="A69" s="396"/>
      <c r="B69" s="3"/>
      <c r="C69" s="31"/>
      <c r="D69" s="1"/>
      <c r="E69" s="1"/>
      <c r="F69" s="1"/>
      <c r="G69" s="1"/>
      <c r="H69" s="1"/>
      <c r="R69" s="399"/>
      <c r="T69" s="399"/>
    </row>
    <row r="70" spans="1:20" x14ac:dyDescent="0.25">
      <c r="R70" s="399"/>
      <c r="T70" s="399"/>
    </row>
    <row r="71" spans="1:20" x14ac:dyDescent="0.25">
      <c r="R71" s="399"/>
      <c r="T71" s="399"/>
    </row>
    <row r="72" spans="1:20" x14ac:dyDescent="0.25">
      <c r="R72" s="399"/>
      <c r="T72" s="399"/>
    </row>
    <row r="73" spans="1:20" x14ac:dyDescent="0.25">
      <c r="R73" s="399"/>
      <c r="T73" s="399"/>
    </row>
    <row r="74" spans="1:20" x14ac:dyDescent="0.25">
      <c r="R74" s="399"/>
      <c r="T74" s="399"/>
    </row>
    <row r="75" spans="1:20" x14ac:dyDescent="0.25">
      <c r="R75" s="399"/>
    </row>
  </sheetData>
  <mergeCells count="9">
    <mergeCell ref="Q5:Q6"/>
    <mergeCell ref="R5:R6"/>
    <mergeCell ref="S5:S6"/>
    <mergeCell ref="A5:A6"/>
    <mergeCell ref="B5:B6"/>
    <mergeCell ref="C5:C6"/>
    <mergeCell ref="D5:H5"/>
    <mergeCell ref="I5:L5"/>
    <mergeCell ref="M5:P5"/>
  </mergeCells>
  <pageMargins left="0.7" right="0.7" top="0.75" bottom="0.75" header="0.3" footer="0.3"/>
  <pageSetup scale="50" orientation="landscape"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30" t="s">
        <v>0</v>
      </c>
      <c r="B1" s="30"/>
      <c r="C1" s="97"/>
      <c r="D1" s="96"/>
      <c r="E1" s="96"/>
    </row>
    <row r="2" spans="1:8" ht="18.75" x14ac:dyDescent="0.3">
      <c r="A2" s="30" t="s">
        <v>1</v>
      </c>
      <c r="B2" s="30"/>
      <c r="C2" s="97"/>
      <c r="D2" s="96"/>
      <c r="E2" s="96"/>
    </row>
    <row r="3" spans="1:8" ht="19.5" thickBot="1" x14ac:dyDescent="0.35">
      <c r="A3" s="32" t="s">
        <v>69</v>
      </c>
      <c r="B3" s="32"/>
      <c r="C3" s="98"/>
      <c r="D3" s="99"/>
      <c r="E3" s="99"/>
    </row>
    <row r="5" spans="1:8" ht="15.75" x14ac:dyDescent="0.25">
      <c r="A5" s="105" t="s">
        <v>20</v>
      </c>
      <c r="B5" s="105" t="s">
        <v>23</v>
      </c>
      <c r="C5" s="106" t="s">
        <v>226</v>
      </c>
      <c r="D5" s="106" t="s">
        <v>227</v>
      </c>
      <c r="E5" s="106" t="s">
        <v>18</v>
      </c>
    </row>
    <row r="6" spans="1:8" x14ac:dyDescent="0.25">
      <c r="A6" s="3">
        <v>2012</v>
      </c>
      <c r="B6" s="3" t="s">
        <v>74</v>
      </c>
      <c r="C6" s="5"/>
      <c r="D6" s="5"/>
      <c r="E6" s="5"/>
      <c r="G6">
        <v>518.64</v>
      </c>
      <c r="H6">
        <v>2104.15</v>
      </c>
    </row>
    <row r="7" spans="1:8" x14ac:dyDescent="0.25">
      <c r="A7" s="3">
        <v>2012</v>
      </c>
      <c r="B7" s="3" t="s">
        <v>75</v>
      </c>
      <c r="C7" s="5"/>
      <c r="D7" s="5"/>
      <c r="E7" s="5"/>
      <c r="G7">
        <v>496.98</v>
      </c>
      <c r="H7">
        <v>2061.9699999999998</v>
      </c>
    </row>
    <row r="8" spans="1:8" x14ac:dyDescent="0.25">
      <c r="A8" s="3">
        <v>2012</v>
      </c>
      <c r="B8" s="3" t="s">
        <v>76</v>
      </c>
      <c r="C8" s="5"/>
      <c r="D8" s="5"/>
      <c r="E8" s="5"/>
      <c r="G8">
        <v>519.04</v>
      </c>
      <c r="H8">
        <v>2433.21</v>
      </c>
    </row>
    <row r="9" spans="1:8" x14ac:dyDescent="0.25">
      <c r="A9" s="3">
        <v>2012</v>
      </c>
      <c r="B9" s="3" t="s">
        <v>77</v>
      </c>
      <c r="C9" s="5"/>
      <c r="D9" s="5"/>
      <c r="E9" s="5"/>
      <c r="G9">
        <v>527.66</v>
      </c>
      <c r="H9">
        <v>2221.08</v>
      </c>
    </row>
    <row r="10" spans="1:8" x14ac:dyDescent="0.25">
      <c r="A10" s="3">
        <v>2012</v>
      </c>
      <c r="B10" s="3" t="s">
        <v>86</v>
      </c>
      <c r="C10" s="5"/>
      <c r="D10" s="5"/>
      <c r="E10" s="5"/>
      <c r="G10">
        <v>553.79</v>
      </c>
      <c r="H10">
        <v>2203.9299999999998</v>
      </c>
    </row>
    <row r="11" spans="1:8" x14ac:dyDescent="0.25">
      <c r="A11" s="3">
        <v>2012</v>
      </c>
      <c r="B11" s="3" t="s">
        <v>79</v>
      </c>
      <c r="C11" s="5"/>
      <c r="D11" s="5"/>
      <c r="E11" s="5"/>
      <c r="G11">
        <v>619.23</v>
      </c>
      <c r="H11">
        <v>1740.81</v>
      </c>
    </row>
    <row r="12" spans="1:8" x14ac:dyDescent="0.25">
      <c r="A12" s="3">
        <v>2012</v>
      </c>
      <c r="B12" s="3" t="s">
        <v>80</v>
      </c>
      <c r="C12" s="5">
        <v>74737.39</v>
      </c>
      <c r="D12" s="5"/>
      <c r="E12" s="5">
        <f t="shared" ref="E12:E41" si="0">SUM(C12:D12)</f>
        <v>74737.39</v>
      </c>
      <c r="G12">
        <v>688.25</v>
      </c>
      <c r="H12">
        <v>1529.86</v>
      </c>
    </row>
    <row r="13" spans="1:8" x14ac:dyDescent="0.25">
      <c r="A13" s="3">
        <v>2012</v>
      </c>
      <c r="B13" s="3" t="s">
        <v>81</v>
      </c>
      <c r="C13" s="5">
        <v>357467.14</v>
      </c>
      <c r="D13" s="5"/>
      <c r="E13" s="5">
        <f t="shared" si="0"/>
        <v>357467.14</v>
      </c>
      <c r="G13">
        <v>706.44</v>
      </c>
      <c r="H13">
        <v>2462.25</v>
      </c>
    </row>
    <row r="14" spans="1:8" x14ac:dyDescent="0.25">
      <c r="A14" s="3">
        <v>2012</v>
      </c>
      <c r="B14" s="3" t="s">
        <v>82</v>
      </c>
      <c r="C14" s="5">
        <v>403916.21</v>
      </c>
      <c r="D14" s="5"/>
      <c r="E14" s="5">
        <f t="shared" si="0"/>
        <v>403916.21</v>
      </c>
      <c r="G14">
        <v>699.9</v>
      </c>
    </row>
    <row r="15" spans="1:8" x14ac:dyDescent="0.25">
      <c r="A15" s="3">
        <v>2012</v>
      </c>
      <c r="B15" s="3" t="s">
        <v>83</v>
      </c>
      <c r="C15" s="5">
        <v>360856.57</v>
      </c>
      <c r="D15" s="5"/>
      <c r="E15" s="5">
        <f t="shared" si="0"/>
        <v>360856.57</v>
      </c>
      <c r="G15">
        <v>713.29</v>
      </c>
    </row>
    <row r="16" spans="1:8" x14ac:dyDescent="0.25">
      <c r="A16" s="3">
        <v>2012</v>
      </c>
      <c r="B16" s="3" t="s">
        <v>84</v>
      </c>
      <c r="C16" s="5">
        <v>345522.85</v>
      </c>
      <c r="D16" s="5"/>
      <c r="E16" s="5">
        <f t="shared" si="0"/>
        <v>345522.85</v>
      </c>
      <c r="G16">
        <v>683.63</v>
      </c>
    </row>
    <row r="17" spans="1:7" x14ac:dyDescent="0.25">
      <c r="A17" s="3">
        <v>2012</v>
      </c>
      <c r="B17" s="3" t="s">
        <v>85</v>
      </c>
      <c r="C17" s="5">
        <v>319828.12</v>
      </c>
      <c r="D17" s="5"/>
      <c r="E17" s="5">
        <f t="shared" si="0"/>
        <v>319828.12</v>
      </c>
      <c r="G17">
        <v>613.13</v>
      </c>
    </row>
    <row r="18" spans="1:7" x14ac:dyDescent="0.25">
      <c r="A18" s="3">
        <v>2013</v>
      </c>
      <c r="B18" s="3" t="s">
        <v>74</v>
      </c>
      <c r="C18" s="5">
        <v>342215.98</v>
      </c>
      <c r="D18" s="5"/>
      <c r="E18" s="5">
        <f t="shared" si="0"/>
        <v>342215.98</v>
      </c>
      <c r="G18">
        <v>512.32000000000005</v>
      </c>
    </row>
    <row r="19" spans="1:7" x14ac:dyDescent="0.25">
      <c r="A19" s="3">
        <v>2013</v>
      </c>
      <c r="B19" s="3" t="s">
        <v>75</v>
      </c>
      <c r="C19" s="5">
        <v>327976.34000000003</v>
      </c>
      <c r="D19" s="5"/>
      <c r="E19" s="5">
        <f t="shared" si="0"/>
        <v>327976.34000000003</v>
      </c>
      <c r="G19">
        <v>504.38</v>
      </c>
    </row>
    <row r="20" spans="1:7" x14ac:dyDescent="0.25">
      <c r="A20" s="3">
        <v>2013</v>
      </c>
      <c r="B20" s="3" t="s">
        <v>76</v>
      </c>
      <c r="C20" s="5">
        <v>285028.32</v>
      </c>
      <c r="D20" s="5"/>
      <c r="E20" s="5">
        <f t="shared" si="0"/>
        <v>285028.32</v>
      </c>
      <c r="G20">
        <v>518.77</v>
      </c>
    </row>
    <row r="21" spans="1:7" x14ac:dyDescent="0.25">
      <c r="A21" s="3">
        <v>2013</v>
      </c>
      <c r="B21" s="3" t="s">
        <v>77</v>
      </c>
      <c r="C21" s="5">
        <v>315529.03000000003</v>
      </c>
      <c r="D21" s="5"/>
      <c r="E21" s="5">
        <f t="shared" si="0"/>
        <v>315529.03000000003</v>
      </c>
      <c r="G21">
        <v>534.20000000000005</v>
      </c>
    </row>
    <row r="22" spans="1:7" x14ac:dyDescent="0.25">
      <c r="A22" s="3">
        <v>2013</v>
      </c>
      <c r="B22" s="3" t="s">
        <v>86</v>
      </c>
      <c r="C22" s="5">
        <v>318430.2</v>
      </c>
      <c r="D22" s="5"/>
      <c r="E22" s="5">
        <f t="shared" si="0"/>
        <v>318430.2</v>
      </c>
      <c r="G22">
        <v>547.87</v>
      </c>
    </row>
    <row r="23" spans="1:7" x14ac:dyDescent="0.25">
      <c r="A23" s="3">
        <v>2013</v>
      </c>
      <c r="B23" s="3" t="s">
        <v>79</v>
      </c>
      <c r="C23" s="5">
        <v>370097.98</v>
      </c>
      <c r="D23" s="5"/>
      <c r="E23" s="5">
        <f t="shared" si="0"/>
        <v>370097.98</v>
      </c>
      <c r="G23">
        <v>666.32</v>
      </c>
    </row>
    <row r="24" spans="1:7" x14ac:dyDescent="0.25">
      <c r="A24" s="3">
        <v>2013</v>
      </c>
      <c r="B24" s="3" t="s">
        <v>80</v>
      </c>
      <c r="C24" s="5">
        <v>390317.12</v>
      </c>
      <c r="D24" s="5"/>
      <c r="E24" s="5">
        <f t="shared" si="0"/>
        <v>390317.12</v>
      </c>
      <c r="G24">
        <v>764.12</v>
      </c>
    </row>
    <row r="25" spans="1:7" x14ac:dyDescent="0.25">
      <c r="A25" s="3">
        <v>2013</v>
      </c>
      <c r="B25" s="3" t="s">
        <v>81</v>
      </c>
      <c r="C25" s="5">
        <v>422035.93</v>
      </c>
      <c r="D25" s="5"/>
      <c r="E25" s="5">
        <f t="shared" si="0"/>
        <v>422035.93</v>
      </c>
      <c r="G25">
        <v>733.9</v>
      </c>
    </row>
    <row r="26" spans="1:7" x14ac:dyDescent="0.25">
      <c r="A26" s="3">
        <v>2013</v>
      </c>
      <c r="B26" s="3" t="s">
        <v>82</v>
      </c>
      <c r="C26" s="5">
        <v>402643.29</v>
      </c>
      <c r="D26" s="5"/>
      <c r="E26" s="5">
        <f t="shared" si="0"/>
        <v>402643.29</v>
      </c>
      <c r="G26">
        <v>769.94</v>
      </c>
    </row>
    <row r="27" spans="1:7" x14ac:dyDescent="0.25">
      <c r="A27" s="3">
        <v>2013</v>
      </c>
      <c r="B27" s="3" t="s">
        <v>83</v>
      </c>
      <c r="C27" s="5">
        <v>361475.37</v>
      </c>
      <c r="D27" s="5"/>
      <c r="E27" s="5">
        <f t="shared" si="0"/>
        <v>361475.37</v>
      </c>
      <c r="G27">
        <v>770.96</v>
      </c>
    </row>
    <row r="28" spans="1:7" x14ac:dyDescent="0.25">
      <c r="A28" s="3">
        <v>2013</v>
      </c>
      <c r="B28" s="3" t="s">
        <v>84</v>
      </c>
      <c r="C28" s="5">
        <v>348244.32</v>
      </c>
      <c r="D28" s="5"/>
      <c r="E28" s="5">
        <f t="shared" si="0"/>
        <v>348244.32</v>
      </c>
      <c r="G28">
        <v>736.76</v>
      </c>
    </row>
    <row r="29" spans="1:7" x14ac:dyDescent="0.25">
      <c r="A29" s="3">
        <v>2013</v>
      </c>
      <c r="B29" s="3" t="s">
        <v>85</v>
      </c>
      <c r="C29" s="5">
        <v>316294.63</v>
      </c>
      <c r="D29" s="5"/>
      <c r="E29" s="5">
        <f t="shared" si="0"/>
        <v>316294.63</v>
      </c>
      <c r="G29">
        <v>660.06</v>
      </c>
    </row>
    <row r="30" spans="1:7" x14ac:dyDescent="0.25">
      <c r="A30" s="3">
        <v>2014</v>
      </c>
      <c r="B30" s="3" t="s">
        <v>74</v>
      </c>
      <c r="C30" s="5">
        <v>338538.32</v>
      </c>
      <c r="D30" s="5"/>
      <c r="E30" s="5">
        <f t="shared" si="0"/>
        <v>338538.32</v>
      </c>
      <c r="G30">
        <v>531.9</v>
      </c>
    </row>
    <row r="31" spans="1:7" x14ac:dyDescent="0.25">
      <c r="A31" s="3">
        <v>2014</v>
      </c>
      <c r="B31" s="3" t="s">
        <v>75</v>
      </c>
      <c r="C31" s="5">
        <v>324111.21000000002</v>
      </c>
      <c r="D31" s="5"/>
      <c r="E31" s="5">
        <f t="shared" si="0"/>
        <v>324111.21000000002</v>
      </c>
      <c r="G31">
        <v>515.74</v>
      </c>
    </row>
    <row r="32" spans="1:7" x14ac:dyDescent="0.25">
      <c r="A32" s="3">
        <v>2014</v>
      </c>
      <c r="B32" s="3" t="s">
        <v>76</v>
      </c>
      <c r="C32" s="5">
        <v>284822.09999999998</v>
      </c>
      <c r="D32" s="5"/>
      <c r="E32" s="5">
        <f t="shared" si="0"/>
        <v>284822.09999999998</v>
      </c>
      <c r="G32">
        <v>543.85</v>
      </c>
    </row>
    <row r="33" spans="1:12" x14ac:dyDescent="0.25">
      <c r="A33" s="3">
        <v>2014</v>
      </c>
      <c r="B33" s="3" t="s">
        <v>77</v>
      </c>
      <c r="C33" s="5">
        <v>315535.26</v>
      </c>
      <c r="D33" s="5"/>
      <c r="E33" s="5">
        <f t="shared" si="0"/>
        <v>315535.26</v>
      </c>
      <c r="G33">
        <v>557.83000000000004</v>
      </c>
    </row>
    <row r="34" spans="1:12" x14ac:dyDescent="0.25">
      <c r="A34" s="3">
        <v>2014</v>
      </c>
      <c r="B34" s="3" t="s">
        <v>86</v>
      </c>
      <c r="C34" s="5">
        <v>317535.92</v>
      </c>
      <c r="D34" s="5"/>
      <c r="E34" s="5">
        <f t="shared" si="0"/>
        <v>317535.92</v>
      </c>
      <c r="G34">
        <v>559.02</v>
      </c>
    </row>
    <row r="35" spans="1:12" x14ac:dyDescent="0.25">
      <c r="A35" s="3">
        <v>2014</v>
      </c>
      <c r="B35" s="3" t="s">
        <v>79</v>
      </c>
      <c r="C35" s="5">
        <v>354601.21</v>
      </c>
      <c r="D35" s="5"/>
      <c r="E35" s="5">
        <f t="shared" si="0"/>
        <v>354601.21</v>
      </c>
      <c r="G35">
        <v>638.95000000000005</v>
      </c>
    </row>
    <row r="36" spans="1:12" x14ac:dyDescent="0.25">
      <c r="A36" s="3">
        <v>2014</v>
      </c>
      <c r="B36" s="3" t="s">
        <v>80</v>
      </c>
      <c r="C36" s="5">
        <v>381552.06</v>
      </c>
      <c r="D36" s="5"/>
      <c r="E36" s="5">
        <f t="shared" si="0"/>
        <v>381552.06</v>
      </c>
      <c r="G36">
        <v>698.95</v>
      </c>
    </row>
    <row r="37" spans="1:12" x14ac:dyDescent="0.25">
      <c r="A37" s="3">
        <v>2014</v>
      </c>
      <c r="B37" s="3" t="s">
        <v>81</v>
      </c>
      <c r="C37" s="5">
        <v>387954.8</v>
      </c>
      <c r="D37" s="5"/>
      <c r="E37" s="5">
        <f t="shared" si="0"/>
        <v>387954.8</v>
      </c>
      <c r="G37">
        <v>759.43</v>
      </c>
    </row>
    <row r="38" spans="1:12" x14ac:dyDescent="0.25">
      <c r="A38" s="3">
        <v>2014</v>
      </c>
      <c r="B38" s="3" t="s">
        <v>82</v>
      </c>
      <c r="C38" s="5">
        <v>396158.93</v>
      </c>
      <c r="D38" s="5">
        <v>454713.28</v>
      </c>
      <c r="E38" s="5">
        <f t="shared" si="0"/>
        <v>850872.21</v>
      </c>
      <c r="G38">
        <v>757.92</v>
      </c>
    </row>
    <row r="39" spans="1:12" x14ac:dyDescent="0.25">
      <c r="A39" s="3">
        <v>2014</v>
      </c>
      <c r="B39" s="3" t="s">
        <v>83</v>
      </c>
      <c r="C39" s="5">
        <v>358649.47</v>
      </c>
      <c r="D39" s="5">
        <v>404007.62</v>
      </c>
      <c r="E39" s="5">
        <f t="shared" si="0"/>
        <v>762657.09</v>
      </c>
      <c r="G39">
        <v>783.36</v>
      </c>
    </row>
    <row r="40" spans="1:12" x14ac:dyDescent="0.25">
      <c r="A40" s="3">
        <v>2014</v>
      </c>
      <c r="B40" s="3" t="s">
        <v>84</v>
      </c>
      <c r="C40" s="5">
        <v>341589.21</v>
      </c>
      <c r="D40" s="5">
        <v>366238.71999999997</v>
      </c>
      <c r="E40" s="5">
        <f t="shared" si="0"/>
        <v>707827.92999999993</v>
      </c>
    </row>
    <row r="41" spans="1:12" x14ac:dyDescent="0.25">
      <c r="A41" s="3">
        <v>2014</v>
      </c>
      <c r="B41" s="3" t="s">
        <v>85</v>
      </c>
      <c r="C41" s="5">
        <v>281523.98</v>
      </c>
      <c r="D41" s="5">
        <v>522494.43</v>
      </c>
      <c r="E41" s="5">
        <f t="shared" si="0"/>
        <v>804018.40999999992</v>
      </c>
    </row>
    <row r="42" spans="1:12" x14ac:dyDescent="0.25">
      <c r="A42" s="3">
        <v>2015</v>
      </c>
      <c r="B42" s="3" t="s">
        <v>74</v>
      </c>
      <c r="C42" s="5">
        <f>(SUM(C$30:C$41)*'Rate Class Energy Model'!$D$37)*C30/(SUM(C$30:C$41))</f>
        <v>351970.21567424102</v>
      </c>
      <c r="D42" s="5">
        <v>549982.03</v>
      </c>
      <c r="E42" s="5">
        <f t="shared" ref="E42:E65" si="1">SUM(C42:D42)</f>
        <v>901952.2456742411</v>
      </c>
      <c r="K42" s="1">
        <v>333660.86</v>
      </c>
      <c r="L42" s="1">
        <v>549982.03</v>
      </c>
    </row>
    <row r="43" spans="1:12" x14ac:dyDescent="0.25">
      <c r="A43" s="3">
        <v>2015</v>
      </c>
      <c r="B43" s="3" t="s">
        <v>75</v>
      </c>
      <c r="C43" s="5">
        <f>(SUM(C$30:C$41)*'Rate Class Energy Model'!$D$37)*C31/(SUM(C$30:C$41))</f>
        <v>336970.6935573474</v>
      </c>
      <c r="D43" s="5">
        <v>557403.30000000005</v>
      </c>
      <c r="E43" s="5">
        <f t="shared" si="1"/>
        <v>894373.99355734745</v>
      </c>
      <c r="K43" s="1">
        <v>319169.96999999997</v>
      </c>
      <c r="L43" s="1">
        <v>557403.30000000005</v>
      </c>
    </row>
    <row r="44" spans="1:12" x14ac:dyDescent="0.25">
      <c r="A44" s="3">
        <v>2015</v>
      </c>
      <c r="B44" s="3" t="s">
        <v>76</v>
      </c>
      <c r="C44" s="5">
        <f>(SUM(C$30:C$41)*'Rate Class Energy Model'!$D$37)*C32/(SUM(C$30:C$41))</f>
        <v>296122.74310863903</v>
      </c>
      <c r="D44" s="5">
        <v>327524.89</v>
      </c>
      <c r="E44" s="5">
        <f t="shared" si="1"/>
        <v>623647.63310863904</v>
      </c>
      <c r="G44" s="108">
        <f>SUM(D38:D41)</f>
        <v>1747454.05</v>
      </c>
      <c r="K44" s="1">
        <v>285079.36</v>
      </c>
      <c r="L44" s="1">
        <v>327524.89</v>
      </c>
    </row>
    <row r="45" spans="1:12" x14ac:dyDescent="0.25">
      <c r="A45" s="3">
        <v>2015</v>
      </c>
      <c r="B45" s="3" t="s">
        <v>77</v>
      </c>
      <c r="C45" s="5">
        <f>(SUM(C$30:C$41)*'Rate Class Energy Model'!$D$37)*C33/(SUM(C$30:C$41))</f>
        <v>328054.48291652097</v>
      </c>
      <c r="D45" s="5">
        <v>319225.11</v>
      </c>
      <c r="E45" s="5">
        <f t="shared" si="1"/>
        <v>647279.59291652101</v>
      </c>
      <c r="K45" s="1">
        <v>320064.61</v>
      </c>
      <c r="L45" s="1">
        <v>319225.11</v>
      </c>
    </row>
    <row r="46" spans="1:12" x14ac:dyDescent="0.25">
      <c r="A46" s="3">
        <v>2015</v>
      </c>
      <c r="B46" s="3" t="s">
        <v>78</v>
      </c>
      <c r="C46" s="5">
        <f>(SUM(C$30:C$41)*'Rate Class Energy Model'!$D$37)*C34/(SUM(C$30:C$41))</f>
        <v>330134.5213939696</v>
      </c>
      <c r="D46" s="103">
        <f>D45</f>
        <v>319225.11</v>
      </c>
      <c r="E46" s="5">
        <f t="shared" si="1"/>
        <v>649359.63139396952</v>
      </c>
    </row>
    <row r="47" spans="1:12" x14ac:dyDescent="0.25">
      <c r="A47" s="3">
        <v>2015</v>
      </c>
      <c r="B47" s="3" t="s">
        <v>79</v>
      </c>
      <c r="C47" s="5">
        <f>(SUM(C$30:C$41)*'Rate Class Energy Model'!$D$37)*C35/(SUM(C$30:C$41))</f>
        <v>368670.41923657811</v>
      </c>
      <c r="D47" s="103">
        <f>D39</f>
        <v>404007.62</v>
      </c>
      <c r="E47" s="5">
        <f t="shared" si="1"/>
        <v>772678.03923657816</v>
      </c>
    </row>
    <row r="48" spans="1:12" x14ac:dyDescent="0.25">
      <c r="A48" s="3">
        <v>2015</v>
      </c>
      <c r="B48" s="3" t="s">
        <v>80</v>
      </c>
      <c r="C48" s="5">
        <f>(SUM(C$30:C$41)*'Rate Class Energy Model'!$D$37)*C36/(SUM(C$30:C$41))</f>
        <v>396690.57508512161</v>
      </c>
      <c r="D48" s="103">
        <f>D40</f>
        <v>366238.71999999997</v>
      </c>
      <c r="E48" s="5">
        <f t="shared" si="1"/>
        <v>762929.29508512164</v>
      </c>
    </row>
    <row r="49" spans="1:5" x14ac:dyDescent="0.25">
      <c r="A49" s="3">
        <v>2015</v>
      </c>
      <c r="B49" s="3" t="s">
        <v>81</v>
      </c>
      <c r="C49" s="5">
        <f>(SUM(C$30:C$41)*'Rate Class Energy Model'!$D$37)*C37/(SUM(C$30:C$41))</f>
        <v>403347.3511295768</v>
      </c>
      <c r="D49" s="103">
        <f>D38</f>
        <v>454713.28</v>
      </c>
      <c r="E49" s="5">
        <f t="shared" si="1"/>
        <v>858060.63112957682</v>
      </c>
    </row>
    <row r="50" spans="1:5" x14ac:dyDescent="0.25">
      <c r="A50" s="3">
        <v>2015</v>
      </c>
      <c r="B50" s="3" t="s">
        <v>82</v>
      </c>
      <c r="C50" s="5">
        <f>(SUM(C$30:C$41)*'Rate Class Energy Model'!$D$37)*C38/(SUM(C$30:C$41))</f>
        <v>411876.98938594759</v>
      </c>
      <c r="D50" s="5">
        <f>(SUM(D$38:D$49)*'Rate Class Energy Model'!$D$37)*D38/(SUM(D$38:D$49))</f>
        <v>472754.55030184344</v>
      </c>
      <c r="E50" s="5">
        <f t="shared" si="1"/>
        <v>884631.53968779102</v>
      </c>
    </row>
    <row r="51" spans="1:5" x14ac:dyDescent="0.25">
      <c r="A51" s="3">
        <v>2015</v>
      </c>
      <c r="B51" s="3" t="s">
        <v>83</v>
      </c>
      <c r="C51" s="5">
        <f>(SUM(C$30:C$41)*'Rate Class Energy Model'!$D$37)*C39/(SUM(C$30:C$41))</f>
        <v>372879.29858974967</v>
      </c>
      <c r="D51" s="5">
        <f>(SUM(D$38:D$49)*'Rate Class Energy Model'!$D$37)*D39/(SUM(D$38:D$49))</f>
        <v>420037.08515312773</v>
      </c>
      <c r="E51" s="5">
        <f t="shared" si="1"/>
        <v>792916.3837428774</v>
      </c>
    </row>
    <row r="52" spans="1:5" x14ac:dyDescent="0.25">
      <c r="A52" s="3">
        <v>2015</v>
      </c>
      <c r="B52" s="3" t="s">
        <v>84</v>
      </c>
      <c r="C52" s="5">
        <f>(SUM(C$30:C$41)*'Rate Class Energy Model'!$D$37)*C40/(SUM(C$30:C$41))</f>
        <v>355142.15323007928</v>
      </c>
      <c r="D52" s="5">
        <f>(SUM(D$38:D$49)*'Rate Class Energy Model'!$D$37)*D40/(SUM(D$38:D$49))</f>
        <v>380769.66077771632</v>
      </c>
      <c r="E52" s="5">
        <f t="shared" si="1"/>
        <v>735911.81400779565</v>
      </c>
    </row>
    <row r="53" spans="1:5" x14ac:dyDescent="0.25">
      <c r="A53" s="3">
        <v>2015</v>
      </c>
      <c r="B53" s="3" t="s">
        <v>85</v>
      </c>
      <c r="C53" s="5">
        <f>(SUM(C$30:C$41)*'Rate Class Energy Model'!$D$37)*C41/(SUM(C$30:C$41))</f>
        <v>292693.76641932497</v>
      </c>
      <c r="D53" s="5">
        <f>(SUM(D$38:D$49)*'Rate Class Energy Model'!$D$37)*D41/(SUM(D$38:D$49))</f>
        <v>543224.9950779269</v>
      </c>
      <c r="E53" s="5">
        <f t="shared" si="1"/>
        <v>835918.76149725192</v>
      </c>
    </row>
    <row r="54" spans="1:5" x14ac:dyDescent="0.25">
      <c r="A54" s="3">
        <v>2016</v>
      </c>
      <c r="B54" s="3" t="s">
        <v>74</v>
      </c>
      <c r="C54" s="5">
        <f>(SUM(C$42:C$53)*'Rate Class Energy Model'!$D$37)*C42/(SUM(C$42:C$53))</f>
        <v>365935.03719688725</v>
      </c>
      <c r="D54" s="5">
        <f>(SUM(D$38:D$49)*'Rate Class Energy Model'!$D$37)*D42/(SUM(D$38:D$49))</f>
        <v>571803.1970976193</v>
      </c>
      <c r="E54" s="5">
        <f t="shared" si="1"/>
        <v>937738.23429450649</v>
      </c>
    </row>
    <row r="55" spans="1:5" x14ac:dyDescent="0.25">
      <c r="A55" s="3">
        <v>2016</v>
      </c>
      <c r="B55" s="3" t="s">
        <v>75</v>
      </c>
      <c r="C55" s="5">
        <f>(SUM(C$42:C$53)*'Rate Class Energy Model'!$D$37)*C43/(SUM(C$42:C$53))</f>
        <v>350340.39185660909</v>
      </c>
      <c r="D55" s="5">
        <f>(SUM(D$38:D$49)*'Rate Class Energy Model'!$D$37)*D43/(SUM(D$38:D$49))</f>
        <v>579518.91448664863</v>
      </c>
      <c r="E55" s="5">
        <f t="shared" si="1"/>
        <v>929859.30634325766</v>
      </c>
    </row>
    <row r="56" spans="1:5" x14ac:dyDescent="0.25">
      <c r="A56" s="3">
        <v>2016</v>
      </c>
      <c r="B56" s="3" t="s">
        <v>76</v>
      </c>
      <c r="C56" s="5">
        <f>(SUM(C$42:C$53)*'Rate Class Energy Model'!$D$37)*C44/(SUM(C$42:C$53))</f>
        <v>307871.75217858801</v>
      </c>
      <c r="D56" s="5">
        <f>(SUM(D$38:D$49)*'Rate Class Energy Model'!$D$37)*D44/(SUM(D$38:D$49))</f>
        <v>340519.81522204657</v>
      </c>
      <c r="E56" s="5">
        <f t="shared" si="1"/>
        <v>648391.56740063452</v>
      </c>
    </row>
    <row r="57" spans="1:5" x14ac:dyDescent="0.25">
      <c r="A57" s="3">
        <v>2016</v>
      </c>
      <c r="B57" s="3" t="s">
        <v>77</v>
      </c>
      <c r="C57" s="5">
        <f>(SUM(C$42:C$53)*'Rate Class Energy Model'!$D$37)*C45/(SUM(C$42:C$53))</f>
        <v>341070.42034423008</v>
      </c>
      <c r="D57" s="5">
        <f>(SUM(D$38:D$49)*'Rate Class Energy Model'!$D$37)*D45/(SUM(D$38:D$49))</f>
        <v>331890.7319423494</v>
      </c>
      <c r="E57" s="5">
        <f t="shared" si="1"/>
        <v>672961.15228657948</v>
      </c>
    </row>
    <row r="58" spans="1:5" x14ac:dyDescent="0.25">
      <c r="A58" s="3">
        <v>2016</v>
      </c>
      <c r="B58" s="3" t="s">
        <v>78</v>
      </c>
      <c r="C58" s="5">
        <f>(SUM(C$42:C$53)*'Rate Class Energy Model'!$D$37)*C46/(SUM(C$42:C$53))</f>
        <v>343232.98673115589</v>
      </c>
      <c r="D58" s="5">
        <f>(SUM(D$38:D$49)*'Rate Class Energy Model'!$D$37)*D46/(SUM(D$38:D$49))</f>
        <v>331890.7319423494</v>
      </c>
      <c r="E58" s="5">
        <f t="shared" si="1"/>
        <v>675123.71867350535</v>
      </c>
    </row>
    <row r="59" spans="1:5" x14ac:dyDescent="0.25">
      <c r="A59" s="3">
        <v>2016</v>
      </c>
      <c r="B59" s="3" t="s">
        <v>79</v>
      </c>
      <c r="C59" s="5">
        <f>(SUM(C$42:C$53)*'Rate Class Energy Model'!$D$37)*C47/(SUM(C$42:C$53))</f>
        <v>383297.8404672512</v>
      </c>
      <c r="D59" s="5">
        <f>(SUM(D$38:D$49)*'Rate Class Energy Model'!$D$37)*D47/(SUM(D$38:D$49))</f>
        <v>420037.08515312773</v>
      </c>
      <c r="E59" s="5">
        <f t="shared" si="1"/>
        <v>803334.92562037893</v>
      </c>
    </row>
    <row r="60" spans="1:5" x14ac:dyDescent="0.25">
      <c r="A60" s="3">
        <v>2016</v>
      </c>
      <c r="B60" s="3" t="s">
        <v>80</v>
      </c>
      <c r="C60" s="5">
        <f>(SUM(C$42:C$53)*'Rate Class Energy Model'!$D$37)*C48/(SUM(C$42:C$53))</f>
        <v>412429.72809887206</v>
      </c>
      <c r="D60" s="104">
        <f>(SUM(D$38:D$49)*'Rate Class Energy Model'!$D$37)*D48/(SUM(D$38:D$49))</f>
        <v>380769.66077771632</v>
      </c>
      <c r="E60" s="5">
        <f t="shared" si="1"/>
        <v>793199.38887658832</v>
      </c>
    </row>
    <row r="61" spans="1:5" x14ac:dyDescent="0.25">
      <c r="A61" s="3">
        <v>2016</v>
      </c>
      <c r="B61" s="3" t="s">
        <v>81</v>
      </c>
      <c r="C61" s="5">
        <f>(SUM(C$42:C$53)*'Rate Class Energy Model'!$D$37)*C49/(SUM(C$42:C$53))</f>
        <v>419350.61935886892</v>
      </c>
      <c r="D61" s="104">
        <f>(SUM(D$49:D$60)*'Rate Class Energy Model'!$D$37)*D49/(SUM(D$49:D$60))</f>
        <v>472754.55030184332</v>
      </c>
      <c r="E61" s="5">
        <f t="shared" si="1"/>
        <v>892105.16966071224</v>
      </c>
    </row>
    <row r="62" spans="1:5" x14ac:dyDescent="0.25">
      <c r="A62" s="3">
        <v>2016</v>
      </c>
      <c r="B62" s="3" t="s">
        <v>82</v>
      </c>
      <c r="C62" s="5">
        <f>(SUM(C$42:C$53)*'Rate Class Energy Model'!$D$37)*C50/(SUM(C$42:C$53))</f>
        <v>428218.68078458309</v>
      </c>
      <c r="D62" s="104">
        <f>(SUM(D$49:D$60)*'Rate Class Energy Model'!$D$37)*D50/(SUM(D$49:D$60))</f>
        <v>491511.62867092458</v>
      </c>
      <c r="E62" s="5">
        <f t="shared" si="1"/>
        <v>919730.30945550767</v>
      </c>
    </row>
    <row r="63" spans="1:5" x14ac:dyDescent="0.25">
      <c r="A63" s="3">
        <v>2016</v>
      </c>
      <c r="B63" s="3" t="s">
        <v>83</v>
      </c>
      <c r="C63" s="5">
        <f>(SUM(C$42:C$53)*'Rate Class Energy Model'!$D$37)*C51/(SUM(C$42:C$53))</f>
        <v>387673.71193043637</v>
      </c>
      <c r="D63" s="104">
        <f>(SUM(D$49:D$60)*'Rate Class Energy Model'!$D$37)*D51/(SUM(D$49:D$60))</f>
        <v>436702.53769950144</v>
      </c>
      <c r="E63" s="5">
        <f t="shared" si="1"/>
        <v>824376.24962993781</v>
      </c>
    </row>
    <row r="64" spans="1:5" x14ac:dyDescent="0.25">
      <c r="A64" s="3">
        <v>2016</v>
      </c>
      <c r="B64" s="3" t="s">
        <v>84</v>
      </c>
      <c r="C64" s="5">
        <f>(SUM(C$42:C$53)*'Rate Class Energy Model'!$D$37)*C52/(SUM(C$42:C$53))</f>
        <v>369232.82500901329</v>
      </c>
      <c r="D64" s="104">
        <f>(SUM(D$49:D$60)*'Rate Class Energy Model'!$D$37)*D52/(SUM(D$49:D$60))</f>
        <v>395877.1332773802</v>
      </c>
      <c r="E64" s="5">
        <f t="shared" si="1"/>
        <v>765109.95828639343</v>
      </c>
    </row>
    <row r="65" spans="1:5" x14ac:dyDescent="0.25">
      <c r="A65" s="3">
        <v>2016</v>
      </c>
      <c r="B65" s="3" t="s">
        <v>85</v>
      </c>
      <c r="C65" s="5">
        <f>(SUM(C$42:C$53)*'Rate Class Energy Model'!$D$37)*C53/(SUM(C$42:C$53))</f>
        <v>304306.72691090248</v>
      </c>
      <c r="D65" s="104">
        <f>(SUM(D$49:D$60)*'Rate Class Energy Model'!$D$37)*D53/(SUM(D$49:D$60))</f>
        <v>564778.0690741787</v>
      </c>
      <c r="E65" s="5">
        <f t="shared" si="1"/>
        <v>869084.79598508123</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Model'!D37</f>
        <v>4244553.2097270964</v>
      </c>
      <c r="D71" s="5"/>
      <c r="E71" s="5">
        <f>SUMIF($A$6:$A$65,A71,$E$6:$E$65)</f>
        <v>9359659.5610377118</v>
      </c>
    </row>
    <row r="72" spans="1:5" x14ac:dyDescent="0.25">
      <c r="A72" s="3">
        <v>2016</v>
      </c>
      <c r="B72" s="3"/>
      <c r="C72" s="5">
        <f>C71*'Rate Class Energy Model'!D37</f>
        <v>4412960.7208673982</v>
      </c>
      <c r="D72" s="5"/>
      <c r="E72" s="5">
        <f>SUMIF($A$6:$A$65,A72,$E$6:$E$65)</f>
        <v>9731014.776513081</v>
      </c>
    </row>
    <row r="74" spans="1:5" x14ac:dyDescent="0.25">
      <c r="A74" s="88" t="s">
        <v>20</v>
      </c>
      <c r="B74" s="89" t="s">
        <v>24</v>
      </c>
      <c r="C74" s="110" t="s">
        <v>54</v>
      </c>
      <c r="D74" s="110" t="s">
        <v>228</v>
      </c>
    </row>
    <row r="75" spans="1:5" x14ac:dyDescent="0.25">
      <c r="A75" s="3">
        <v>2012</v>
      </c>
      <c r="B75" s="5">
        <v>1862328.28</v>
      </c>
      <c r="C75" s="5">
        <v>4197.63</v>
      </c>
      <c r="D75" s="109">
        <f>C75/B75</f>
        <v>2.2539688867313982E-3</v>
      </c>
    </row>
    <row r="76" spans="1:5" x14ac:dyDescent="0.25">
      <c r="A76" s="3">
        <v>2013</v>
      </c>
      <c r="B76" s="5">
        <v>4199611</v>
      </c>
      <c r="C76" s="5">
        <v>9630</v>
      </c>
      <c r="D76" s="109">
        <f>C76/B76</f>
        <v>2.2930695247726516E-3</v>
      </c>
    </row>
    <row r="77" spans="1:5" x14ac:dyDescent="0.25">
      <c r="A77" s="3">
        <v>2014</v>
      </c>
      <c r="B77" s="5">
        <v>6375131</v>
      </c>
      <c r="C77" s="5">
        <v>17662</v>
      </c>
      <c r="D77" s="109">
        <f>C77/B77</f>
        <v>2.7704528738311416E-3</v>
      </c>
    </row>
    <row r="78" spans="1:5" x14ac:dyDescent="0.25">
      <c r="A78" s="3">
        <v>2015</v>
      </c>
      <c r="B78" s="5">
        <f>(B77+(1747454/4*8))*'Rate Class Energy Model'!D37</f>
        <v>10261644.10440499</v>
      </c>
      <c r="C78" s="5">
        <f>AVERAGE(D75:D77)*B78</f>
        <v>25029.830435731586</v>
      </c>
      <c r="D78" s="5"/>
    </row>
    <row r="79" spans="1:5" x14ac:dyDescent="0.25">
      <c r="A79" s="3">
        <v>2016</v>
      </c>
      <c r="B79" s="5">
        <f>B78*'Rate Class Energy Model'!D37</f>
        <v>10668786.5899486</v>
      </c>
      <c r="C79" s="5">
        <f>AVERAGE(D75:D77)*B79</f>
        <v>26022.917632349945</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O5" sqref="O5"/>
    </sheetView>
  </sheetViews>
  <sheetFormatPr defaultRowHeight="15" x14ac:dyDescent="0.25"/>
  <cols>
    <col min="1" max="1" width="29.140625" customWidth="1"/>
    <col min="2" max="9" width="15.7109375" customWidth="1"/>
  </cols>
  <sheetData>
    <row r="1" spans="1:9" ht="18.75" x14ac:dyDescent="0.3">
      <c r="A1" s="30" t="s">
        <v>0</v>
      </c>
    </row>
    <row r="2" spans="1:9" ht="18.75" x14ac:dyDescent="0.3">
      <c r="A2" s="30" t="s">
        <v>413</v>
      </c>
    </row>
    <row r="3" spans="1:9" ht="19.5" thickBot="1" x14ac:dyDescent="0.35">
      <c r="A3" s="32" t="s">
        <v>373</v>
      </c>
      <c r="B3" s="33"/>
      <c r="C3" s="33"/>
      <c r="D3" s="33"/>
      <c r="E3" s="33"/>
      <c r="F3" s="33"/>
      <c r="G3" s="33"/>
      <c r="H3" s="33"/>
      <c r="I3" s="33"/>
    </row>
    <row r="4" spans="1:9" ht="15.75" thickBot="1" x14ac:dyDescent="0.3"/>
    <row r="5" spans="1:9" x14ac:dyDescent="0.25">
      <c r="A5" s="164" t="s">
        <v>237</v>
      </c>
      <c r="B5" s="164"/>
      <c r="C5" s="162"/>
      <c r="D5" s="162"/>
      <c r="E5" s="162"/>
      <c r="F5" s="162"/>
      <c r="G5" s="162"/>
      <c r="H5" s="162"/>
      <c r="I5" s="162"/>
    </row>
    <row r="6" spans="1:9" x14ac:dyDescent="0.25">
      <c r="A6" s="165" t="s">
        <v>238</v>
      </c>
      <c r="B6" s="384">
        <v>0.96305879077108181</v>
      </c>
      <c r="C6" s="162"/>
      <c r="D6" s="162"/>
      <c r="E6" s="162"/>
      <c r="F6" s="162"/>
      <c r="G6" s="162"/>
      <c r="H6" s="162"/>
      <c r="I6" s="162"/>
    </row>
    <row r="7" spans="1:9" x14ac:dyDescent="0.25">
      <c r="A7" s="165" t="s">
        <v>239</v>
      </c>
      <c r="B7" s="384">
        <v>0.92748223448145839</v>
      </c>
      <c r="C7" s="162"/>
      <c r="D7" s="162"/>
      <c r="E7" s="162"/>
      <c r="F7" s="162"/>
      <c r="G7" s="162"/>
      <c r="H7" s="162"/>
      <c r="I7" s="162"/>
    </row>
    <row r="8" spans="1:9" x14ac:dyDescent="0.25">
      <c r="A8" s="165" t="s">
        <v>240</v>
      </c>
      <c r="B8" s="384">
        <v>0.92392744205407895</v>
      </c>
      <c r="C8" s="162"/>
      <c r="D8" s="162"/>
      <c r="E8" s="162"/>
      <c r="F8" s="162"/>
      <c r="G8" s="162"/>
      <c r="H8" s="162"/>
      <c r="I8" s="162"/>
    </row>
    <row r="9" spans="1:9" x14ac:dyDescent="0.25">
      <c r="A9" s="165" t="s">
        <v>241</v>
      </c>
      <c r="B9" s="165">
        <v>2111802.1559870974</v>
      </c>
      <c r="C9" s="162"/>
      <c r="D9" s="162"/>
      <c r="E9" s="162"/>
      <c r="F9" s="162"/>
      <c r="G9" s="162"/>
      <c r="H9" s="162"/>
      <c r="I9" s="162"/>
    </row>
    <row r="10" spans="1:9" ht="15.75" thickBot="1" x14ac:dyDescent="0.3">
      <c r="A10" s="166" t="s">
        <v>242</v>
      </c>
      <c r="B10" s="166">
        <v>108</v>
      </c>
      <c r="C10" s="162"/>
      <c r="D10" s="162"/>
      <c r="E10" s="162"/>
      <c r="F10" s="162"/>
      <c r="G10" s="162"/>
      <c r="H10" s="162"/>
      <c r="I10" s="162"/>
    </row>
    <row r="11" spans="1:9" x14ac:dyDescent="0.25">
      <c r="A11" s="162"/>
      <c r="B11" s="162"/>
      <c r="C11" s="162"/>
      <c r="D11" s="162"/>
      <c r="E11" s="162"/>
      <c r="F11" s="162"/>
      <c r="G11" s="162"/>
      <c r="H11" s="162"/>
      <c r="I11" s="162"/>
    </row>
    <row r="12" spans="1:9" ht="15.75" thickBot="1" x14ac:dyDescent="0.3">
      <c r="A12" s="162" t="s">
        <v>243</v>
      </c>
      <c r="B12" s="162"/>
      <c r="C12" s="162"/>
      <c r="D12" s="162"/>
      <c r="E12" s="162"/>
      <c r="F12" s="162"/>
      <c r="G12" s="162"/>
      <c r="H12" s="162"/>
      <c r="I12" s="162"/>
    </row>
    <row r="13" spans="1:9" x14ac:dyDescent="0.25">
      <c r="A13" s="167"/>
      <c r="B13" s="167" t="s">
        <v>244</v>
      </c>
      <c r="C13" s="167" t="s">
        <v>245</v>
      </c>
      <c r="D13" s="167" t="s">
        <v>246</v>
      </c>
      <c r="E13" s="167" t="s">
        <v>247</v>
      </c>
      <c r="F13" s="167" t="s">
        <v>248</v>
      </c>
      <c r="G13" s="162"/>
      <c r="H13" s="162"/>
      <c r="I13" s="162"/>
    </row>
    <row r="14" spans="1:9" x14ac:dyDescent="0.25">
      <c r="A14" s="165" t="s">
        <v>249</v>
      </c>
      <c r="B14" s="165">
        <v>5</v>
      </c>
      <c r="C14" s="165">
        <v>5817920942520857</v>
      </c>
      <c r="D14" s="165">
        <v>1163584188504171.5</v>
      </c>
      <c r="E14" s="165">
        <v>260.91037758994446</v>
      </c>
      <c r="F14" s="165">
        <v>1.9412588480148902E-56</v>
      </c>
      <c r="G14" s="162"/>
      <c r="H14" s="162"/>
      <c r="I14" s="162"/>
    </row>
    <row r="15" spans="1:9" x14ac:dyDescent="0.25">
      <c r="A15" s="165" t="s">
        <v>250</v>
      </c>
      <c r="B15" s="165">
        <v>102</v>
      </c>
      <c r="C15" s="165">
        <v>454890251295238.94</v>
      </c>
      <c r="D15" s="165">
        <v>4459708346031.7539</v>
      </c>
      <c r="E15" s="165">
        <v>0</v>
      </c>
      <c r="F15" s="165">
        <v>0</v>
      </c>
      <c r="G15" s="162"/>
      <c r="H15" s="162"/>
      <c r="I15" s="162"/>
    </row>
    <row r="16" spans="1:9" ht="15.75" thickBot="1" x14ac:dyDescent="0.3">
      <c r="A16" s="166" t="s">
        <v>18</v>
      </c>
      <c r="B16" s="166">
        <v>107</v>
      </c>
      <c r="C16" s="166">
        <v>6272811193816096</v>
      </c>
      <c r="D16" s="166">
        <v>0</v>
      </c>
      <c r="E16" s="166">
        <v>0</v>
      </c>
      <c r="F16" s="166">
        <v>0</v>
      </c>
      <c r="G16" s="162"/>
      <c r="H16" s="162"/>
      <c r="I16" s="162"/>
    </row>
    <row r="17" spans="1:9" ht="15.75" thickBot="1" x14ac:dyDescent="0.3">
      <c r="A17" s="162"/>
      <c r="B17" s="162"/>
      <c r="C17" s="162"/>
      <c r="D17" s="162"/>
      <c r="E17" s="162"/>
      <c r="F17" s="162"/>
      <c r="G17" s="162"/>
      <c r="H17" s="162"/>
      <c r="I17" s="162"/>
    </row>
    <row r="18" spans="1:9" x14ac:dyDescent="0.25">
      <c r="A18" s="167"/>
      <c r="B18" s="167" t="s">
        <v>251</v>
      </c>
      <c r="C18" s="167" t="s">
        <v>241</v>
      </c>
      <c r="D18" s="167" t="s">
        <v>252</v>
      </c>
      <c r="E18" s="167" t="s">
        <v>253</v>
      </c>
      <c r="F18" s="167" t="s">
        <v>254</v>
      </c>
      <c r="G18" s="167" t="s">
        <v>255</v>
      </c>
      <c r="H18" s="167" t="s">
        <v>256</v>
      </c>
      <c r="I18" s="167" t="s">
        <v>257</v>
      </c>
    </row>
    <row r="19" spans="1:9" x14ac:dyDescent="0.25">
      <c r="A19" s="165" t="s">
        <v>258</v>
      </c>
      <c r="B19" s="360">
        <v>1208066479.6164389</v>
      </c>
      <c r="C19" s="360">
        <v>159850118.50725847</v>
      </c>
      <c r="D19" s="360">
        <v>7.5574950516009967</v>
      </c>
      <c r="E19" s="360">
        <v>1.8328478079022241E-11</v>
      </c>
      <c r="F19" s="360">
        <v>891004527.47657704</v>
      </c>
      <c r="G19" s="360">
        <v>1525128431.7563007</v>
      </c>
      <c r="H19" s="360">
        <v>891004527.47657704</v>
      </c>
      <c r="I19" s="360">
        <v>1525128431.7563007</v>
      </c>
    </row>
    <row r="20" spans="1:9" x14ac:dyDescent="0.25">
      <c r="A20" s="165" t="s">
        <v>355</v>
      </c>
      <c r="B20" s="360">
        <v>-581747.58549517591</v>
      </c>
      <c r="C20" s="360">
        <v>79372.598241833315</v>
      </c>
      <c r="D20" s="360">
        <v>-7.3293252127478663</v>
      </c>
      <c r="E20" s="360">
        <v>5.6139094767432148E-11</v>
      </c>
      <c r="F20" s="360">
        <v>-739182.75776766869</v>
      </c>
      <c r="G20" s="360">
        <v>-424312.41322268307</v>
      </c>
      <c r="H20" s="360">
        <v>-739182.75776766869</v>
      </c>
      <c r="I20" s="360">
        <v>-424312.41322268307</v>
      </c>
    </row>
    <row r="21" spans="1:9" x14ac:dyDescent="0.25">
      <c r="A21" s="165" t="s">
        <v>356</v>
      </c>
      <c r="B21" s="360">
        <v>19900.130820968981</v>
      </c>
      <c r="C21" s="360">
        <v>1167.5663029556642</v>
      </c>
      <c r="D21" s="360">
        <v>17.044111987980735</v>
      </c>
      <c r="E21" s="360">
        <v>1.2976415362902643E-31</v>
      </c>
      <c r="F21" s="360">
        <v>17584.26859499863</v>
      </c>
      <c r="G21" s="360">
        <v>22215.993046939333</v>
      </c>
      <c r="H21" s="360">
        <v>17584.26859499863</v>
      </c>
      <c r="I21" s="360">
        <v>22215.993046939333</v>
      </c>
    </row>
    <row r="22" spans="1:9" x14ac:dyDescent="0.25">
      <c r="A22" s="165" t="s">
        <v>357</v>
      </c>
      <c r="B22" s="360">
        <v>161334.61969151811</v>
      </c>
      <c r="C22" s="360">
        <v>9907.5112752967689</v>
      </c>
      <c r="D22" s="360">
        <v>16.28407126760353</v>
      </c>
      <c r="E22" s="360">
        <v>3.9443718780810099E-30</v>
      </c>
      <c r="F22" s="360">
        <v>141683.11805280868</v>
      </c>
      <c r="G22" s="360">
        <v>180986.12133022753</v>
      </c>
      <c r="H22" s="360">
        <v>141683.11805280868</v>
      </c>
      <c r="I22" s="360">
        <v>180986.12133022753</v>
      </c>
    </row>
    <row r="23" spans="1:9" x14ac:dyDescent="0.25">
      <c r="A23" s="165" t="s">
        <v>25</v>
      </c>
      <c r="B23" s="360">
        <v>0.71315248000882059</v>
      </c>
      <c r="C23" s="360">
        <v>5.0844157895906031E-2</v>
      </c>
      <c r="D23" s="360">
        <v>14.026242335822886</v>
      </c>
      <c r="E23" s="360">
        <v>1.5279897314152656E-25</v>
      </c>
      <c r="F23" s="360">
        <v>0.61230333389666847</v>
      </c>
      <c r="G23" s="360">
        <v>0.81400162612097271</v>
      </c>
      <c r="H23" s="360">
        <v>0.61230333389666847</v>
      </c>
      <c r="I23" s="360">
        <v>0.81400162612097271</v>
      </c>
    </row>
    <row r="24" spans="1:9" ht="15.75" thickBot="1" x14ac:dyDescent="0.3">
      <c r="A24" s="166" t="s">
        <v>358</v>
      </c>
      <c r="B24" s="361">
        <v>6782748.9962889906</v>
      </c>
      <c r="C24" s="361">
        <v>473575.64839496842</v>
      </c>
      <c r="D24" s="361">
        <v>14.3224192782651</v>
      </c>
      <c r="E24" s="361">
        <v>3.6916552722257673E-26</v>
      </c>
      <c r="F24" s="361">
        <v>5843413.9431267288</v>
      </c>
      <c r="G24" s="361">
        <v>7722084.0494512524</v>
      </c>
      <c r="H24" s="361">
        <v>5843413.9431267288</v>
      </c>
      <c r="I24" s="361">
        <v>7722084.0494512524</v>
      </c>
    </row>
    <row r="25" spans="1:9" x14ac:dyDescent="0.25">
      <c r="A25" s="162"/>
      <c r="B25" s="162"/>
      <c r="C25" s="162"/>
      <c r="D25" s="162"/>
      <c r="E25" s="162"/>
      <c r="F25" s="162"/>
      <c r="G25" s="162"/>
      <c r="H25" s="162"/>
      <c r="I25" s="162"/>
    </row>
    <row r="26" spans="1:9" ht="15.75" thickBot="1" x14ac:dyDescent="0.3">
      <c r="A26" s="162"/>
      <c r="B26" s="162"/>
      <c r="C26" s="162"/>
      <c r="D26" s="162"/>
      <c r="E26" s="162"/>
      <c r="F26" s="162"/>
      <c r="G26" s="162"/>
      <c r="H26" s="162"/>
      <c r="I26" s="162"/>
    </row>
    <row r="27" spans="1:9" x14ac:dyDescent="0.25">
      <c r="A27" s="167" t="s">
        <v>259</v>
      </c>
      <c r="B27" s="167" t="s">
        <v>260</v>
      </c>
      <c r="C27" s="162"/>
      <c r="D27" s="162"/>
      <c r="E27" s="162"/>
      <c r="F27" s="162"/>
      <c r="G27" s="162"/>
      <c r="H27" s="162"/>
      <c r="I27" s="162"/>
    </row>
    <row r="28" spans="1:9" x14ac:dyDescent="0.25">
      <c r="A28" s="165" t="s">
        <v>258</v>
      </c>
      <c r="B28" s="168">
        <v>7.5574950516009967</v>
      </c>
      <c r="C28" s="162"/>
      <c r="D28" s="169"/>
      <c r="E28" s="162"/>
      <c r="F28" s="162"/>
      <c r="G28" s="162"/>
      <c r="H28" s="162"/>
      <c r="I28" s="162"/>
    </row>
    <row r="29" spans="1:9" x14ac:dyDescent="0.25">
      <c r="A29" s="165" t="s">
        <v>355</v>
      </c>
      <c r="B29" s="168">
        <v>-7.3293252127478663</v>
      </c>
      <c r="C29" s="162"/>
      <c r="D29" s="162"/>
      <c r="E29" s="162"/>
      <c r="F29" s="162"/>
      <c r="G29" s="162"/>
      <c r="H29" s="162"/>
      <c r="I29" s="162"/>
    </row>
    <row r="30" spans="1:9" x14ac:dyDescent="0.25">
      <c r="A30" s="165" t="s">
        <v>356</v>
      </c>
      <c r="B30" s="168">
        <v>17.044111987980735</v>
      </c>
      <c r="C30" s="162"/>
      <c r="D30" s="169"/>
      <c r="E30" s="162"/>
      <c r="F30" s="163"/>
      <c r="G30" s="162"/>
      <c r="H30" s="162"/>
      <c r="I30" s="162"/>
    </row>
    <row r="31" spans="1:9" x14ac:dyDescent="0.25">
      <c r="A31" s="165" t="s">
        <v>357</v>
      </c>
      <c r="B31" s="168">
        <v>16.28407126760353</v>
      </c>
      <c r="C31" s="162"/>
      <c r="D31" s="162"/>
      <c r="E31" s="162"/>
      <c r="F31" s="162"/>
      <c r="G31" s="162"/>
      <c r="H31" s="162"/>
      <c r="I31" s="162"/>
    </row>
    <row r="32" spans="1:9" x14ac:dyDescent="0.25">
      <c r="A32" s="165" t="s">
        <v>25</v>
      </c>
      <c r="B32" s="168">
        <v>14.026242335822886</v>
      </c>
      <c r="C32" s="162"/>
      <c r="D32" s="162"/>
      <c r="E32" s="162"/>
      <c r="F32" s="162"/>
      <c r="G32" s="162"/>
      <c r="H32" s="162"/>
      <c r="I32" s="162"/>
    </row>
    <row r="33" spans="1:9" ht="15.75" thickBot="1" x14ac:dyDescent="0.3">
      <c r="A33" s="166" t="s">
        <v>358</v>
      </c>
      <c r="B33" s="170">
        <v>14.3224192782651</v>
      </c>
      <c r="C33" s="162"/>
      <c r="D33" s="162"/>
      <c r="E33" s="162"/>
      <c r="F33" s="162"/>
      <c r="G33" s="162"/>
      <c r="H33" s="162"/>
      <c r="I33" s="162"/>
    </row>
    <row r="34" spans="1:9" x14ac:dyDescent="0.25">
      <c r="A34" s="162"/>
      <c r="B34" s="162"/>
      <c r="C34" s="162"/>
      <c r="D34" s="162"/>
      <c r="E34" s="162"/>
      <c r="F34" s="162"/>
      <c r="G34" s="162"/>
      <c r="H34" s="162"/>
      <c r="I34" s="162"/>
    </row>
  </sheetData>
  <pageMargins left="0.7" right="0.7" top="0.75" bottom="0.75" header="0.3" footer="0.3"/>
  <pageSetup scale="78" fitToHeight="2"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O5" sqref="O5"/>
    </sheetView>
  </sheetViews>
  <sheetFormatPr defaultRowHeight="15" x14ac:dyDescent="0.25"/>
  <cols>
    <col min="1" max="1" width="12.7109375" customWidth="1"/>
    <col min="2" max="3" width="14.7109375" customWidth="1"/>
    <col min="4" max="5" width="12.7109375" customWidth="1"/>
    <col min="6" max="6" width="2.7109375" customWidth="1"/>
    <col min="7" max="7" width="12.7109375" customWidth="1"/>
    <col min="8" max="10" width="14.7109375" customWidth="1"/>
    <col min="11" max="11" width="12.7109375" customWidth="1"/>
  </cols>
  <sheetData>
    <row r="1" spans="1:11" ht="18.75" x14ac:dyDescent="0.3">
      <c r="A1" s="30" t="s">
        <v>0</v>
      </c>
    </row>
    <row r="2" spans="1:11" ht="18.75" x14ac:dyDescent="0.3">
      <c r="A2" s="30" t="s">
        <v>413</v>
      </c>
    </row>
    <row r="3" spans="1:11" ht="19.5" thickBot="1" x14ac:dyDescent="0.35">
      <c r="A3" s="32" t="s">
        <v>63</v>
      </c>
      <c r="B3" s="33"/>
      <c r="C3" s="33"/>
      <c r="D3" s="33"/>
      <c r="E3" s="33"/>
      <c r="F3" s="33"/>
      <c r="G3" s="33"/>
      <c r="H3" s="33"/>
      <c r="I3" s="33"/>
      <c r="J3" s="33"/>
      <c r="K3" s="33"/>
    </row>
    <row r="5" spans="1:11" ht="18.75" x14ac:dyDescent="0.3">
      <c r="A5" s="116" t="s">
        <v>30</v>
      </c>
      <c r="B5" s="117"/>
      <c r="C5" s="117"/>
      <c r="D5" s="117"/>
      <c r="E5" s="118"/>
      <c r="G5" s="116" t="s">
        <v>31</v>
      </c>
      <c r="H5" s="117"/>
      <c r="I5" s="117"/>
      <c r="J5" s="117"/>
      <c r="K5" s="118"/>
    </row>
    <row r="6" spans="1:11" ht="30" x14ac:dyDescent="0.25">
      <c r="A6" s="58" t="s">
        <v>20</v>
      </c>
      <c r="B6" s="16" t="s">
        <v>26</v>
      </c>
      <c r="C6" s="16" t="s">
        <v>27</v>
      </c>
      <c r="D6" s="16" t="s">
        <v>28</v>
      </c>
      <c r="E6" s="17" t="s">
        <v>29</v>
      </c>
      <c r="G6" s="58" t="s">
        <v>20</v>
      </c>
      <c r="H6" s="16" t="s">
        <v>26</v>
      </c>
      <c r="I6" s="16" t="s">
        <v>32</v>
      </c>
      <c r="J6" s="16" t="s">
        <v>61</v>
      </c>
      <c r="K6" s="17" t="s">
        <v>62</v>
      </c>
    </row>
    <row r="7" spans="1:11" x14ac:dyDescent="0.25">
      <c r="A7" s="119">
        <v>2006</v>
      </c>
      <c r="B7" s="79">
        <f>SUMIF('Purchase Forecast'!F:F,A7,'Purchase Forecast'!B:B)</f>
        <v>1092468790.7847662</v>
      </c>
      <c r="C7" s="47">
        <f>SUMIF('Purchase Forecast'!F:F,A7,'Purchase Forecast'!K:K)</f>
        <v>1044985104.4084556</v>
      </c>
      <c r="D7" s="79">
        <f>B7-C7</f>
        <v>47483686.376310587</v>
      </c>
      <c r="E7" s="80">
        <f t="shared" ref="E7:E15" si="0">D7/B7</f>
        <v>4.3464570134036561E-2</v>
      </c>
      <c r="G7" s="119">
        <v>2006</v>
      </c>
      <c r="H7" s="79">
        <f t="shared" ref="H7:H17" si="1">B7</f>
        <v>1092468790.7847662</v>
      </c>
      <c r="I7" s="47">
        <f>'Rate Class Energy Model'!K8</f>
        <v>1075120002</v>
      </c>
      <c r="J7" s="79">
        <f>H7-I7</f>
        <v>17348788.784766197</v>
      </c>
      <c r="K7" s="80">
        <f>1+(J7/H7)</f>
        <v>1.0158803518517943</v>
      </c>
    </row>
    <row r="8" spans="1:11" x14ac:dyDescent="0.25">
      <c r="A8" s="120">
        <v>2007</v>
      </c>
      <c r="B8" s="79">
        <f>SUMIF('Purchase Forecast'!F:F,A8,'Purchase Forecast'!B:B)</f>
        <v>1098835320.2985673</v>
      </c>
      <c r="C8" s="47">
        <f>SUMIF('Purchase Forecast'!F:F,A8,'Purchase Forecast'!K:K)</f>
        <v>1039260962.5446651</v>
      </c>
      <c r="D8" s="79">
        <f t="shared" ref="D8:D15" si="2">B8-C8</f>
        <v>59574357.753902197</v>
      </c>
      <c r="E8" s="75">
        <f t="shared" si="0"/>
        <v>5.421591084068457E-2</v>
      </c>
      <c r="G8" s="120">
        <v>2007</v>
      </c>
      <c r="H8" s="6">
        <f t="shared" si="1"/>
        <v>1098835320.2985673</v>
      </c>
      <c r="I8" s="5">
        <f>'Rate Class Energy Model'!K9</f>
        <v>1050835892</v>
      </c>
      <c r="J8" s="6">
        <f t="shared" ref="J8:J15" si="3">H8-I8</f>
        <v>47999428.298567295</v>
      </c>
      <c r="K8" s="75">
        <f t="shared" ref="K8:K15" si="4">1+(J8/H8)</f>
        <v>1.0436820944975862</v>
      </c>
    </row>
    <row r="9" spans="1:11" x14ac:dyDescent="0.25">
      <c r="A9" s="120">
        <v>2008</v>
      </c>
      <c r="B9" s="79">
        <f>SUMIF('Purchase Forecast'!F:F,A9,'Purchase Forecast'!B:B)</f>
        <v>1062086297.7809954</v>
      </c>
      <c r="C9" s="47">
        <f>SUMIF('Purchase Forecast'!F:F,A9,'Purchase Forecast'!K:K)</f>
        <v>1000580753.3289104</v>
      </c>
      <c r="D9" s="79">
        <f t="shared" si="2"/>
        <v>61505544.452085018</v>
      </c>
      <c r="E9" s="75">
        <f t="shared" si="0"/>
        <v>5.7910119526622124E-2</v>
      </c>
      <c r="G9" s="120">
        <v>2008</v>
      </c>
      <c r="H9" s="6">
        <f t="shared" si="1"/>
        <v>1062086297.7809954</v>
      </c>
      <c r="I9" s="5">
        <f>'Rate Class Energy Model'!K10</f>
        <v>1018040403</v>
      </c>
      <c r="J9" s="6">
        <f t="shared" si="3"/>
        <v>44045894.780995369</v>
      </c>
      <c r="K9" s="75">
        <f t="shared" si="4"/>
        <v>1.0414711072659726</v>
      </c>
    </row>
    <row r="10" spans="1:11" x14ac:dyDescent="0.25">
      <c r="A10" s="120">
        <v>2009</v>
      </c>
      <c r="B10" s="79">
        <f>SUMIF('Purchase Forecast'!F:F,A10,'Purchase Forecast'!B:B)</f>
        <v>920970717.80950236</v>
      </c>
      <c r="C10" s="47">
        <f>SUMIF('Purchase Forecast'!F:F,A10,'Purchase Forecast'!K:K)</f>
        <v>908802076.42678356</v>
      </c>
      <c r="D10" s="79">
        <f t="shared" si="2"/>
        <v>12168641.382718801</v>
      </c>
      <c r="E10" s="75">
        <f t="shared" si="0"/>
        <v>1.3212842870467699E-2</v>
      </c>
      <c r="G10" s="120">
        <v>2009</v>
      </c>
      <c r="H10" s="6">
        <f t="shared" si="1"/>
        <v>920970717.80950236</v>
      </c>
      <c r="I10" s="5">
        <f>'Rate Class Energy Model'!K11</f>
        <v>881699187</v>
      </c>
      <c r="J10" s="6">
        <f t="shared" si="3"/>
        <v>39271530.809502363</v>
      </c>
      <c r="K10" s="75">
        <f t="shared" si="4"/>
        <v>1.0426414543373412</v>
      </c>
    </row>
    <row r="11" spans="1:11" x14ac:dyDescent="0.25">
      <c r="A11" s="120">
        <v>2010</v>
      </c>
      <c r="B11" s="79">
        <f>SUMIF('Purchase Forecast'!F:F,A11,'Purchase Forecast'!B:B)</f>
        <v>966278124.23280561</v>
      </c>
      <c r="C11" s="47">
        <f>SUMIF('Purchase Forecast'!F:F,A11,'Purchase Forecast'!K:K)</f>
        <v>957922825.63062561</v>
      </c>
      <c r="D11" s="79">
        <f t="shared" si="2"/>
        <v>8355298.6021800041</v>
      </c>
      <c r="E11" s="75">
        <f t="shared" si="0"/>
        <v>8.6468878810785944E-3</v>
      </c>
      <c r="G11" s="120">
        <v>2010</v>
      </c>
      <c r="H11" s="6">
        <f t="shared" si="1"/>
        <v>966278124.23280561</v>
      </c>
      <c r="I11" s="5">
        <f>'Rate Class Energy Model'!K12</f>
        <v>927220462</v>
      </c>
      <c r="J11" s="6">
        <f t="shared" si="3"/>
        <v>39057662.23280561</v>
      </c>
      <c r="K11" s="75">
        <f t="shared" si="4"/>
        <v>1.0404207248961743</v>
      </c>
    </row>
    <row r="12" spans="1:11" x14ac:dyDescent="0.25">
      <c r="A12" s="120">
        <v>2011</v>
      </c>
      <c r="B12" s="79">
        <f>SUMIF('Purchase Forecast'!F:F,A12,'Purchase Forecast'!B:B)</f>
        <v>963861237.81140268</v>
      </c>
      <c r="C12" s="47">
        <f>SUMIF('Purchase Forecast'!F:F,A12,'Purchase Forecast'!K:K)</f>
        <v>969568453.44481635</v>
      </c>
      <c r="D12" s="79">
        <f t="shared" si="2"/>
        <v>-5707215.6334136724</v>
      </c>
      <c r="E12" s="75">
        <f t="shared" si="0"/>
        <v>-5.9212004897850196E-3</v>
      </c>
      <c r="G12" s="120">
        <v>2011</v>
      </c>
      <c r="H12" s="6">
        <f t="shared" si="1"/>
        <v>963861237.81140268</v>
      </c>
      <c r="I12" s="5">
        <f>'Rate Class Energy Model'!K13</f>
        <v>933159150</v>
      </c>
      <c r="J12" s="6">
        <f t="shared" si="3"/>
        <v>30702087.811402678</v>
      </c>
      <c r="K12" s="75">
        <f t="shared" si="4"/>
        <v>1.0318532238946725</v>
      </c>
    </row>
    <row r="13" spans="1:11" x14ac:dyDescent="0.25">
      <c r="A13" s="120">
        <v>2012</v>
      </c>
      <c r="B13" s="79">
        <f>SUMIF('Purchase Forecast'!F:F,A13,'Purchase Forecast'!B:B)</f>
        <v>971543930.64981091</v>
      </c>
      <c r="C13" s="47">
        <f>SUMIF('Purchase Forecast'!F:F,A13,'Purchase Forecast'!K:K)</f>
        <v>961057252.88540554</v>
      </c>
      <c r="D13" s="79">
        <f t="shared" si="2"/>
        <v>10486677.76440537</v>
      </c>
      <c r="E13" s="75">
        <f t="shared" si="0"/>
        <v>1.0793827673228758E-2</v>
      </c>
      <c r="G13" s="120">
        <v>2012</v>
      </c>
      <c r="H13" s="6">
        <f t="shared" si="1"/>
        <v>971543930.64981091</v>
      </c>
      <c r="I13" s="5">
        <f>'Rate Class Energy Model'!K14</f>
        <v>933898584</v>
      </c>
      <c r="J13" s="6">
        <f t="shared" si="3"/>
        <v>37645346.64981091</v>
      </c>
      <c r="K13" s="75">
        <f t="shared" si="4"/>
        <v>1.0387479613244375</v>
      </c>
    </row>
    <row r="14" spans="1:11" x14ac:dyDescent="0.25">
      <c r="A14" s="120">
        <v>2013</v>
      </c>
      <c r="B14" s="79">
        <f>SUMIF('Purchase Forecast'!F:F,A14,'Purchase Forecast'!B:B)</f>
        <v>970760691.54651523</v>
      </c>
      <c r="C14" s="47">
        <f>SUMIF('Purchase Forecast'!F:F,A14,'Purchase Forecast'!K:K)</f>
        <v>972311035.0515238</v>
      </c>
      <c r="D14" s="79">
        <f t="shared" si="2"/>
        <v>-1550343.5050085783</v>
      </c>
      <c r="E14" s="75">
        <f t="shared" si="0"/>
        <v>-1.5970398456685879E-3</v>
      </c>
      <c r="G14" s="120">
        <v>2013</v>
      </c>
      <c r="H14" s="6">
        <f t="shared" si="1"/>
        <v>970760691.54651523</v>
      </c>
      <c r="I14" s="5">
        <f>'Rate Class Energy Model'!K15</f>
        <v>928696615</v>
      </c>
      <c r="J14" s="6">
        <f t="shared" si="3"/>
        <v>42064076.546515226</v>
      </c>
      <c r="K14" s="75">
        <f t="shared" si="4"/>
        <v>1.043331046377149</v>
      </c>
    </row>
    <row r="15" spans="1:11" x14ac:dyDescent="0.25">
      <c r="A15" s="120">
        <v>2014</v>
      </c>
      <c r="B15" s="79">
        <f>SUMIF('Purchase Forecast'!F:F,A15,'Purchase Forecast'!B:B)</f>
        <v>971112987.38102555</v>
      </c>
      <c r="C15" s="47">
        <f>SUMIF('Purchase Forecast'!F:F,A15,'Purchase Forecast'!K:K)</f>
        <v>973074731.57334685</v>
      </c>
      <c r="D15" s="79">
        <f t="shared" si="2"/>
        <v>-1961744.1923213005</v>
      </c>
      <c r="E15" s="75">
        <f t="shared" si="0"/>
        <v>-2.0200988122009238E-3</v>
      </c>
      <c r="G15" s="120">
        <v>2014</v>
      </c>
      <c r="H15" s="6">
        <f t="shared" si="1"/>
        <v>971112987.38102555</v>
      </c>
      <c r="I15" s="5">
        <f>'Rate Class Energy Model'!K16</f>
        <v>933911819</v>
      </c>
      <c r="J15" s="6">
        <f t="shared" si="3"/>
        <v>37201168.381025553</v>
      </c>
      <c r="K15" s="75">
        <f t="shared" si="4"/>
        <v>1.0383077652800758</v>
      </c>
    </row>
    <row r="16" spans="1:11" x14ac:dyDescent="0.25">
      <c r="A16" s="120">
        <v>2015</v>
      </c>
      <c r="B16" s="79">
        <f>SUMIF('Purchase Forecast'!F:F,A16,'Purchase Forecast'!B:B)</f>
        <v>0</v>
      </c>
      <c r="C16" s="47">
        <f>SUMIF('Purchase Forecast'!F:F,A16,'Purchase Forecast'!K:K)</f>
        <v>972475366.73981357</v>
      </c>
      <c r="D16" s="3"/>
      <c r="E16" s="76"/>
      <c r="G16" s="120">
        <v>2015</v>
      </c>
      <c r="H16" s="6">
        <f t="shared" si="1"/>
        <v>0</v>
      </c>
      <c r="I16" s="5">
        <f>C16/K16</f>
        <v>935021291.5758605</v>
      </c>
      <c r="J16" s="3"/>
      <c r="K16" s="76">
        <f>AVERAGE(K8:K15)</f>
        <v>1.040056922234176</v>
      </c>
    </row>
    <row r="17" spans="1:11" x14ac:dyDescent="0.25">
      <c r="A17" s="121">
        <v>2016</v>
      </c>
      <c r="B17" s="45">
        <f>SUMIF('Purchase Forecast'!F:F,A17,'Purchase Forecast'!B:B)</f>
        <v>0</v>
      </c>
      <c r="C17" s="45">
        <f>SUMIF('Purchase Forecast'!F:F,A17,'Purchase Forecast'!K:K)</f>
        <v>975626812.28500581</v>
      </c>
      <c r="D17" s="77"/>
      <c r="E17" s="78"/>
      <c r="G17" s="121">
        <v>2016</v>
      </c>
      <c r="H17" s="45">
        <f t="shared" si="1"/>
        <v>0</v>
      </c>
      <c r="I17" s="19">
        <f>C17/K16</f>
        <v>938051361.83242154</v>
      </c>
      <c r="J17" s="77"/>
      <c r="K17" s="78">
        <f>AVERAGE(K8:K15)</f>
        <v>1.040056922234176</v>
      </c>
    </row>
    <row r="19" spans="1:11" x14ac:dyDescent="0.25">
      <c r="G19" t="s">
        <v>71</v>
      </c>
    </row>
    <row r="20" spans="1:11" ht="29.25" customHeight="1" x14ac:dyDescent="0.25">
      <c r="G20" s="501" t="s">
        <v>264</v>
      </c>
      <c r="H20" s="501"/>
      <c r="I20" s="501"/>
      <c r="J20" s="501"/>
      <c r="K20" s="501"/>
    </row>
    <row r="34" ht="46.5" customHeight="1" x14ac:dyDescent="0.25"/>
  </sheetData>
  <mergeCells count="1">
    <mergeCell ref="G20:K20"/>
  </mergeCells>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showGridLines="0" zoomScale="110" zoomScaleNormal="110" workbookViewId="0">
      <pane xSplit="1" ySplit="6" topLeftCell="B7" activePane="bottomRight" state="frozen"/>
      <selection activeCell="O5" sqref="O5"/>
      <selection pane="topRight" activeCell="O5" sqref="O5"/>
      <selection pane="bottomLeft" activeCell="O5" sqref="O5"/>
      <selection pane="bottomRight" activeCell="O5" sqref="O5"/>
    </sheetView>
  </sheetViews>
  <sheetFormatPr defaultRowHeight="15" x14ac:dyDescent="0.25"/>
  <cols>
    <col min="1" max="1" width="10" customWidth="1"/>
    <col min="2" max="11" width="12.7109375" customWidth="1"/>
    <col min="13" max="23" width="9.140625" hidden="1" customWidth="1"/>
    <col min="24" max="24" width="0" hidden="1" customWidth="1"/>
  </cols>
  <sheetData>
    <row r="1" spans="1:23" ht="18.75" x14ac:dyDescent="0.3">
      <c r="A1" s="30" t="s">
        <v>0</v>
      </c>
      <c r="B1" s="31"/>
      <c r="C1" s="31"/>
      <c r="D1" s="31"/>
      <c r="E1" s="31"/>
      <c r="F1" s="31"/>
      <c r="G1" s="31"/>
      <c r="H1" s="31"/>
      <c r="I1" s="31"/>
      <c r="J1" s="31"/>
      <c r="K1" s="31"/>
    </row>
    <row r="2" spans="1:23" ht="18.75" x14ac:dyDescent="0.3">
      <c r="A2" s="30" t="s">
        <v>413</v>
      </c>
      <c r="B2" s="31"/>
      <c r="C2" s="31"/>
      <c r="D2" s="31"/>
      <c r="E2" s="31"/>
      <c r="F2" s="31"/>
      <c r="G2" s="31"/>
      <c r="H2" s="31"/>
      <c r="I2" s="31"/>
      <c r="J2" s="31"/>
      <c r="K2" s="31"/>
    </row>
    <row r="3" spans="1:23" ht="19.5" thickBot="1" x14ac:dyDescent="0.35">
      <c r="A3" s="32" t="s">
        <v>22</v>
      </c>
      <c r="B3" s="33"/>
      <c r="C3" s="33"/>
      <c r="D3" s="33"/>
      <c r="E3" s="33"/>
      <c r="F3" s="33"/>
      <c r="G3" s="33"/>
      <c r="H3" s="33"/>
      <c r="I3" s="33"/>
      <c r="J3" s="33"/>
      <c r="K3" s="33"/>
    </row>
    <row r="5" spans="1:23" ht="45" x14ac:dyDescent="0.25">
      <c r="A5" s="15" t="s">
        <v>20</v>
      </c>
      <c r="B5" s="16" t="s">
        <v>2</v>
      </c>
      <c r="C5" s="16" t="s">
        <v>3</v>
      </c>
      <c r="D5" s="16" t="s">
        <v>4</v>
      </c>
      <c r="E5" s="16" t="s">
        <v>265</v>
      </c>
      <c r="F5" s="16" t="s">
        <v>266</v>
      </c>
      <c r="G5" s="16" t="s">
        <v>344</v>
      </c>
      <c r="H5" s="16" t="s">
        <v>345</v>
      </c>
      <c r="I5" s="16" t="s">
        <v>346</v>
      </c>
      <c r="J5" s="16" t="s">
        <v>303</v>
      </c>
      <c r="K5" s="17" t="s">
        <v>18</v>
      </c>
    </row>
    <row r="6" spans="1:23" hidden="1" x14ac:dyDescent="0.25">
      <c r="A6" s="12"/>
      <c r="B6" s="13" t="s">
        <v>10</v>
      </c>
      <c r="C6" s="13" t="s">
        <v>11</v>
      </c>
      <c r="D6" s="13" t="s">
        <v>12</v>
      </c>
      <c r="E6" s="13" t="s">
        <v>267</v>
      </c>
      <c r="F6" s="13" t="s">
        <v>14</v>
      </c>
      <c r="G6" s="13" t="s">
        <v>15</v>
      </c>
      <c r="H6" s="13" t="s">
        <v>16</v>
      </c>
      <c r="I6" s="13" t="s">
        <v>17</v>
      </c>
      <c r="J6" s="13" t="s">
        <v>13</v>
      </c>
      <c r="K6" s="14"/>
      <c r="N6" s="13" t="s">
        <v>10</v>
      </c>
      <c r="O6" s="13" t="s">
        <v>11</v>
      </c>
      <c r="P6" s="13" t="s">
        <v>12</v>
      </c>
      <c r="Q6" s="13" t="s">
        <v>267</v>
      </c>
      <c r="R6" s="13" t="s">
        <v>14</v>
      </c>
      <c r="S6" s="13" t="s">
        <v>15</v>
      </c>
      <c r="T6" s="13" t="s">
        <v>16</v>
      </c>
      <c r="U6" s="13" t="s">
        <v>17</v>
      </c>
      <c r="V6" s="13" t="s">
        <v>13</v>
      </c>
    </row>
    <row r="7" spans="1:23" ht="18.75" x14ac:dyDescent="0.3">
      <c r="A7" s="82" t="s">
        <v>360</v>
      </c>
      <c r="B7" s="4"/>
      <c r="C7" s="4"/>
      <c r="D7" s="4"/>
      <c r="E7" s="4"/>
      <c r="F7" s="4"/>
      <c r="G7" s="4"/>
      <c r="H7" s="4"/>
      <c r="I7" s="4"/>
      <c r="J7" s="4"/>
      <c r="K7" s="9"/>
      <c r="M7" s="82" t="s">
        <v>359</v>
      </c>
      <c r="N7" s="4"/>
      <c r="O7" s="4"/>
      <c r="P7" s="4"/>
      <c r="Q7" s="4"/>
      <c r="R7" s="4"/>
      <c r="S7" s="4"/>
      <c r="T7" s="4"/>
      <c r="U7" s="4"/>
      <c r="V7" s="4"/>
      <c r="W7" s="9"/>
    </row>
    <row r="8" spans="1:23" x14ac:dyDescent="0.25">
      <c r="A8" s="27">
        <v>2006</v>
      </c>
      <c r="B8" s="5">
        <v>35142</v>
      </c>
      <c r="C8" s="5">
        <v>4009</v>
      </c>
      <c r="D8" s="5">
        <v>507</v>
      </c>
      <c r="E8" s="5">
        <v>1</v>
      </c>
      <c r="F8" s="5">
        <v>2</v>
      </c>
      <c r="G8" s="5">
        <v>0</v>
      </c>
      <c r="H8" s="5">
        <v>393</v>
      </c>
      <c r="I8" s="5">
        <v>12468</v>
      </c>
      <c r="J8" s="5">
        <v>0</v>
      </c>
      <c r="K8" s="10">
        <f t="shared" ref="K8:K16" si="0">SUM(B8:J8)</f>
        <v>52522</v>
      </c>
      <c r="M8" s="27">
        <v>2006</v>
      </c>
      <c r="N8" s="5">
        <v>35142</v>
      </c>
      <c r="O8" s="5">
        <v>4009</v>
      </c>
      <c r="P8" s="5">
        <v>505</v>
      </c>
      <c r="Q8" s="5">
        <v>3</v>
      </c>
      <c r="R8" s="5">
        <v>1</v>
      </c>
      <c r="S8" s="5">
        <v>0</v>
      </c>
      <c r="T8" s="5">
        <v>393</v>
      </c>
      <c r="U8" s="5">
        <v>12468</v>
      </c>
      <c r="V8" s="5">
        <v>0</v>
      </c>
      <c r="W8" s="10">
        <v>52522</v>
      </c>
    </row>
    <row r="9" spans="1:23" x14ac:dyDescent="0.25">
      <c r="A9" s="27">
        <v>2007</v>
      </c>
      <c r="B9" s="5">
        <f>ROUND(AVERAGE(N8:N9),0)</f>
        <v>35190</v>
      </c>
      <c r="C9" s="5">
        <f t="shared" ref="C9:J16" si="1">ROUND(AVERAGE(O8:O9),0)</f>
        <v>4001</v>
      </c>
      <c r="D9" s="5">
        <f t="shared" si="1"/>
        <v>512</v>
      </c>
      <c r="E9" s="5">
        <f t="shared" si="1"/>
        <v>3</v>
      </c>
      <c r="F9" s="5">
        <f t="shared" si="1"/>
        <v>1</v>
      </c>
      <c r="G9" s="5">
        <f t="shared" si="1"/>
        <v>0</v>
      </c>
      <c r="H9" s="5">
        <f t="shared" si="1"/>
        <v>394</v>
      </c>
      <c r="I9" s="5">
        <f t="shared" si="1"/>
        <v>12468</v>
      </c>
      <c r="J9" s="5">
        <f t="shared" si="1"/>
        <v>1</v>
      </c>
      <c r="K9" s="10">
        <f t="shared" si="0"/>
        <v>52570</v>
      </c>
      <c r="M9" s="27">
        <v>2007</v>
      </c>
      <c r="N9" s="5">
        <v>35238</v>
      </c>
      <c r="O9" s="5">
        <v>3993</v>
      </c>
      <c r="P9" s="5">
        <v>518</v>
      </c>
      <c r="Q9" s="5">
        <v>3</v>
      </c>
      <c r="R9" s="5">
        <v>1</v>
      </c>
      <c r="S9" s="5">
        <v>0</v>
      </c>
      <c r="T9" s="5">
        <v>394</v>
      </c>
      <c r="U9" s="5">
        <v>12468</v>
      </c>
      <c r="V9" s="5">
        <v>1</v>
      </c>
      <c r="W9" s="10">
        <v>52617</v>
      </c>
    </row>
    <row r="10" spans="1:23" x14ac:dyDescent="0.25">
      <c r="A10" s="27">
        <v>2008</v>
      </c>
      <c r="B10" s="5">
        <f t="shared" ref="B10:B16" si="2">ROUND(AVERAGE(N9:N10),0)</f>
        <v>35334</v>
      </c>
      <c r="C10" s="5">
        <f t="shared" si="1"/>
        <v>3976</v>
      </c>
      <c r="D10" s="5">
        <f t="shared" si="1"/>
        <v>522</v>
      </c>
      <c r="E10" s="5">
        <f t="shared" si="1"/>
        <v>3</v>
      </c>
      <c r="F10" s="5">
        <f t="shared" si="1"/>
        <v>1</v>
      </c>
      <c r="G10" s="5">
        <f t="shared" si="1"/>
        <v>0</v>
      </c>
      <c r="H10" s="5">
        <f t="shared" si="1"/>
        <v>393</v>
      </c>
      <c r="I10" s="5">
        <f t="shared" si="1"/>
        <v>12553</v>
      </c>
      <c r="J10" s="5">
        <f t="shared" si="1"/>
        <v>1</v>
      </c>
      <c r="K10" s="10">
        <f t="shared" si="0"/>
        <v>52783</v>
      </c>
      <c r="M10" s="27">
        <v>2008</v>
      </c>
      <c r="N10" s="5">
        <v>35429</v>
      </c>
      <c r="O10" s="5">
        <v>3959</v>
      </c>
      <c r="P10" s="5">
        <v>526</v>
      </c>
      <c r="Q10" s="5">
        <v>3</v>
      </c>
      <c r="R10" s="5">
        <v>1</v>
      </c>
      <c r="S10" s="5">
        <v>0</v>
      </c>
      <c r="T10" s="5">
        <v>391</v>
      </c>
      <c r="U10" s="5">
        <v>12637</v>
      </c>
      <c r="V10" s="5">
        <v>1</v>
      </c>
      <c r="W10" s="10">
        <v>52948</v>
      </c>
    </row>
    <row r="11" spans="1:23" x14ac:dyDescent="0.25">
      <c r="A11" s="27">
        <v>2009</v>
      </c>
      <c r="B11" s="5">
        <f t="shared" si="2"/>
        <v>35438</v>
      </c>
      <c r="C11" s="5">
        <f t="shared" si="1"/>
        <v>3919</v>
      </c>
      <c r="D11" s="5">
        <f t="shared" si="1"/>
        <v>516</v>
      </c>
      <c r="E11" s="5">
        <f t="shared" si="1"/>
        <v>3</v>
      </c>
      <c r="F11" s="5">
        <f t="shared" si="1"/>
        <v>1</v>
      </c>
      <c r="G11" s="5">
        <f t="shared" si="1"/>
        <v>122</v>
      </c>
      <c r="H11" s="5">
        <f t="shared" si="1"/>
        <v>390</v>
      </c>
      <c r="I11" s="5">
        <f t="shared" si="1"/>
        <v>12784</v>
      </c>
      <c r="J11" s="5">
        <f t="shared" si="1"/>
        <v>1</v>
      </c>
      <c r="K11" s="10">
        <f t="shared" si="0"/>
        <v>53174</v>
      </c>
      <c r="M11" s="27">
        <v>2009</v>
      </c>
      <c r="N11" s="5">
        <v>35447</v>
      </c>
      <c r="O11" s="5">
        <v>3879</v>
      </c>
      <c r="P11" s="5">
        <v>505</v>
      </c>
      <c r="Q11" s="5">
        <v>2</v>
      </c>
      <c r="R11" s="5">
        <v>1</v>
      </c>
      <c r="S11" s="5">
        <v>243</v>
      </c>
      <c r="T11" s="5">
        <v>388</v>
      </c>
      <c r="U11" s="5">
        <v>12931</v>
      </c>
      <c r="V11" s="5">
        <v>1</v>
      </c>
      <c r="W11" s="10">
        <v>53398</v>
      </c>
    </row>
    <row r="12" spans="1:23" x14ac:dyDescent="0.25">
      <c r="A12" s="27">
        <v>2010</v>
      </c>
      <c r="B12" s="5">
        <f t="shared" si="2"/>
        <v>35472</v>
      </c>
      <c r="C12" s="5">
        <f t="shared" si="1"/>
        <v>3916</v>
      </c>
      <c r="D12" s="5">
        <f t="shared" si="1"/>
        <v>495</v>
      </c>
      <c r="E12" s="5">
        <f t="shared" si="1"/>
        <v>2</v>
      </c>
      <c r="F12" s="5">
        <f t="shared" si="1"/>
        <v>1</v>
      </c>
      <c r="G12" s="5">
        <f t="shared" si="1"/>
        <v>244</v>
      </c>
      <c r="H12" s="5">
        <f t="shared" si="1"/>
        <v>388</v>
      </c>
      <c r="I12" s="5">
        <f t="shared" si="1"/>
        <v>12931</v>
      </c>
      <c r="J12" s="5">
        <f t="shared" si="1"/>
        <v>1</v>
      </c>
      <c r="K12" s="10">
        <f t="shared" si="0"/>
        <v>53450</v>
      </c>
      <c r="M12" s="27">
        <v>2010</v>
      </c>
      <c r="N12" s="5">
        <v>35496</v>
      </c>
      <c r="O12" s="5">
        <v>3952</v>
      </c>
      <c r="P12" s="5">
        <v>484</v>
      </c>
      <c r="Q12" s="5">
        <v>1.5</v>
      </c>
      <c r="R12" s="5">
        <v>1</v>
      </c>
      <c r="S12" s="5">
        <v>245</v>
      </c>
      <c r="T12" s="5">
        <v>388</v>
      </c>
      <c r="U12" s="5">
        <v>12931</v>
      </c>
      <c r="V12" s="5">
        <v>1</v>
      </c>
      <c r="W12" s="10">
        <v>53502</v>
      </c>
    </row>
    <row r="13" spans="1:23" x14ac:dyDescent="0.25">
      <c r="A13" s="27">
        <v>2011</v>
      </c>
      <c r="B13" s="5">
        <f t="shared" si="2"/>
        <v>35628</v>
      </c>
      <c r="C13" s="5">
        <f t="shared" si="1"/>
        <v>3907</v>
      </c>
      <c r="D13" s="5">
        <f t="shared" si="1"/>
        <v>489</v>
      </c>
      <c r="E13" s="5">
        <f t="shared" si="1"/>
        <v>1</v>
      </c>
      <c r="F13" s="5">
        <f t="shared" si="1"/>
        <v>1</v>
      </c>
      <c r="G13" s="5">
        <f t="shared" si="1"/>
        <v>245</v>
      </c>
      <c r="H13" s="5">
        <f t="shared" si="1"/>
        <v>388</v>
      </c>
      <c r="I13" s="5">
        <f t="shared" si="1"/>
        <v>12931</v>
      </c>
      <c r="J13" s="5">
        <f t="shared" si="1"/>
        <v>1</v>
      </c>
      <c r="K13" s="10">
        <f t="shared" si="0"/>
        <v>53591</v>
      </c>
      <c r="M13" s="27">
        <v>2011</v>
      </c>
      <c r="N13" s="5">
        <v>35760</v>
      </c>
      <c r="O13" s="5">
        <v>3862</v>
      </c>
      <c r="P13" s="5">
        <v>494</v>
      </c>
      <c r="Q13" s="5">
        <v>1</v>
      </c>
      <c r="R13" s="5">
        <v>1</v>
      </c>
      <c r="S13" s="5">
        <v>245</v>
      </c>
      <c r="T13" s="5">
        <v>388</v>
      </c>
      <c r="U13" s="5">
        <v>12931</v>
      </c>
      <c r="V13" s="5">
        <v>1</v>
      </c>
      <c r="W13" s="10">
        <v>53685</v>
      </c>
    </row>
    <row r="14" spans="1:23" x14ac:dyDescent="0.25">
      <c r="A14" s="27">
        <v>2012</v>
      </c>
      <c r="B14" s="5">
        <f t="shared" si="2"/>
        <v>35816</v>
      </c>
      <c r="C14" s="5">
        <f t="shared" si="1"/>
        <v>3859</v>
      </c>
      <c r="D14" s="5">
        <f t="shared" si="1"/>
        <v>498</v>
      </c>
      <c r="E14" s="5">
        <f t="shared" si="1"/>
        <v>1</v>
      </c>
      <c r="F14" s="5">
        <f t="shared" si="1"/>
        <v>1</v>
      </c>
      <c r="G14" s="5">
        <f t="shared" si="1"/>
        <v>245</v>
      </c>
      <c r="H14" s="5">
        <f t="shared" si="1"/>
        <v>388</v>
      </c>
      <c r="I14" s="5">
        <f t="shared" si="1"/>
        <v>12931</v>
      </c>
      <c r="J14" s="5">
        <f t="shared" si="1"/>
        <v>1</v>
      </c>
      <c r="K14" s="10">
        <f t="shared" si="0"/>
        <v>53740</v>
      </c>
      <c r="M14" s="27">
        <v>2012</v>
      </c>
      <c r="N14" s="5">
        <v>35872</v>
      </c>
      <c r="O14" s="5">
        <v>3855</v>
      </c>
      <c r="P14" s="5">
        <v>501</v>
      </c>
      <c r="Q14" s="5">
        <v>1</v>
      </c>
      <c r="R14" s="5">
        <v>1</v>
      </c>
      <c r="S14" s="5">
        <v>245</v>
      </c>
      <c r="T14" s="5">
        <v>388</v>
      </c>
      <c r="U14" s="5">
        <v>12931</v>
      </c>
      <c r="V14" s="5">
        <v>1</v>
      </c>
      <c r="W14" s="10">
        <v>53796</v>
      </c>
    </row>
    <row r="15" spans="1:23" x14ac:dyDescent="0.25">
      <c r="A15" s="27">
        <v>2013</v>
      </c>
      <c r="B15" s="5">
        <f t="shared" si="2"/>
        <v>35944</v>
      </c>
      <c r="C15" s="5">
        <f t="shared" si="1"/>
        <v>3862</v>
      </c>
      <c r="D15" s="5">
        <f t="shared" si="1"/>
        <v>499</v>
      </c>
      <c r="E15" s="5">
        <f t="shared" si="1"/>
        <v>1</v>
      </c>
      <c r="F15" s="5">
        <f t="shared" si="1"/>
        <v>1</v>
      </c>
      <c r="G15" s="5">
        <f t="shared" si="1"/>
        <v>248</v>
      </c>
      <c r="H15" s="5">
        <f t="shared" si="1"/>
        <v>441</v>
      </c>
      <c r="I15" s="5">
        <f t="shared" si="1"/>
        <v>12931</v>
      </c>
      <c r="J15" s="5">
        <f t="shared" si="1"/>
        <v>1</v>
      </c>
      <c r="K15" s="10">
        <f t="shared" si="0"/>
        <v>53928</v>
      </c>
      <c r="M15" s="27">
        <v>2013</v>
      </c>
      <c r="N15" s="5">
        <v>36016</v>
      </c>
      <c r="O15" s="5">
        <v>3869</v>
      </c>
      <c r="P15" s="5">
        <v>496</v>
      </c>
      <c r="Q15" s="5">
        <v>1</v>
      </c>
      <c r="R15" s="5">
        <v>1</v>
      </c>
      <c r="S15" s="5">
        <v>251</v>
      </c>
      <c r="T15" s="5">
        <v>493</v>
      </c>
      <c r="U15" s="5">
        <v>12930</v>
      </c>
      <c r="V15" s="5">
        <v>1</v>
      </c>
      <c r="W15" s="10">
        <v>54403</v>
      </c>
    </row>
    <row r="16" spans="1:23" x14ac:dyDescent="0.25">
      <c r="A16" s="28">
        <v>2014</v>
      </c>
      <c r="B16" s="5">
        <f t="shared" si="2"/>
        <v>36074</v>
      </c>
      <c r="C16" s="5">
        <f t="shared" si="1"/>
        <v>3870</v>
      </c>
      <c r="D16" s="5">
        <f t="shared" si="1"/>
        <v>497</v>
      </c>
      <c r="E16" s="5">
        <f t="shared" si="1"/>
        <v>1</v>
      </c>
      <c r="F16" s="5">
        <f t="shared" si="1"/>
        <v>1</v>
      </c>
      <c r="G16" s="5">
        <f t="shared" si="1"/>
        <v>251</v>
      </c>
      <c r="H16" s="5">
        <f t="shared" si="1"/>
        <v>487</v>
      </c>
      <c r="I16" s="5">
        <f t="shared" si="1"/>
        <v>12926</v>
      </c>
      <c r="J16" s="5">
        <f t="shared" si="1"/>
        <v>1</v>
      </c>
      <c r="K16" s="26">
        <f t="shared" si="0"/>
        <v>54108</v>
      </c>
      <c r="M16" s="28">
        <v>2014</v>
      </c>
      <c r="N16" s="5">
        <v>36131</v>
      </c>
      <c r="O16" s="5">
        <v>3871</v>
      </c>
      <c r="P16" s="5">
        <v>498</v>
      </c>
      <c r="Q16" s="5">
        <v>1</v>
      </c>
      <c r="R16" s="5">
        <v>1</v>
      </c>
      <c r="S16" s="5">
        <v>250</v>
      </c>
      <c r="T16" s="5">
        <v>481</v>
      </c>
      <c r="U16" s="5">
        <v>12922</v>
      </c>
      <c r="V16" s="5">
        <v>1</v>
      </c>
      <c r="W16" s="26">
        <v>54501</v>
      </c>
    </row>
    <row r="17" spans="1:23" x14ac:dyDescent="0.25">
      <c r="A17" s="83" t="s">
        <v>19</v>
      </c>
      <c r="B17" s="84">
        <f>AVERAGE(B8:B16)</f>
        <v>35559.777777777781</v>
      </c>
      <c r="C17" s="84">
        <f t="shared" ref="C17:K17" si="3">AVERAGE(C8:C16)</f>
        <v>3924.3333333333335</v>
      </c>
      <c r="D17" s="84">
        <f t="shared" si="3"/>
        <v>503.88888888888891</v>
      </c>
      <c r="E17" s="84">
        <f t="shared" si="3"/>
        <v>1.7777777777777777</v>
      </c>
      <c r="F17" s="84">
        <f>AVERAGE(F8:F16)</f>
        <v>1.1111111111111112</v>
      </c>
      <c r="G17" s="84">
        <f t="shared" si="3"/>
        <v>150.55555555555554</v>
      </c>
      <c r="H17" s="84">
        <f t="shared" si="3"/>
        <v>406.88888888888891</v>
      </c>
      <c r="I17" s="84">
        <f t="shared" si="3"/>
        <v>12769.222222222223</v>
      </c>
      <c r="J17" s="84">
        <f t="shared" si="3"/>
        <v>0.88888888888888884</v>
      </c>
      <c r="K17" s="85">
        <f t="shared" si="3"/>
        <v>53318.444444444445</v>
      </c>
    </row>
    <row r="18" spans="1:23" ht="18.75" x14ac:dyDescent="0.3">
      <c r="A18" s="81" t="s">
        <v>21</v>
      </c>
      <c r="B18" s="23"/>
      <c r="C18" s="23"/>
      <c r="D18" s="23"/>
      <c r="E18" s="23"/>
      <c r="F18" s="23"/>
      <c r="G18" s="23"/>
      <c r="H18" s="23"/>
      <c r="I18" s="23"/>
      <c r="J18" s="23"/>
      <c r="K18" s="24"/>
      <c r="U18" s="2">
        <f>U14-U15</f>
        <v>1</v>
      </c>
    </row>
    <row r="19" spans="1:23" x14ac:dyDescent="0.25">
      <c r="A19" s="27">
        <v>2006</v>
      </c>
      <c r="B19" s="5">
        <v>0</v>
      </c>
      <c r="C19" s="5">
        <v>0</v>
      </c>
      <c r="D19" s="5">
        <v>0</v>
      </c>
      <c r="E19" s="5">
        <v>0</v>
      </c>
      <c r="F19" s="5">
        <v>0</v>
      </c>
      <c r="G19" s="5">
        <v>0</v>
      </c>
      <c r="H19" s="5">
        <v>0</v>
      </c>
      <c r="I19" s="5">
        <v>0</v>
      </c>
      <c r="J19" s="5">
        <v>0</v>
      </c>
      <c r="K19" s="11"/>
    </row>
    <row r="20" spans="1:23" x14ac:dyDescent="0.25">
      <c r="A20" s="27">
        <v>2007</v>
      </c>
      <c r="B20" s="7">
        <f>IFERROR(ROUND(B9/B8,4),0)</f>
        <v>1.0014000000000001</v>
      </c>
      <c r="C20" s="7">
        <f t="shared" ref="C20:J20" si="4">IFERROR(ROUND(C9/C8,4),0)</f>
        <v>0.998</v>
      </c>
      <c r="D20" s="7">
        <f t="shared" si="4"/>
        <v>1.0099</v>
      </c>
      <c r="E20" s="7">
        <f t="shared" si="4"/>
        <v>3</v>
      </c>
      <c r="F20" s="7">
        <f t="shared" ref="F20:F27" si="5">IFERROR(ROUND(F9/F8,4),0)</f>
        <v>0.5</v>
      </c>
      <c r="G20" s="7">
        <f t="shared" si="4"/>
        <v>0</v>
      </c>
      <c r="H20" s="7">
        <f t="shared" si="4"/>
        <v>1.0024999999999999</v>
      </c>
      <c r="I20" s="7">
        <f t="shared" si="4"/>
        <v>1</v>
      </c>
      <c r="J20" s="7">
        <f t="shared" si="4"/>
        <v>0</v>
      </c>
      <c r="K20" s="11"/>
    </row>
    <row r="21" spans="1:23" x14ac:dyDescent="0.25">
      <c r="A21" s="27">
        <v>2008</v>
      </c>
      <c r="B21" s="7">
        <f t="shared" ref="B21:J27" si="6">IFERROR(ROUND(B10/B9,4),0)</f>
        <v>1.0041</v>
      </c>
      <c r="C21" s="7">
        <f t="shared" si="6"/>
        <v>0.99380000000000002</v>
      </c>
      <c r="D21" s="7">
        <f t="shared" si="6"/>
        <v>1.0195000000000001</v>
      </c>
      <c r="E21" s="7">
        <f t="shared" si="6"/>
        <v>1</v>
      </c>
      <c r="F21" s="7">
        <f t="shared" si="5"/>
        <v>1</v>
      </c>
      <c r="G21" s="7">
        <f t="shared" si="6"/>
        <v>0</v>
      </c>
      <c r="H21" s="7">
        <f t="shared" si="6"/>
        <v>0.99750000000000005</v>
      </c>
      <c r="I21" s="7">
        <f t="shared" si="6"/>
        <v>1.0067999999999999</v>
      </c>
      <c r="J21" s="7">
        <f t="shared" si="6"/>
        <v>1</v>
      </c>
      <c r="K21" s="11"/>
    </row>
    <row r="22" spans="1:23" x14ac:dyDescent="0.25">
      <c r="A22" s="27">
        <v>2009</v>
      </c>
      <c r="B22" s="7">
        <f t="shared" si="6"/>
        <v>1.0028999999999999</v>
      </c>
      <c r="C22" s="7">
        <f t="shared" si="6"/>
        <v>0.98570000000000002</v>
      </c>
      <c r="D22" s="7">
        <f t="shared" si="6"/>
        <v>0.98850000000000005</v>
      </c>
      <c r="E22" s="7">
        <f t="shared" si="6"/>
        <v>1</v>
      </c>
      <c r="F22" s="7">
        <f t="shared" si="5"/>
        <v>1</v>
      </c>
      <c r="G22" s="7">
        <f t="shared" si="6"/>
        <v>0</v>
      </c>
      <c r="H22" s="7">
        <f t="shared" si="6"/>
        <v>0.99239999999999995</v>
      </c>
      <c r="I22" s="7">
        <f t="shared" si="6"/>
        <v>1.0184</v>
      </c>
      <c r="J22" s="7">
        <f t="shared" si="6"/>
        <v>1</v>
      </c>
      <c r="K22" s="11"/>
    </row>
    <row r="23" spans="1:23" x14ac:dyDescent="0.25">
      <c r="A23" s="100">
        <v>2010</v>
      </c>
      <c r="B23" s="7">
        <f t="shared" si="6"/>
        <v>1.0009999999999999</v>
      </c>
      <c r="C23" s="7">
        <f t="shared" si="6"/>
        <v>0.99919999999999998</v>
      </c>
      <c r="D23" s="7">
        <f t="shared" si="6"/>
        <v>0.95930000000000004</v>
      </c>
      <c r="E23" s="7">
        <f t="shared" si="6"/>
        <v>0.66669999999999996</v>
      </c>
      <c r="F23" s="7">
        <f t="shared" si="5"/>
        <v>1</v>
      </c>
      <c r="G23" s="7">
        <f t="shared" si="6"/>
        <v>2</v>
      </c>
      <c r="H23" s="7">
        <f t="shared" si="6"/>
        <v>0.99490000000000001</v>
      </c>
      <c r="I23" s="7">
        <f t="shared" si="6"/>
        <v>1.0115000000000001</v>
      </c>
      <c r="J23" s="7">
        <f t="shared" si="6"/>
        <v>1</v>
      </c>
      <c r="K23" s="11"/>
    </row>
    <row r="24" spans="1:23" x14ac:dyDescent="0.25">
      <c r="A24" s="100">
        <v>2011</v>
      </c>
      <c r="B24" s="7">
        <f t="shared" si="6"/>
        <v>1.0044</v>
      </c>
      <c r="C24" s="7">
        <f t="shared" si="6"/>
        <v>0.99770000000000003</v>
      </c>
      <c r="D24" s="7">
        <f t="shared" si="6"/>
        <v>0.9879</v>
      </c>
      <c r="E24" s="7">
        <f t="shared" si="6"/>
        <v>0.5</v>
      </c>
      <c r="F24" s="7">
        <f t="shared" si="5"/>
        <v>1</v>
      </c>
      <c r="G24" s="7">
        <f t="shared" si="6"/>
        <v>1.0041</v>
      </c>
      <c r="H24" s="7">
        <f t="shared" si="6"/>
        <v>1</v>
      </c>
      <c r="I24" s="7">
        <f t="shared" si="6"/>
        <v>1</v>
      </c>
      <c r="J24" s="7">
        <f t="shared" si="6"/>
        <v>1</v>
      </c>
      <c r="K24" s="11"/>
    </row>
    <row r="25" spans="1:23" x14ac:dyDescent="0.25">
      <c r="A25" s="100">
        <v>2012</v>
      </c>
      <c r="B25" s="7">
        <f t="shared" si="6"/>
        <v>1.0053000000000001</v>
      </c>
      <c r="C25" s="7">
        <f t="shared" si="6"/>
        <v>0.98770000000000002</v>
      </c>
      <c r="D25" s="7">
        <f t="shared" si="6"/>
        <v>1.0184</v>
      </c>
      <c r="E25" s="7">
        <f t="shared" si="6"/>
        <v>1</v>
      </c>
      <c r="F25" s="7">
        <f t="shared" si="5"/>
        <v>1</v>
      </c>
      <c r="G25" s="7">
        <f t="shared" si="6"/>
        <v>1</v>
      </c>
      <c r="H25" s="7">
        <f t="shared" si="6"/>
        <v>1</v>
      </c>
      <c r="I25" s="7">
        <f t="shared" si="6"/>
        <v>1</v>
      </c>
      <c r="J25" s="7">
        <f t="shared" si="6"/>
        <v>1</v>
      </c>
      <c r="K25" s="11"/>
    </row>
    <row r="26" spans="1:23" x14ac:dyDescent="0.25">
      <c r="A26" s="100">
        <v>2013</v>
      </c>
      <c r="B26" s="7">
        <f t="shared" si="6"/>
        <v>1.0036</v>
      </c>
      <c r="C26" s="7">
        <f t="shared" si="6"/>
        <v>1.0007999999999999</v>
      </c>
      <c r="D26" s="7">
        <f t="shared" si="6"/>
        <v>1.002</v>
      </c>
      <c r="E26" s="7">
        <f t="shared" si="6"/>
        <v>1</v>
      </c>
      <c r="F26" s="7">
        <f t="shared" si="5"/>
        <v>1</v>
      </c>
      <c r="G26" s="7">
        <f t="shared" si="6"/>
        <v>1.0122</v>
      </c>
      <c r="H26" s="7">
        <f t="shared" si="6"/>
        <v>1.1366000000000001</v>
      </c>
      <c r="I26" s="7">
        <f t="shared" si="6"/>
        <v>1</v>
      </c>
      <c r="J26" s="7">
        <f t="shared" si="6"/>
        <v>1</v>
      </c>
      <c r="K26" s="11"/>
    </row>
    <row r="27" spans="1:23" x14ac:dyDescent="0.25">
      <c r="A27" s="101">
        <v>2014</v>
      </c>
      <c r="B27" s="21">
        <f t="shared" si="6"/>
        <v>1.0036</v>
      </c>
      <c r="C27" s="21">
        <f t="shared" si="6"/>
        <v>1.0021</v>
      </c>
      <c r="D27" s="21">
        <f t="shared" si="6"/>
        <v>0.996</v>
      </c>
      <c r="E27" s="21">
        <f t="shared" si="6"/>
        <v>1</v>
      </c>
      <c r="F27" s="21">
        <f t="shared" si="5"/>
        <v>1</v>
      </c>
      <c r="G27" s="21">
        <f t="shared" si="6"/>
        <v>1.0121</v>
      </c>
      <c r="H27" s="21">
        <f t="shared" si="6"/>
        <v>1.1043000000000001</v>
      </c>
      <c r="I27" s="21">
        <f t="shared" si="6"/>
        <v>0.99960000000000004</v>
      </c>
      <c r="J27" s="21">
        <f t="shared" si="6"/>
        <v>1</v>
      </c>
      <c r="K27" s="22"/>
    </row>
    <row r="28" spans="1:23" x14ac:dyDescent="0.25">
      <c r="A28" s="83" t="s">
        <v>73</v>
      </c>
      <c r="B28" s="86">
        <f>GEOMEAN(B23:B27)</f>
        <v>1.003578974104403</v>
      </c>
      <c r="C28" s="86">
        <f t="shared" ref="C28:J28" si="7">GEOMEAN(C23:C27)</f>
        <v>0.99748681095103398</v>
      </c>
      <c r="D28" s="86">
        <f t="shared" si="7"/>
        <v>0.99252756281044885</v>
      </c>
      <c r="E28" s="86">
        <f t="shared" si="7"/>
        <v>0.8027495890153048</v>
      </c>
      <c r="F28" s="86">
        <f>GEOMEAN(F23:F27)</f>
        <v>1</v>
      </c>
      <c r="G28" s="86">
        <f>GEOMEAN(G23:G27)</f>
        <v>1.1552057558426145</v>
      </c>
      <c r="H28" s="86">
        <f>GEOMEAN(H23:H27)</f>
        <v>1.0454296927258548</v>
      </c>
      <c r="I28" s="86">
        <f t="shared" si="7"/>
        <v>1.0022092964276443</v>
      </c>
      <c r="J28" s="86">
        <f t="shared" si="7"/>
        <v>1</v>
      </c>
      <c r="K28" s="87"/>
    </row>
    <row r="29" spans="1:23" ht="18.75" x14ac:dyDescent="0.3">
      <c r="A29" s="81" t="s">
        <v>361</v>
      </c>
      <c r="B29" s="23"/>
      <c r="C29" s="23"/>
      <c r="D29" s="23"/>
      <c r="E29" s="23"/>
      <c r="F29" s="23"/>
      <c r="G29" s="23"/>
      <c r="H29" s="23"/>
      <c r="I29" s="23"/>
      <c r="J29" s="23"/>
      <c r="K29" s="24"/>
    </row>
    <row r="30" spans="1:23" s="124" customFormat="1" x14ac:dyDescent="0.25">
      <c r="A30" s="100">
        <v>2015</v>
      </c>
      <c r="B30" s="36">
        <f>ROUND(B16*B28,0)</f>
        <v>36203</v>
      </c>
      <c r="C30" s="36">
        <f t="shared" ref="C30:J30" si="8">ROUND(C16*C28,0)</f>
        <v>3860</v>
      </c>
      <c r="D30" s="36">
        <f t="shared" si="8"/>
        <v>493</v>
      </c>
      <c r="E30" s="36">
        <f t="shared" si="8"/>
        <v>1</v>
      </c>
      <c r="F30" s="36">
        <f>ROUND(F16*F28,0)</f>
        <v>1</v>
      </c>
      <c r="G30" s="36">
        <f t="shared" si="8"/>
        <v>290</v>
      </c>
      <c r="H30" s="36">
        <f t="shared" si="8"/>
        <v>509</v>
      </c>
      <c r="I30" s="36">
        <f t="shared" si="8"/>
        <v>12955</v>
      </c>
      <c r="J30" s="36">
        <f t="shared" si="8"/>
        <v>1</v>
      </c>
      <c r="K30" s="123">
        <f t="shared" ref="K30:K31" si="9">SUM(B30:J30)</f>
        <v>54313</v>
      </c>
      <c r="M30"/>
      <c r="N30"/>
      <c r="O30"/>
      <c r="P30"/>
      <c r="Q30"/>
      <c r="R30"/>
      <c r="S30"/>
      <c r="T30"/>
      <c r="U30"/>
      <c r="V30"/>
      <c r="W30"/>
    </row>
    <row r="31" spans="1:23" s="124" customFormat="1" x14ac:dyDescent="0.25">
      <c r="A31" s="125">
        <v>2016</v>
      </c>
      <c r="B31" s="126">
        <f>ROUND(B30*B$28,0)</f>
        <v>36333</v>
      </c>
      <c r="C31" s="126">
        <f t="shared" ref="C31:J31" si="10">ROUND(C30*C$28,0)</f>
        <v>3850</v>
      </c>
      <c r="D31" s="126">
        <f t="shared" si="10"/>
        <v>489</v>
      </c>
      <c r="E31" s="126">
        <f t="shared" si="10"/>
        <v>1</v>
      </c>
      <c r="F31" s="126">
        <f>ROUND(F30*F$28,0)</f>
        <v>1</v>
      </c>
      <c r="G31" s="126">
        <f t="shared" si="10"/>
        <v>335</v>
      </c>
      <c r="H31" s="126">
        <f t="shared" si="10"/>
        <v>532</v>
      </c>
      <c r="I31" s="126">
        <f t="shared" si="10"/>
        <v>12984</v>
      </c>
      <c r="J31" s="126">
        <f t="shared" si="10"/>
        <v>1</v>
      </c>
      <c r="K31" s="127">
        <f t="shared" si="9"/>
        <v>54526</v>
      </c>
      <c r="M31"/>
      <c r="N31"/>
      <c r="O31"/>
      <c r="P31"/>
      <c r="Q31"/>
      <c r="R31"/>
      <c r="S31"/>
      <c r="T31"/>
      <c r="U31"/>
      <c r="V31"/>
      <c r="W31"/>
    </row>
    <row r="32" spans="1:23" ht="18.75" x14ac:dyDescent="0.3">
      <c r="A32" s="81" t="s">
        <v>371</v>
      </c>
      <c r="B32" s="23"/>
      <c r="C32" s="23"/>
      <c r="D32" s="23"/>
      <c r="E32" s="23"/>
      <c r="F32" s="23"/>
      <c r="G32" s="23"/>
      <c r="H32" s="23"/>
      <c r="I32" s="23"/>
      <c r="J32" s="23"/>
      <c r="K32" s="24"/>
    </row>
    <row r="33" spans="1:23" s="124" customFormat="1" x14ac:dyDescent="0.25">
      <c r="A33" s="100">
        <v>2015</v>
      </c>
      <c r="B33" s="36">
        <v>0</v>
      </c>
      <c r="C33" s="36">
        <v>0</v>
      </c>
      <c r="D33" s="36">
        <v>2</v>
      </c>
      <c r="E33" s="36">
        <v>0</v>
      </c>
      <c r="F33" s="36">
        <v>0</v>
      </c>
      <c r="G33" s="36">
        <v>0</v>
      </c>
      <c r="H33" s="36">
        <v>0</v>
      </c>
      <c r="I33" s="36">
        <v>0</v>
      </c>
      <c r="J33" s="36">
        <v>0</v>
      </c>
      <c r="K33" s="123">
        <f>SUM(B33:J33)</f>
        <v>2</v>
      </c>
      <c r="M33"/>
      <c r="N33"/>
      <c r="O33"/>
      <c r="P33"/>
      <c r="Q33"/>
      <c r="R33"/>
      <c r="S33"/>
      <c r="T33"/>
      <c r="U33"/>
      <c r="V33"/>
      <c r="W33"/>
    </row>
    <row r="34" spans="1:23" s="124" customFormat="1" x14ac:dyDescent="0.25">
      <c r="A34" s="125">
        <v>2016</v>
      </c>
      <c r="B34" s="126">
        <v>0</v>
      </c>
      <c r="C34" s="126">
        <v>0</v>
      </c>
      <c r="D34" s="126">
        <v>2</v>
      </c>
      <c r="E34" s="126">
        <v>0</v>
      </c>
      <c r="F34" s="126">
        <v>0</v>
      </c>
      <c r="G34" s="126">
        <v>0</v>
      </c>
      <c r="H34" s="126">
        <v>0</v>
      </c>
      <c r="I34" s="126">
        <v>0</v>
      </c>
      <c r="J34" s="126">
        <v>0</v>
      </c>
      <c r="K34" s="127">
        <f>SUM(B34:J34)</f>
        <v>2</v>
      </c>
      <c r="M34"/>
      <c r="N34"/>
      <c r="O34"/>
      <c r="P34"/>
      <c r="Q34"/>
      <c r="R34"/>
      <c r="S34"/>
      <c r="T34"/>
      <c r="U34"/>
      <c r="V34"/>
      <c r="W34"/>
    </row>
    <row r="35" spans="1:23" ht="18.75" x14ac:dyDescent="0.3">
      <c r="A35" s="81" t="s">
        <v>378</v>
      </c>
      <c r="B35" s="23"/>
      <c r="C35" s="23"/>
      <c r="D35" s="23"/>
      <c r="E35" s="23"/>
      <c r="F35" s="23"/>
      <c r="G35" s="23"/>
      <c r="H35" s="23"/>
      <c r="I35" s="23"/>
      <c r="J35" s="23"/>
      <c r="K35" s="24"/>
    </row>
    <row r="36" spans="1:23" s="124" customFormat="1" x14ac:dyDescent="0.25">
      <c r="A36" s="100">
        <v>2015</v>
      </c>
      <c r="B36" s="36">
        <f>B30+B33</f>
        <v>36203</v>
      </c>
      <c r="C36" s="36">
        <f t="shared" ref="C36:J36" si="11">C30+C33</f>
        <v>3860</v>
      </c>
      <c r="D36" s="36">
        <f t="shared" si="11"/>
        <v>495</v>
      </c>
      <c r="E36" s="36">
        <f t="shared" si="11"/>
        <v>1</v>
      </c>
      <c r="F36" s="36">
        <f t="shared" si="11"/>
        <v>1</v>
      </c>
      <c r="G36" s="36">
        <f t="shared" si="11"/>
        <v>290</v>
      </c>
      <c r="H36" s="36">
        <f t="shared" si="11"/>
        <v>509</v>
      </c>
      <c r="I36" s="36">
        <f t="shared" si="11"/>
        <v>12955</v>
      </c>
      <c r="J36" s="36">
        <f t="shared" si="11"/>
        <v>1</v>
      </c>
      <c r="K36" s="123">
        <f t="shared" ref="K36:K37" si="12">SUM(B36:J36)</f>
        <v>54315</v>
      </c>
      <c r="M36"/>
      <c r="N36"/>
      <c r="O36"/>
      <c r="P36"/>
      <c r="Q36"/>
      <c r="R36"/>
      <c r="S36"/>
      <c r="T36"/>
      <c r="U36"/>
      <c r="V36"/>
      <c r="W36"/>
    </row>
    <row r="37" spans="1:23" s="124" customFormat="1" x14ac:dyDescent="0.25">
      <c r="A37" s="125">
        <v>2016</v>
      </c>
      <c r="B37" s="126">
        <f>B31+B34</f>
        <v>36333</v>
      </c>
      <c r="C37" s="126">
        <f t="shared" ref="C37:J37" si="13">C31+C34</f>
        <v>3850</v>
      </c>
      <c r="D37" s="126">
        <f t="shared" si="13"/>
        <v>491</v>
      </c>
      <c r="E37" s="126">
        <f t="shared" si="13"/>
        <v>1</v>
      </c>
      <c r="F37" s="126">
        <f t="shared" si="13"/>
        <v>1</v>
      </c>
      <c r="G37" s="126">
        <f t="shared" si="13"/>
        <v>335</v>
      </c>
      <c r="H37" s="126">
        <f t="shared" si="13"/>
        <v>532</v>
      </c>
      <c r="I37" s="126">
        <f t="shared" si="13"/>
        <v>12984</v>
      </c>
      <c r="J37" s="126">
        <f t="shared" si="13"/>
        <v>1</v>
      </c>
      <c r="K37" s="127">
        <f t="shared" si="12"/>
        <v>54528</v>
      </c>
      <c r="M37"/>
      <c r="N37"/>
      <c r="O37"/>
      <c r="P37"/>
      <c r="Q37"/>
      <c r="R37"/>
      <c r="S37"/>
      <c r="T37"/>
      <c r="U37"/>
      <c r="V37"/>
      <c r="W37"/>
    </row>
  </sheetData>
  <pageMargins left="0.7" right="0.7" top="0.75" bottom="0.75" header="0.3" footer="0.3"/>
  <pageSetup scale="89" fitToHeight="2" orientation="landscape" r:id="rId1"/>
  <headerFooter>
    <oddFooter>&amp;R&amp;P/&amp;N</oddFooter>
  </headerFooter>
  <ignoredErrors>
    <ignoredError sqref="K8 K33:K3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zoomScale="110" zoomScaleNormal="110" workbookViewId="0">
      <pane xSplit="1" ySplit="6" topLeftCell="B7" activePane="bottomRight" state="frozen"/>
      <selection activeCell="O5" sqref="O5"/>
      <selection pane="topRight" activeCell="O5" sqref="O5"/>
      <selection pane="bottomLeft" activeCell="O5" sqref="O5"/>
      <selection pane="bottomRight" activeCell="O5" sqref="O5"/>
    </sheetView>
  </sheetViews>
  <sheetFormatPr defaultRowHeight="15" x14ac:dyDescent="0.25"/>
  <cols>
    <col min="1" max="1" width="7" customWidth="1"/>
    <col min="2" max="10" width="12.7109375" customWidth="1"/>
    <col min="11" max="11" width="14.7109375" customWidth="1"/>
  </cols>
  <sheetData>
    <row r="1" spans="1:11" ht="18.75" x14ac:dyDescent="0.3">
      <c r="A1" s="30" t="s">
        <v>0</v>
      </c>
      <c r="B1" s="31"/>
      <c r="C1" s="31"/>
      <c r="D1" s="31"/>
      <c r="E1" s="31"/>
      <c r="F1" s="31"/>
      <c r="G1" s="31"/>
      <c r="H1" s="31"/>
      <c r="I1" s="31"/>
      <c r="J1" s="31"/>
      <c r="K1" s="31"/>
    </row>
    <row r="2" spans="1:11" ht="18.75" x14ac:dyDescent="0.3">
      <c r="A2" s="30" t="s">
        <v>413</v>
      </c>
      <c r="B2" s="31"/>
      <c r="C2" s="31"/>
      <c r="D2" s="31"/>
      <c r="E2" s="31"/>
      <c r="F2" s="31"/>
      <c r="G2" s="31"/>
      <c r="H2" s="31"/>
      <c r="I2" s="31"/>
      <c r="J2" s="31"/>
      <c r="K2" s="31"/>
    </row>
    <row r="3" spans="1:11" ht="19.5" thickBot="1" x14ac:dyDescent="0.35">
      <c r="A3" s="32" t="s">
        <v>69</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303</v>
      </c>
      <c r="K5" s="17" t="s">
        <v>18</v>
      </c>
    </row>
    <row r="6" spans="1:11" hidden="1" x14ac:dyDescent="0.25">
      <c r="A6" s="134"/>
      <c r="B6" s="135" t="s">
        <v>10</v>
      </c>
      <c r="C6" s="135" t="s">
        <v>11</v>
      </c>
      <c r="D6" s="135" t="s">
        <v>12</v>
      </c>
      <c r="E6" s="135" t="s">
        <v>267</v>
      </c>
      <c r="F6" s="135" t="s">
        <v>14</v>
      </c>
      <c r="G6" s="135" t="s">
        <v>15</v>
      </c>
      <c r="H6" s="135" t="s">
        <v>16</v>
      </c>
      <c r="I6" s="135" t="s">
        <v>17</v>
      </c>
      <c r="J6" s="135" t="s">
        <v>13</v>
      </c>
      <c r="K6" s="136"/>
    </row>
    <row r="7" spans="1:11" ht="18.75" x14ac:dyDescent="0.3">
      <c r="A7" s="137" t="s">
        <v>65</v>
      </c>
      <c r="B7" s="138"/>
      <c r="C7" s="138"/>
      <c r="D7" s="138"/>
      <c r="E7" s="138"/>
      <c r="F7" s="138"/>
      <c r="G7" s="138"/>
      <c r="H7" s="138"/>
      <c r="I7" s="138"/>
      <c r="J7" s="138"/>
      <c r="K7" s="139"/>
    </row>
    <row r="8" spans="1:11" x14ac:dyDescent="0.25">
      <c r="A8" s="27">
        <v>2006</v>
      </c>
      <c r="B8" s="5">
        <v>302355083</v>
      </c>
      <c r="C8" s="5">
        <v>129600878</v>
      </c>
      <c r="D8" s="5">
        <v>504845308</v>
      </c>
      <c r="E8" s="5">
        <v>92372408</v>
      </c>
      <c r="F8" s="5">
        <v>36694467</v>
      </c>
      <c r="G8" s="36">
        <v>0</v>
      </c>
      <c r="H8" s="5">
        <v>454662</v>
      </c>
      <c r="I8" s="5">
        <v>8797196</v>
      </c>
      <c r="J8" s="36">
        <v>0</v>
      </c>
      <c r="K8" s="10">
        <f t="shared" ref="K8:K16" si="0">SUM(B8:J8)</f>
        <v>1075120002</v>
      </c>
    </row>
    <row r="9" spans="1:11" x14ac:dyDescent="0.25">
      <c r="A9" s="27">
        <v>2007</v>
      </c>
      <c r="B9" s="5">
        <v>299638406</v>
      </c>
      <c r="C9" s="5">
        <v>126763870</v>
      </c>
      <c r="D9" s="5">
        <v>493605092</v>
      </c>
      <c r="E9" s="5">
        <v>89275102</v>
      </c>
      <c r="F9" s="5">
        <v>27015842</v>
      </c>
      <c r="G9" s="36">
        <v>0</v>
      </c>
      <c r="H9" s="5">
        <v>445369</v>
      </c>
      <c r="I9" s="5">
        <v>8797782</v>
      </c>
      <c r="J9" s="5">
        <v>5294429</v>
      </c>
      <c r="K9" s="10">
        <f t="shared" si="0"/>
        <v>1050835892</v>
      </c>
    </row>
    <row r="10" spans="1:11" x14ac:dyDescent="0.25">
      <c r="A10" s="27">
        <v>2008</v>
      </c>
      <c r="B10" s="5">
        <v>296054771</v>
      </c>
      <c r="C10" s="5">
        <v>125816796</v>
      </c>
      <c r="D10" s="5">
        <v>460933142</v>
      </c>
      <c r="E10" s="5">
        <v>98751177</v>
      </c>
      <c r="F10" s="5">
        <v>22647906</v>
      </c>
      <c r="G10" s="36">
        <v>0</v>
      </c>
      <c r="H10" s="5">
        <v>436740</v>
      </c>
      <c r="I10" s="5">
        <v>8199730</v>
      </c>
      <c r="J10" s="5">
        <v>5200141</v>
      </c>
      <c r="K10" s="10">
        <f t="shared" si="0"/>
        <v>1018040403</v>
      </c>
    </row>
    <row r="11" spans="1:11" x14ac:dyDescent="0.25">
      <c r="A11" s="27">
        <v>2009</v>
      </c>
      <c r="B11" s="5">
        <v>291091689</v>
      </c>
      <c r="C11" s="5">
        <v>114518667</v>
      </c>
      <c r="D11" s="5">
        <v>390850430</v>
      </c>
      <c r="E11" s="36">
        <v>53009042</v>
      </c>
      <c r="F11" s="36">
        <v>17181839</v>
      </c>
      <c r="G11" s="5">
        <v>1158647</v>
      </c>
      <c r="H11" s="5">
        <v>440153</v>
      </c>
      <c r="I11" s="5">
        <v>8235437</v>
      </c>
      <c r="J11" s="5">
        <v>5213283</v>
      </c>
      <c r="K11" s="10">
        <f t="shared" si="0"/>
        <v>881699187</v>
      </c>
    </row>
    <row r="12" spans="1:11" x14ac:dyDescent="0.25">
      <c r="A12" s="27">
        <v>2010</v>
      </c>
      <c r="B12" s="5">
        <v>301267823</v>
      </c>
      <c r="C12" s="5">
        <v>116294933</v>
      </c>
      <c r="D12" s="5">
        <v>430893980</v>
      </c>
      <c r="E12" s="5">
        <v>35030946</v>
      </c>
      <c r="F12" s="5">
        <v>29034336</v>
      </c>
      <c r="G12" s="5">
        <v>1191306</v>
      </c>
      <c r="H12" s="5">
        <v>433931</v>
      </c>
      <c r="I12" s="5">
        <v>8221743</v>
      </c>
      <c r="J12" s="5">
        <v>4851464</v>
      </c>
      <c r="K12" s="10">
        <f t="shared" si="0"/>
        <v>927220462</v>
      </c>
    </row>
    <row r="13" spans="1:11" x14ac:dyDescent="0.25">
      <c r="A13" s="27">
        <v>2011</v>
      </c>
      <c r="B13" s="5">
        <v>299495986</v>
      </c>
      <c r="C13" s="5">
        <v>116705566</v>
      </c>
      <c r="D13" s="5">
        <v>439685447</v>
      </c>
      <c r="E13" s="5">
        <v>28996883</v>
      </c>
      <c r="F13" s="5">
        <v>34298990</v>
      </c>
      <c r="G13" s="5">
        <v>1249000</v>
      </c>
      <c r="H13" s="5">
        <v>353837</v>
      </c>
      <c r="I13" s="5">
        <v>8221874</v>
      </c>
      <c r="J13" s="5">
        <v>4151567</v>
      </c>
      <c r="K13" s="10">
        <f t="shared" si="0"/>
        <v>933159150</v>
      </c>
    </row>
    <row r="14" spans="1:11" x14ac:dyDescent="0.25">
      <c r="A14" s="27">
        <v>2012</v>
      </c>
      <c r="B14" s="5">
        <v>296656279</v>
      </c>
      <c r="C14" s="5">
        <v>109007040</v>
      </c>
      <c r="D14" s="5">
        <v>451375918</v>
      </c>
      <c r="E14" s="5">
        <v>28118306</v>
      </c>
      <c r="F14" s="5">
        <v>34317082</v>
      </c>
      <c r="G14" s="5">
        <v>1213037</v>
      </c>
      <c r="H14" s="5">
        <v>405259</v>
      </c>
      <c r="I14" s="5">
        <v>8250167</v>
      </c>
      <c r="J14" s="5">
        <v>4555496</v>
      </c>
      <c r="K14" s="10">
        <f t="shared" si="0"/>
        <v>933898584</v>
      </c>
    </row>
    <row r="15" spans="1:11" x14ac:dyDescent="0.25">
      <c r="A15" s="27">
        <v>2013</v>
      </c>
      <c r="B15" s="5">
        <v>281071800</v>
      </c>
      <c r="C15" s="5">
        <v>105791729</v>
      </c>
      <c r="D15" s="5">
        <v>456115509</v>
      </c>
      <c r="E15" s="5">
        <v>39427413</v>
      </c>
      <c r="F15" s="5">
        <v>32247068</v>
      </c>
      <c r="G15" s="5">
        <v>1228666</v>
      </c>
      <c r="H15" s="5">
        <v>410160</v>
      </c>
      <c r="I15" s="5">
        <v>7792246</v>
      </c>
      <c r="J15" s="5">
        <v>4612024</v>
      </c>
      <c r="K15" s="10">
        <f t="shared" si="0"/>
        <v>928696615</v>
      </c>
    </row>
    <row r="16" spans="1:11" x14ac:dyDescent="0.25">
      <c r="A16" s="28">
        <v>2014</v>
      </c>
      <c r="B16" s="25">
        <v>289455443</v>
      </c>
      <c r="C16" s="25">
        <v>108543510</v>
      </c>
      <c r="D16" s="25">
        <v>457346103</v>
      </c>
      <c r="E16" s="25">
        <v>33167215</v>
      </c>
      <c r="F16" s="25">
        <v>31573402</v>
      </c>
      <c r="G16" s="25">
        <v>1249444</v>
      </c>
      <c r="H16" s="25">
        <v>408652</v>
      </c>
      <c r="I16" s="25">
        <v>7533249</v>
      </c>
      <c r="J16" s="25">
        <v>4634801</v>
      </c>
      <c r="K16" s="26">
        <f t="shared" si="0"/>
        <v>933911819</v>
      </c>
    </row>
    <row r="17" spans="1:11" ht="18.75" x14ac:dyDescent="0.3">
      <c r="A17" s="137" t="s">
        <v>66</v>
      </c>
      <c r="B17" s="138"/>
      <c r="C17" s="138"/>
      <c r="D17" s="138"/>
      <c r="E17" s="138"/>
      <c r="F17" s="138"/>
      <c r="G17" s="138"/>
      <c r="H17" s="138"/>
      <c r="I17" s="138"/>
      <c r="J17" s="138"/>
      <c r="K17" s="139"/>
    </row>
    <row r="18" spans="1:11" x14ac:dyDescent="0.25">
      <c r="A18" s="140">
        <v>2006</v>
      </c>
      <c r="B18" s="141">
        <f>IFERROR(ROUND(B8/'Rate Class Customer Model'!B8,0),0)</f>
        <v>8604</v>
      </c>
      <c r="C18" s="141">
        <f>IFERROR(ROUND(C8/'Rate Class Customer Model'!C8,0),0)</f>
        <v>32327</v>
      </c>
      <c r="D18" s="141">
        <f>IFERROR(ROUND(D8/'Rate Class Customer Model'!D8,0),0)</f>
        <v>995750</v>
      </c>
      <c r="E18" s="141">
        <f>IFERROR(ROUND(E8/'Rate Class Customer Model'!E8,0),0)</f>
        <v>92372408</v>
      </c>
      <c r="F18" s="141">
        <f>IFERROR(ROUND(F8/'Rate Class Customer Model'!F8,0),0)</f>
        <v>18347234</v>
      </c>
      <c r="G18" s="141">
        <f>IFERROR(ROUND(G8/'Rate Class Customer Model'!G8,0),0)</f>
        <v>0</v>
      </c>
      <c r="H18" s="141">
        <f>IFERROR(ROUND(H8/'Rate Class Customer Model'!H8,0),0)</f>
        <v>1157</v>
      </c>
      <c r="I18" s="141">
        <f>IFERROR(ROUND(I8/'Rate Class Customer Model'!I8,0),0)</f>
        <v>706</v>
      </c>
      <c r="J18" s="141">
        <f>IFERROR(ROUND(J8/'Rate Class Customer Model'!J8,0),0)</f>
        <v>0</v>
      </c>
      <c r="K18" s="142"/>
    </row>
    <row r="19" spans="1:11" x14ac:dyDescent="0.25">
      <c r="A19" s="27">
        <v>2007</v>
      </c>
      <c r="B19" s="5">
        <f>IFERROR(ROUND(B9/'Rate Class Customer Model'!B9,0),0)</f>
        <v>8515</v>
      </c>
      <c r="C19" s="5">
        <f>IFERROR(ROUND(C9/'Rate Class Customer Model'!C9,0),0)</f>
        <v>31683</v>
      </c>
      <c r="D19" s="5">
        <f>IFERROR(ROUND(D9/'Rate Class Customer Model'!D9,0),0)</f>
        <v>964072</v>
      </c>
      <c r="E19" s="5">
        <f>IFERROR(ROUND(E9/'Rate Class Customer Model'!E9,0),0)</f>
        <v>29758367</v>
      </c>
      <c r="F19" s="5">
        <f>IFERROR(ROUND(F9/'Rate Class Customer Model'!F9,0),0)</f>
        <v>27015842</v>
      </c>
      <c r="G19" s="5">
        <f>IFERROR(ROUND(G9/'Rate Class Customer Model'!G9,0),0)</f>
        <v>0</v>
      </c>
      <c r="H19" s="5">
        <f>IFERROR(ROUND(H9/'Rate Class Customer Model'!H9,0),0)</f>
        <v>1130</v>
      </c>
      <c r="I19" s="5">
        <f>IFERROR(ROUND(I9/'Rate Class Customer Model'!I9,0),0)</f>
        <v>706</v>
      </c>
      <c r="J19" s="5">
        <f>IFERROR(ROUND(J9/'Rate Class Customer Model'!J9,0),0)</f>
        <v>5294429</v>
      </c>
      <c r="K19" s="11"/>
    </row>
    <row r="20" spans="1:11" x14ac:dyDescent="0.25">
      <c r="A20" s="27">
        <v>2008</v>
      </c>
      <c r="B20" s="5">
        <f>IFERROR(ROUND(B10/'Rate Class Customer Model'!B10,0),0)</f>
        <v>8379</v>
      </c>
      <c r="C20" s="5">
        <f>IFERROR(ROUND(C10/'Rate Class Customer Model'!C10,0),0)</f>
        <v>31644</v>
      </c>
      <c r="D20" s="5">
        <f>IFERROR(ROUND(D10/'Rate Class Customer Model'!D10,0),0)</f>
        <v>883014</v>
      </c>
      <c r="E20" s="5">
        <f>IFERROR(ROUND(E10/'Rate Class Customer Model'!E10,0),0)</f>
        <v>32917059</v>
      </c>
      <c r="F20" s="5">
        <f>IFERROR(ROUND(F10/'Rate Class Customer Model'!F10,0),0)</f>
        <v>22647906</v>
      </c>
      <c r="G20" s="5">
        <f>IFERROR(ROUND(G10/'Rate Class Customer Model'!G10,0),0)</f>
        <v>0</v>
      </c>
      <c r="H20" s="5">
        <f>IFERROR(ROUND(H10/'Rate Class Customer Model'!H10,0),0)</f>
        <v>1111</v>
      </c>
      <c r="I20" s="5">
        <f>IFERROR(ROUND(I10/'Rate Class Customer Model'!I10,0),0)</f>
        <v>653</v>
      </c>
      <c r="J20" s="5">
        <f>IFERROR(ROUND(J10/'Rate Class Customer Model'!J10,0),0)</f>
        <v>5200141</v>
      </c>
      <c r="K20" s="11"/>
    </row>
    <row r="21" spans="1:11" x14ac:dyDescent="0.25">
      <c r="A21" s="27">
        <v>2009</v>
      </c>
      <c r="B21" s="5">
        <f>IFERROR(ROUND(B11/'Rate Class Customer Model'!B11,0),0)</f>
        <v>8214</v>
      </c>
      <c r="C21" s="5">
        <f>IFERROR(ROUND(C11/'Rate Class Customer Model'!C11,0),0)</f>
        <v>29221</v>
      </c>
      <c r="D21" s="5">
        <f>IFERROR(ROUND(D11/'Rate Class Customer Model'!D11,0),0)</f>
        <v>757462</v>
      </c>
      <c r="E21" s="5">
        <f>IFERROR(ROUND(E11/'Rate Class Customer Model'!E11,0),0)</f>
        <v>17669681</v>
      </c>
      <c r="F21" s="5">
        <f>IFERROR(ROUND(F11/'Rate Class Customer Model'!F11,0),0)</f>
        <v>17181839</v>
      </c>
      <c r="G21" s="5">
        <f>IFERROR(ROUND(G11/'Rate Class Customer Model'!G11,0),0)</f>
        <v>9497</v>
      </c>
      <c r="H21" s="5">
        <f>IFERROR(ROUND(H11/'Rate Class Customer Model'!H11,0),0)</f>
        <v>1129</v>
      </c>
      <c r="I21" s="5">
        <f>IFERROR(ROUND(I11/'Rate Class Customer Model'!I11,0),0)</f>
        <v>644</v>
      </c>
      <c r="J21" s="5">
        <f>IFERROR(ROUND(J11/'Rate Class Customer Model'!J11,0),0)</f>
        <v>5213283</v>
      </c>
      <c r="K21" s="11"/>
    </row>
    <row r="22" spans="1:11" x14ac:dyDescent="0.25">
      <c r="A22" s="27">
        <v>2010</v>
      </c>
      <c r="B22" s="5">
        <f>IFERROR(ROUND(B12/'Rate Class Customer Model'!B12,0),0)</f>
        <v>8493</v>
      </c>
      <c r="C22" s="5">
        <f>IFERROR(ROUND(C12/'Rate Class Customer Model'!C12,0),0)</f>
        <v>29697</v>
      </c>
      <c r="D22" s="5">
        <f>IFERROR(ROUND(D12/'Rate Class Customer Model'!D12,0),0)</f>
        <v>870493</v>
      </c>
      <c r="E22" s="5">
        <f>IFERROR(ROUND(E12/'Rate Class Customer Model'!E12,0),0)</f>
        <v>17515473</v>
      </c>
      <c r="F22" s="5">
        <f>IFERROR(ROUND(F12/'Rate Class Customer Model'!F12,0),0)</f>
        <v>29034336</v>
      </c>
      <c r="G22" s="5">
        <f>IFERROR(ROUND(G12/'Rate Class Customer Model'!G12,0),0)</f>
        <v>4882</v>
      </c>
      <c r="H22" s="5">
        <f>IFERROR(ROUND(H12/'Rate Class Customer Model'!H12,0),0)</f>
        <v>1118</v>
      </c>
      <c r="I22" s="5">
        <f>IFERROR(ROUND(I12/'Rate Class Customer Model'!I12,0),0)</f>
        <v>636</v>
      </c>
      <c r="J22" s="5">
        <f>IFERROR(ROUND(J12/'Rate Class Customer Model'!J12,0),0)</f>
        <v>4851464</v>
      </c>
      <c r="K22" s="11"/>
    </row>
    <row r="23" spans="1:11" x14ac:dyDescent="0.25">
      <c r="A23" s="27">
        <v>2011</v>
      </c>
      <c r="B23" s="5">
        <f>IFERROR(ROUND(B13/'Rate Class Customer Model'!B13,0),0)</f>
        <v>8406</v>
      </c>
      <c r="C23" s="5">
        <f>IFERROR(ROUND(C13/'Rate Class Customer Model'!C13,0),0)</f>
        <v>29871</v>
      </c>
      <c r="D23" s="5">
        <f>IFERROR(ROUND(D13/'Rate Class Customer Model'!D13,0),0)</f>
        <v>899152</v>
      </c>
      <c r="E23" s="5">
        <f>IFERROR(ROUND(E13/'Rate Class Customer Model'!E13,0),0)</f>
        <v>28996883</v>
      </c>
      <c r="F23" s="5">
        <f>IFERROR(ROUND(F13/'Rate Class Customer Model'!F13,0),0)</f>
        <v>34298990</v>
      </c>
      <c r="G23" s="5">
        <f>IFERROR(ROUND(G13/'Rate Class Customer Model'!G13,0),0)</f>
        <v>5098</v>
      </c>
      <c r="H23" s="5">
        <f>IFERROR(ROUND(H13/'Rate Class Customer Model'!H13,0),0)</f>
        <v>912</v>
      </c>
      <c r="I23" s="5">
        <f>IFERROR(ROUND(I13/'Rate Class Customer Model'!I13,0),0)</f>
        <v>636</v>
      </c>
      <c r="J23" s="5">
        <f>IFERROR(ROUND(J13/'Rate Class Customer Model'!J13,0),0)</f>
        <v>4151567</v>
      </c>
      <c r="K23" s="11"/>
    </row>
    <row r="24" spans="1:11" x14ac:dyDescent="0.25">
      <c r="A24" s="27">
        <v>2012</v>
      </c>
      <c r="B24" s="5">
        <f>IFERROR(ROUND(B14/'Rate Class Customer Model'!B14,0),0)</f>
        <v>8283</v>
      </c>
      <c r="C24" s="5">
        <f>IFERROR(ROUND(C14/'Rate Class Customer Model'!C14,0),0)</f>
        <v>28247</v>
      </c>
      <c r="D24" s="5">
        <f>IFERROR(ROUND(D14/'Rate Class Customer Model'!D14,0),0)</f>
        <v>906377</v>
      </c>
      <c r="E24" s="5">
        <f>IFERROR(ROUND(E14/'Rate Class Customer Model'!E14,0),0)</f>
        <v>28118306</v>
      </c>
      <c r="F24" s="5">
        <f>IFERROR(ROUND(F14/'Rate Class Customer Model'!F14,0),0)</f>
        <v>34317082</v>
      </c>
      <c r="G24" s="5">
        <f>IFERROR(ROUND(G14/'Rate Class Customer Model'!G14,0),0)</f>
        <v>4951</v>
      </c>
      <c r="H24" s="5">
        <f>IFERROR(ROUND(H14/'Rate Class Customer Model'!H14,0),0)</f>
        <v>1044</v>
      </c>
      <c r="I24" s="5">
        <f>IFERROR(ROUND(I14/'Rate Class Customer Model'!I14,0),0)</f>
        <v>638</v>
      </c>
      <c r="J24" s="5">
        <f>IFERROR(ROUND(J14/'Rate Class Customer Model'!J14,0),0)</f>
        <v>4555496</v>
      </c>
      <c r="K24" s="11"/>
    </row>
    <row r="25" spans="1:11" x14ac:dyDescent="0.25">
      <c r="A25" s="27">
        <v>2013</v>
      </c>
      <c r="B25" s="5">
        <f>IFERROR(ROUND(B15/'Rate Class Customer Model'!B15,0),0)</f>
        <v>7820</v>
      </c>
      <c r="C25" s="5">
        <f>IFERROR(ROUND(C15/'Rate Class Customer Model'!C15,0),0)</f>
        <v>27393</v>
      </c>
      <c r="D25" s="5">
        <f>IFERROR(ROUND(D15/'Rate Class Customer Model'!D15,0),0)</f>
        <v>914059</v>
      </c>
      <c r="E25" s="5">
        <f>IFERROR(ROUND(E15/'Rate Class Customer Model'!E15,0),0)</f>
        <v>39427413</v>
      </c>
      <c r="F25" s="5">
        <f>IFERROR(ROUND(F15/'Rate Class Customer Model'!F15,0),0)</f>
        <v>32247068</v>
      </c>
      <c r="G25" s="5">
        <f>IFERROR(ROUND(G15/'Rate Class Customer Model'!G15,0),0)</f>
        <v>4954</v>
      </c>
      <c r="H25" s="5">
        <f>IFERROR(ROUND(H15/'Rate Class Customer Model'!H15,0),0)</f>
        <v>930</v>
      </c>
      <c r="I25" s="5">
        <f>IFERROR(ROUND(I15/'Rate Class Customer Model'!I15,0),0)</f>
        <v>603</v>
      </c>
      <c r="J25" s="5">
        <f>IFERROR(ROUND(J15/'Rate Class Customer Model'!J15,0),0)</f>
        <v>4612024</v>
      </c>
      <c r="K25" s="11"/>
    </row>
    <row r="26" spans="1:11" x14ac:dyDescent="0.25">
      <c r="A26" s="29">
        <v>2014</v>
      </c>
      <c r="B26" s="19">
        <f>IFERROR(ROUND(B16/'Rate Class Customer Model'!B16,0),0)</f>
        <v>8024</v>
      </c>
      <c r="C26" s="19">
        <f>IFERROR(ROUND(C16/'Rate Class Customer Model'!C16,0),0)</f>
        <v>28047</v>
      </c>
      <c r="D26" s="19">
        <f>IFERROR(ROUND(D16/'Rate Class Customer Model'!D16,0),0)</f>
        <v>920213</v>
      </c>
      <c r="E26" s="19">
        <f>IFERROR(ROUND(E16/'Rate Class Customer Model'!E16,0),0)</f>
        <v>33167215</v>
      </c>
      <c r="F26" s="19">
        <f>IFERROR(ROUND(F16/'Rate Class Customer Model'!F16,0),0)</f>
        <v>31573402</v>
      </c>
      <c r="G26" s="19">
        <f>IFERROR(ROUND(G16/'Rate Class Customer Model'!G16,0),0)</f>
        <v>4978</v>
      </c>
      <c r="H26" s="19">
        <f>IFERROR(ROUND(H16/'Rate Class Customer Model'!H16,0),0)</f>
        <v>839</v>
      </c>
      <c r="I26" s="19">
        <f>IFERROR(ROUND(I16/'Rate Class Customer Model'!I16,0),0)</f>
        <v>583</v>
      </c>
      <c r="J26" s="19">
        <f>IFERROR(ROUND(J16/'Rate Class Customer Model'!J16,0),0)</f>
        <v>4634801</v>
      </c>
      <c r="K26" s="143"/>
    </row>
    <row r="27" spans="1:11" ht="18.75" x14ac:dyDescent="0.3">
      <c r="A27" s="137" t="s">
        <v>64</v>
      </c>
      <c r="B27" s="138"/>
      <c r="C27" s="138"/>
      <c r="D27" s="138"/>
      <c r="E27" s="138"/>
      <c r="F27" s="138"/>
      <c r="G27" s="138"/>
      <c r="H27" s="138"/>
      <c r="I27" s="138"/>
      <c r="J27" s="138"/>
      <c r="K27" s="139"/>
    </row>
    <row r="28" spans="1:11" x14ac:dyDescent="0.25">
      <c r="A28" s="140">
        <v>2006</v>
      </c>
      <c r="B28" s="144">
        <v>0</v>
      </c>
      <c r="C28" s="144">
        <v>0</v>
      </c>
      <c r="D28" s="144">
        <v>0</v>
      </c>
      <c r="E28" s="144">
        <v>0</v>
      </c>
      <c r="F28" s="144">
        <v>0</v>
      </c>
      <c r="G28" s="144">
        <v>0</v>
      </c>
      <c r="H28" s="144">
        <v>0</v>
      </c>
      <c r="I28" s="144">
        <v>0</v>
      </c>
      <c r="J28" s="144">
        <v>0</v>
      </c>
      <c r="K28" s="142"/>
    </row>
    <row r="29" spans="1:11" x14ac:dyDescent="0.25">
      <c r="A29" s="27">
        <v>2007</v>
      </c>
      <c r="B29" s="102">
        <f>IFERROR(ROUND(B19/B18,4),0)</f>
        <v>0.98970000000000002</v>
      </c>
      <c r="C29" s="102">
        <f t="shared" ref="C29:J29" si="1">IFERROR(ROUND(C19/C18,4),0)</f>
        <v>0.98009999999999997</v>
      </c>
      <c r="D29" s="102">
        <f t="shared" si="1"/>
        <v>0.96819999999999995</v>
      </c>
      <c r="E29" s="102">
        <f t="shared" si="1"/>
        <v>0.32219999999999999</v>
      </c>
      <c r="F29" s="102">
        <f t="shared" ref="F29:F36" si="2">IFERROR(ROUND(F19/F18,4),0)</f>
        <v>1.4724999999999999</v>
      </c>
      <c r="G29" s="102">
        <f t="shared" si="1"/>
        <v>0</v>
      </c>
      <c r="H29" s="102">
        <f t="shared" si="1"/>
        <v>0.97670000000000001</v>
      </c>
      <c r="I29" s="102">
        <f t="shared" si="1"/>
        <v>1</v>
      </c>
      <c r="J29" s="102">
        <f t="shared" si="1"/>
        <v>0</v>
      </c>
      <c r="K29" s="11"/>
    </row>
    <row r="30" spans="1:11" x14ac:dyDescent="0.25">
      <c r="A30" s="27">
        <v>2008</v>
      </c>
      <c r="B30" s="102">
        <f t="shared" ref="B30:J36" si="3">IFERROR(ROUND(B20/B19,4),0)</f>
        <v>0.98399999999999999</v>
      </c>
      <c r="C30" s="102">
        <f t="shared" si="3"/>
        <v>0.99880000000000002</v>
      </c>
      <c r="D30" s="102">
        <f t="shared" si="3"/>
        <v>0.91590000000000005</v>
      </c>
      <c r="E30" s="102">
        <f t="shared" si="3"/>
        <v>1.1061000000000001</v>
      </c>
      <c r="F30" s="102">
        <f t="shared" si="2"/>
        <v>0.83830000000000005</v>
      </c>
      <c r="G30" s="102">
        <f t="shared" si="3"/>
        <v>0</v>
      </c>
      <c r="H30" s="102">
        <f t="shared" si="3"/>
        <v>0.98319999999999996</v>
      </c>
      <c r="I30" s="102">
        <f t="shared" si="3"/>
        <v>0.92490000000000006</v>
      </c>
      <c r="J30" s="102">
        <f t="shared" si="3"/>
        <v>0.98219999999999996</v>
      </c>
      <c r="K30" s="11"/>
    </row>
    <row r="31" spans="1:11" x14ac:dyDescent="0.25">
      <c r="A31" s="27">
        <v>2009</v>
      </c>
      <c r="B31" s="102">
        <f t="shared" si="3"/>
        <v>0.98029999999999995</v>
      </c>
      <c r="C31" s="102">
        <f t="shared" si="3"/>
        <v>0.9234</v>
      </c>
      <c r="D31" s="102">
        <f t="shared" si="3"/>
        <v>0.85780000000000001</v>
      </c>
      <c r="E31" s="102">
        <f t="shared" si="3"/>
        <v>0.53680000000000005</v>
      </c>
      <c r="F31" s="102">
        <f t="shared" si="2"/>
        <v>0.75870000000000004</v>
      </c>
      <c r="G31" s="102">
        <f t="shared" si="3"/>
        <v>0</v>
      </c>
      <c r="H31" s="102">
        <f t="shared" si="3"/>
        <v>1.0162</v>
      </c>
      <c r="I31" s="102">
        <f t="shared" si="3"/>
        <v>0.98619999999999997</v>
      </c>
      <c r="J31" s="102">
        <f t="shared" si="3"/>
        <v>1.0024999999999999</v>
      </c>
      <c r="K31" s="11"/>
    </row>
    <row r="32" spans="1:11" x14ac:dyDescent="0.25">
      <c r="A32" s="100">
        <v>2010</v>
      </c>
      <c r="B32" s="102">
        <f t="shared" si="3"/>
        <v>1.034</v>
      </c>
      <c r="C32" s="102">
        <f t="shared" si="3"/>
        <v>1.0163</v>
      </c>
      <c r="D32" s="102">
        <f t="shared" si="3"/>
        <v>1.1492</v>
      </c>
      <c r="E32" s="102">
        <f t="shared" si="3"/>
        <v>0.99129999999999996</v>
      </c>
      <c r="F32" s="102">
        <f t="shared" si="2"/>
        <v>1.6898</v>
      </c>
      <c r="G32" s="102">
        <f t="shared" si="3"/>
        <v>0.5141</v>
      </c>
      <c r="H32" s="102">
        <f t="shared" si="3"/>
        <v>0.99029999999999996</v>
      </c>
      <c r="I32" s="102">
        <f t="shared" si="3"/>
        <v>0.98760000000000003</v>
      </c>
      <c r="J32" s="102">
        <f t="shared" si="3"/>
        <v>0.93059999999999998</v>
      </c>
      <c r="K32" s="11"/>
    </row>
    <row r="33" spans="1:11" x14ac:dyDescent="0.25">
      <c r="A33" s="100">
        <v>2011</v>
      </c>
      <c r="B33" s="102">
        <f t="shared" si="3"/>
        <v>0.98980000000000001</v>
      </c>
      <c r="C33" s="102">
        <f t="shared" si="3"/>
        <v>1.0059</v>
      </c>
      <c r="D33" s="102">
        <f t="shared" si="3"/>
        <v>1.0328999999999999</v>
      </c>
      <c r="E33" s="102">
        <f t="shared" si="3"/>
        <v>1.6555</v>
      </c>
      <c r="F33" s="102">
        <f t="shared" si="2"/>
        <v>1.1813</v>
      </c>
      <c r="G33" s="102">
        <f t="shared" si="3"/>
        <v>1.0442</v>
      </c>
      <c r="H33" s="102">
        <f t="shared" si="3"/>
        <v>0.81569999999999998</v>
      </c>
      <c r="I33" s="102">
        <f t="shared" si="3"/>
        <v>1</v>
      </c>
      <c r="J33" s="102">
        <f t="shared" si="3"/>
        <v>0.85570000000000002</v>
      </c>
      <c r="K33" s="11"/>
    </row>
    <row r="34" spans="1:11" x14ac:dyDescent="0.25">
      <c r="A34" s="100">
        <v>2012</v>
      </c>
      <c r="B34" s="102">
        <f t="shared" si="3"/>
        <v>0.98540000000000005</v>
      </c>
      <c r="C34" s="102">
        <f t="shared" si="3"/>
        <v>0.9456</v>
      </c>
      <c r="D34" s="102">
        <f t="shared" si="3"/>
        <v>1.008</v>
      </c>
      <c r="E34" s="102">
        <f t="shared" si="3"/>
        <v>0.96970000000000001</v>
      </c>
      <c r="F34" s="102">
        <f t="shared" si="2"/>
        <v>1.0004999999999999</v>
      </c>
      <c r="G34" s="102">
        <f t="shared" si="3"/>
        <v>0.97119999999999995</v>
      </c>
      <c r="H34" s="102">
        <f t="shared" si="3"/>
        <v>1.1447000000000001</v>
      </c>
      <c r="I34" s="102">
        <f t="shared" si="3"/>
        <v>1.0031000000000001</v>
      </c>
      <c r="J34" s="102">
        <f t="shared" si="3"/>
        <v>1.0972999999999999</v>
      </c>
      <c r="K34" s="11"/>
    </row>
    <row r="35" spans="1:11" x14ac:dyDescent="0.25">
      <c r="A35" s="100">
        <v>2013</v>
      </c>
      <c r="B35" s="102">
        <f t="shared" si="3"/>
        <v>0.94410000000000005</v>
      </c>
      <c r="C35" s="102">
        <f t="shared" si="3"/>
        <v>0.9698</v>
      </c>
      <c r="D35" s="102">
        <f t="shared" si="3"/>
        <v>1.0085</v>
      </c>
      <c r="E35" s="102">
        <f t="shared" si="3"/>
        <v>1.4021999999999999</v>
      </c>
      <c r="F35" s="102">
        <f t="shared" si="2"/>
        <v>0.93969999999999998</v>
      </c>
      <c r="G35" s="102">
        <f t="shared" si="3"/>
        <v>1.0005999999999999</v>
      </c>
      <c r="H35" s="102">
        <f t="shared" si="3"/>
        <v>0.89080000000000004</v>
      </c>
      <c r="I35" s="102">
        <f t="shared" si="3"/>
        <v>0.94510000000000005</v>
      </c>
      <c r="J35" s="102">
        <f t="shared" si="3"/>
        <v>1.0124</v>
      </c>
      <c r="K35" s="11"/>
    </row>
    <row r="36" spans="1:11" x14ac:dyDescent="0.25">
      <c r="A36" s="101">
        <v>2014</v>
      </c>
      <c r="B36" s="145">
        <f t="shared" si="3"/>
        <v>1.0261</v>
      </c>
      <c r="C36" s="145">
        <f t="shared" si="3"/>
        <v>1.0239</v>
      </c>
      <c r="D36" s="145">
        <f t="shared" si="3"/>
        <v>1.0066999999999999</v>
      </c>
      <c r="E36" s="145">
        <f t="shared" si="3"/>
        <v>0.84119999999999995</v>
      </c>
      <c r="F36" s="145">
        <f t="shared" si="2"/>
        <v>0.97909999999999997</v>
      </c>
      <c r="G36" s="145">
        <f t="shared" si="3"/>
        <v>1.0047999999999999</v>
      </c>
      <c r="H36" s="145">
        <f t="shared" si="3"/>
        <v>0.9022</v>
      </c>
      <c r="I36" s="145">
        <f t="shared" si="3"/>
        <v>0.96679999999999999</v>
      </c>
      <c r="J36" s="145">
        <f t="shared" si="3"/>
        <v>1.0048999999999999</v>
      </c>
      <c r="K36" s="22"/>
    </row>
    <row r="37" spans="1:11" x14ac:dyDescent="0.25">
      <c r="A37" s="324" t="s">
        <v>73</v>
      </c>
      <c r="B37" s="147">
        <f>GEOMEAN(B32:B36)</f>
        <v>0.9953541838237554</v>
      </c>
      <c r="C37" s="147">
        <f t="shared" ref="C37:J37" si="4">GEOMEAN(C32:C36)</f>
        <v>0.99184722824280214</v>
      </c>
      <c r="D37" s="147">
        <f t="shared" si="4"/>
        <v>1.0396761455962829</v>
      </c>
      <c r="E37" s="147">
        <f>GEOMEAN(E34:E36)</f>
        <v>1.0458005698390831</v>
      </c>
      <c r="F37" s="147">
        <f>GEOMEAN(F34:F36)</f>
        <v>0.9727721388029148</v>
      </c>
      <c r="G37" s="147">
        <f t="shared" si="4"/>
        <v>0.87881208051758597</v>
      </c>
      <c r="H37" s="147">
        <f t="shared" si="4"/>
        <v>0.94235467855367994</v>
      </c>
      <c r="I37" s="147">
        <f t="shared" si="4"/>
        <v>0.98027503694590323</v>
      </c>
      <c r="J37" s="147">
        <f t="shared" si="4"/>
        <v>0.97673553539316416</v>
      </c>
      <c r="K37" s="87"/>
    </row>
    <row r="38" spans="1:11" ht="18.75" x14ac:dyDescent="0.3">
      <c r="A38" s="137" t="s">
        <v>67</v>
      </c>
      <c r="B38" s="138"/>
      <c r="C38" s="138"/>
      <c r="D38" s="138"/>
      <c r="E38" s="138"/>
      <c r="F38" s="138"/>
      <c r="G38" s="138"/>
      <c r="H38" s="138"/>
      <c r="I38" s="138"/>
      <c r="J38" s="138"/>
      <c r="K38" s="139"/>
    </row>
    <row r="39" spans="1:11" x14ac:dyDescent="0.25">
      <c r="A39" s="122">
        <v>2015</v>
      </c>
      <c r="B39" s="47">
        <f>ROUND(B26*B37,0)</f>
        <v>7987</v>
      </c>
      <c r="C39" s="47">
        <f t="shared" ref="C39:J39" si="5">ROUND(C26*C37,0)</f>
        <v>27818</v>
      </c>
      <c r="D39" s="47">
        <f t="shared" si="5"/>
        <v>956724</v>
      </c>
      <c r="E39" s="47">
        <f t="shared" si="5"/>
        <v>34686292</v>
      </c>
      <c r="F39" s="47">
        <f>ROUND(F26*F37,0)</f>
        <v>30713726</v>
      </c>
      <c r="G39" s="47">
        <f t="shared" si="5"/>
        <v>4375</v>
      </c>
      <c r="H39" s="47">
        <f t="shared" si="5"/>
        <v>791</v>
      </c>
      <c r="I39" s="47">
        <f t="shared" si="5"/>
        <v>572</v>
      </c>
      <c r="J39" s="47">
        <f t="shared" si="5"/>
        <v>4526975</v>
      </c>
      <c r="K39" s="148"/>
    </row>
    <row r="40" spans="1:11" x14ac:dyDescent="0.25">
      <c r="A40" s="28">
        <v>2016</v>
      </c>
      <c r="B40" s="25">
        <f>ROUND(B39*B37,0)</f>
        <v>7950</v>
      </c>
      <c r="C40" s="25">
        <f t="shared" ref="C40:J40" si="6">ROUND(C39*C37,0)</f>
        <v>27591</v>
      </c>
      <c r="D40" s="25">
        <f t="shared" si="6"/>
        <v>994683</v>
      </c>
      <c r="E40" s="25">
        <f t="shared" si="6"/>
        <v>36274944</v>
      </c>
      <c r="F40" s="25">
        <f>ROUND(F39*F37,0)</f>
        <v>29877457</v>
      </c>
      <c r="G40" s="25">
        <f t="shared" si="6"/>
        <v>3845</v>
      </c>
      <c r="H40" s="25">
        <f t="shared" si="6"/>
        <v>745</v>
      </c>
      <c r="I40" s="25">
        <f t="shared" si="6"/>
        <v>561</v>
      </c>
      <c r="J40" s="25">
        <f t="shared" si="6"/>
        <v>4421657</v>
      </c>
      <c r="K40" s="26"/>
    </row>
    <row r="41" spans="1:11" ht="18.75" x14ac:dyDescent="0.3">
      <c r="A41" s="137" t="s">
        <v>68</v>
      </c>
      <c r="B41" s="138"/>
      <c r="C41" s="138"/>
      <c r="D41" s="138"/>
      <c r="E41" s="138"/>
      <c r="F41" s="138"/>
      <c r="G41" s="138"/>
      <c r="H41" s="138"/>
      <c r="I41" s="138"/>
      <c r="J41" s="138"/>
      <c r="K41" s="139"/>
    </row>
    <row r="42" spans="1:11" x14ac:dyDescent="0.25">
      <c r="A42" s="140">
        <v>2015</v>
      </c>
      <c r="B42" s="70">
        <f>B39*'Rate Class Customer Model'!B30</f>
        <v>289153361</v>
      </c>
      <c r="C42" s="70">
        <f>C39*'Rate Class Customer Model'!C30</f>
        <v>107377480</v>
      </c>
      <c r="D42" s="70">
        <f>D39*'Rate Class Customer Model'!D30</f>
        <v>471664932</v>
      </c>
      <c r="E42" s="70">
        <f>E39*'Rate Class Customer Model'!E30</f>
        <v>34686292</v>
      </c>
      <c r="F42" s="70">
        <f>F39*'Rate Class Customer Model'!F30</f>
        <v>30713726</v>
      </c>
      <c r="G42" s="70">
        <f>G39*'Rate Class Customer Model'!G30</f>
        <v>1268750</v>
      </c>
      <c r="H42" s="70">
        <f>H39*'Rate Class Customer Model'!H30</f>
        <v>402619</v>
      </c>
      <c r="I42" s="70">
        <f>I39*'Rate Class Customer Model'!I30</f>
        <v>7410260</v>
      </c>
      <c r="J42" s="70">
        <f>J39*'Rate Class Customer Model'!J30</f>
        <v>4526975</v>
      </c>
      <c r="K42" s="73">
        <f>SUM(B42:J42)</f>
        <v>947204395</v>
      </c>
    </row>
    <row r="43" spans="1:11" x14ac:dyDescent="0.25">
      <c r="A43" s="29">
        <v>2016</v>
      </c>
      <c r="B43" s="45">
        <f>B40*'Rate Class Customer Model'!B31</f>
        <v>288847350</v>
      </c>
      <c r="C43" s="45">
        <f>C40*'Rate Class Customer Model'!C31</f>
        <v>106225350</v>
      </c>
      <c r="D43" s="45">
        <f>D40*'Rate Class Customer Model'!D31</f>
        <v>486399987</v>
      </c>
      <c r="E43" s="45">
        <f>E40*'Rate Class Customer Model'!E31</f>
        <v>36274944</v>
      </c>
      <c r="F43" s="45">
        <f>F40*'Rate Class Customer Model'!F31</f>
        <v>29877457</v>
      </c>
      <c r="G43" s="45">
        <f>G40*'Rate Class Customer Model'!G31</f>
        <v>1288075</v>
      </c>
      <c r="H43" s="45">
        <f>H40*'Rate Class Customer Model'!H31</f>
        <v>396340</v>
      </c>
      <c r="I43" s="45">
        <f>I40*'Rate Class Customer Model'!I31</f>
        <v>7284024</v>
      </c>
      <c r="J43" s="45">
        <f>J40*'Rate Class Customer Model'!J31</f>
        <v>4421657</v>
      </c>
      <c r="K43" s="46">
        <f>SUM(B43:J43)</f>
        <v>961015184</v>
      </c>
    </row>
    <row r="44" spans="1:11" ht="18.75" x14ac:dyDescent="0.3">
      <c r="A44" s="137" t="s">
        <v>87</v>
      </c>
      <c r="B44" s="138"/>
      <c r="C44" s="138"/>
      <c r="D44" s="138"/>
      <c r="E44" s="138"/>
      <c r="F44" s="138"/>
      <c r="G44" s="138"/>
      <c r="H44" s="138"/>
      <c r="I44" s="138"/>
      <c r="J44" s="138"/>
      <c r="K44" s="139"/>
    </row>
    <row r="45" spans="1:11" s="34" customFormat="1" ht="30" x14ac:dyDescent="0.25">
      <c r="A45" s="325" t="s">
        <v>88</v>
      </c>
      <c r="B45" s="326">
        <f>(1+D45)/2</f>
        <v>0.66950972636319495</v>
      </c>
      <c r="C45" s="326">
        <f>B45</f>
        <v>0.66950972636319495</v>
      </c>
      <c r="D45" s="327">
        <v>0.33901945272638984</v>
      </c>
      <c r="E45" s="326"/>
      <c r="F45" s="326"/>
      <c r="G45" s="326"/>
      <c r="H45" s="326"/>
      <c r="I45" s="326"/>
      <c r="J45" s="326"/>
      <c r="K45" s="328"/>
    </row>
    <row r="46" spans="1:11" x14ac:dyDescent="0.25">
      <c r="A46" s="128">
        <v>2015</v>
      </c>
      <c r="B46" s="5">
        <f>B45*B42</f>
        <v>193590987.60010812</v>
      </c>
      <c r="C46" s="5">
        <f t="shared" ref="C46:J46" si="7">C45*C42</f>
        <v>71890267.252369434</v>
      </c>
      <c r="D46" s="5">
        <f t="shared" si="7"/>
        <v>159903587.11686987</v>
      </c>
      <c r="E46" s="5">
        <f t="shared" si="7"/>
        <v>0</v>
      </c>
      <c r="F46" s="5">
        <f>F45*F42</f>
        <v>0</v>
      </c>
      <c r="G46" s="5">
        <f t="shared" si="7"/>
        <v>0</v>
      </c>
      <c r="H46" s="5">
        <f t="shared" si="7"/>
        <v>0</v>
      </c>
      <c r="I46" s="5">
        <f t="shared" si="7"/>
        <v>0</v>
      </c>
      <c r="J46" s="5">
        <f t="shared" si="7"/>
        <v>0</v>
      </c>
      <c r="K46" s="18">
        <f>SUM(B46:J46)</f>
        <v>425384841.96934742</v>
      </c>
    </row>
    <row r="47" spans="1:11" x14ac:dyDescent="0.25">
      <c r="A47" s="152">
        <v>2016</v>
      </c>
      <c r="B47" s="19">
        <f t="shared" ref="B47:J47" si="8">B43*B45</f>
        <v>193386110.25923401</v>
      </c>
      <c r="C47" s="19">
        <f t="shared" si="8"/>
        <v>71118905.011334613</v>
      </c>
      <c r="D47" s="19">
        <f t="shared" si="8"/>
        <v>164899057.39886314</v>
      </c>
      <c r="E47" s="19">
        <f t="shared" si="8"/>
        <v>0</v>
      </c>
      <c r="F47" s="19">
        <f>F43*F45</f>
        <v>0</v>
      </c>
      <c r="G47" s="19">
        <f t="shared" si="8"/>
        <v>0</v>
      </c>
      <c r="H47" s="19">
        <f t="shared" si="8"/>
        <v>0</v>
      </c>
      <c r="I47" s="19">
        <f t="shared" si="8"/>
        <v>0</v>
      </c>
      <c r="J47" s="19">
        <f t="shared" si="8"/>
        <v>0</v>
      </c>
      <c r="K47" s="20">
        <f>SUM(B47:J47)</f>
        <v>429404072.66943175</v>
      </c>
    </row>
    <row r="48" spans="1:11" ht="18.75" x14ac:dyDescent="0.3">
      <c r="A48" s="137" t="s">
        <v>90</v>
      </c>
      <c r="B48" s="138"/>
      <c r="C48" s="138"/>
      <c r="D48" s="138"/>
      <c r="E48" s="138"/>
      <c r="F48" s="138"/>
      <c r="G48" s="138"/>
      <c r="H48" s="138"/>
      <c r="I48" s="138"/>
      <c r="J48" s="138"/>
      <c r="K48" s="139"/>
    </row>
    <row r="49" spans="1:11" x14ac:dyDescent="0.25">
      <c r="A49" s="329" t="s">
        <v>89</v>
      </c>
      <c r="B49" s="150">
        <f t="shared" ref="B49:J49" si="9">B46/$K$46</f>
        <v>0.4550961118028225</v>
      </c>
      <c r="C49" s="150">
        <f t="shared" si="9"/>
        <v>0.16900053824096942</v>
      </c>
      <c r="D49" s="150">
        <f t="shared" si="9"/>
        <v>0.37590334995620805</v>
      </c>
      <c r="E49" s="150">
        <f t="shared" si="9"/>
        <v>0</v>
      </c>
      <c r="F49" s="150">
        <f>F46/$K$46</f>
        <v>0</v>
      </c>
      <c r="G49" s="150">
        <f t="shared" si="9"/>
        <v>0</v>
      </c>
      <c r="H49" s="150">
        <f t="shared" si="9"/>
        <v>0</v>
      </c>
      <c r="I49" s="150">
        <f t="shared" si="9"/>
        <v>0</v>
      </c>
      <c r="J49" s="150">
        <f t="shared" si="9"/>
        <v>0</v>
      </c>
      <c r="K49" s="151">
        <f>SUM(B49:J49)</f>
        <v>1</v>
      </c>
    </row>
    <row r="50" spans="1:11" x14ac:dyDescent="0.25">
      <c r="A50" s="130">
        <v>2015</v>
      </c>
      <c r="B50" s="5">
        <f t="shared" ref="B50:J50" si="10">B49*$K50</f>
        <v>-5544482.9980175393</v>
      </c>
      <c r="C50" s="5">
        <f t="shared" si="10"/>
        <v>-2058951.0361249729</v>
      </c>
      <c r="D50" s="5">
        <f t="shared" si="10"/>
        <v>-4579669.3899969868</v>
      </c>
      <c r="E50" s="5">
        <f t="shared" si="10"/>
        <v>0</v>
      </c>
      <c r="F50" s="5">
        <f>F49*$K50</f>
        <v>0</v>
      </c>
      <c r="G50" s="5">
        <f t="shared" si="10"/>
        <v>0</v>
      </c>
      <c r="H50" s="5">
        <f t="shared" si="10"/>
        <v>0</v>
      </c>
      <c r="I50" s="5">
        <f t="shared" si="10"/>
        <v>0</v>
      </c>
      <c r="J50" s="5">
        <f t="shared" si="10"/>
        <v>0</v>
      </c>
      <c r="K50" s="10">
        <f>'Forecast Accuracy'!I16-'Rate Class Energy Model'!K42</f>
        <v>-12183103.4241395</v>
      </c>
    </row>
    <row r="51" spans="1:11" x14ac:dyDescent="0.25">
      <c r="A51" s="330" t="s">
        <v>89</v>
      </c>
      <c r="B51" s="35">
        <f t="shared" ref="B51:J51" si="11">B47/$K$47</f>
        <v>0.45035928294072908</v>
      </c>
      <c r="C51" s="35">
        <f t="shared" si="11"/>
        <v>0.16562233462113457</v>
      </c>
      <c r="D51" s="35">
        <f t="shared" si="11"/>
        <v>0.38401838243813635</v>
      </c>
      <c r="E51" s="35">
        <f t="shared" si="11"/>
        <v>0</v>
      </c>
      <c r="F51" s="35">
        <f>F47/$K$47</f>
        <v>0</v>
      </c>
      <c r="G51" s="35">
        <f t="shared" si="11"/>
        <v>0</v>
      </c>
      <c r="H51" s="35">
        <f t="shared" si="11"/>
        <v>0</v>
      </c>
      <c r="I51" s="35">
        <f t="shared" si="11"/>
        <v>0</v>
      </c>
      <c r="J51" s="35">
        <f t="shared" si="11"/>
        <v>0</v>
      </c>
      <c r="K51" s="129">
        <f>SUM(B51:J51)</f>
        <v>1</v>
      </c>
    </row>
    <row r="52" spans="1:11" x14ac:dyDescent="0.25">
      <c r="A52" s="153">
        <v>2016</v>
      </c>
      <c r="B52" s="25">
        <f t="shared" ref="B52:J52" si="12">B51*$K52</f>
        <v>-10341970.484969053</v>
      </c>
      <c r="C52" s="25">
        <f t="shared" si="12"/>
        <v>-3803321.8392189071</v>
      </c>
      <c r="D52" s="25">
        <f t="shared" si="12"/>
        <v>-8818529.8433904983</v>
      </c>
      <c r="E52" s="25">
        <f t="shared" si="12"/>
        <v>0</v>
      </c>
      <c r="F52" s="25">
        <f>F51*$K52</f>
        <v>0</v>
      </c>
      <c r="G52" s="25">
        <f t="shared" si="12"/>
        <v>0</v>
      </c>
      <c r="H52" s="25">
        <f t="shared" si="12"/>
        <v>0</v>
      </c>
      <c r="I52" s="25">
        <f t="shared" si="12"/>
        <v>0</v>
      </c>
      <c r="J52" s="25">
        <f t="shared" si="12"/>
        <v>0</v>
      </c>
      <c r="K52" s="26">
        <f>'Forecast Accuracy'!I17-'Rate Class Energy Model'!K43</f>
        <v>-22963822.167578459</v>
      </c>
    </row>
    <row r="53" spans="1:11" ht="18.75" x14ac:dyDescent="0.3">
      <c r="A53" s="137" t="s">
        <v>91</v>
      </c>
      <c r="B53" s="138"/>
      <c r="C53" s="138"/>
      <c r="D53" s="138"/>
      <c r="E53" s="138"/>
      <c r="F53" s="138"/>
      <c r="G53" s="138"/>
      <c r="H53" s="138"/>
      <c r="I53" s="138"/>
      <c r="J53" s="138"/>
      <c r="K53" s="139"/>
    </row>
    <row r="54" spans="1:11" s="34" customFormat="1" ht="18.75" customHeight="1" x14ac:dyDescent="0.25">
      <c r="A54" s="149">
        <v>2015</v>
      </c>
      <c r="B54" s="154">
        <f>B42+B50</f>
        <v>283608878.00198245</v>
      </c>
      <c r="C54" s="154">
        <f t="shared" ref="C54:J54" si="13">C42+C50</f>
        <v>105318528.96387503</v>
      </c>
      <c r="D54" s="154">
        <f t="shared" si="13"/>
        <v>467085262.61000299</v>
      </c>
      <c r="E54" s="154">
        <f t="shared" si="13"/>
        <v>34686292</v>
      </c>
      <c r="F54" s="154">
        <f>F42+F50</f>
        <v>30713726</v>
      </c>
      <c r="G54" s="154">
        <f t="shared" si="13"/>
        <v>1268750</v>
      </c>
      <c r="H54" s="154">
        <f t="shared" si="13"/>
        <v>402619</v>
      </c>
      <c r="I54" s="154">
        <f t="shared" si="13"/>
        <v>7410260</v>
      </c>
      <c r="J54" s="154">
        <f t="shared" si="13"/>
        <v>4526975</v>
      </c>
      <c r="K54" s="155">
        <f>SUM(B54:J54)</f>
        <v>935021291.5758605</v>
      </c>
    </row>
    <row r="55" spans="1:11" s="34" customFormat="1" ht="18.75" customHeight="1" x14ac:dyDescent="0.25">
      <c r="A55" s="152">
        <v>2016</v>
      </c>
      <c r="B55" s="156">
        <f>B43+B52</f>
        <v>278505379.51503092</v>
      </c>
      <c r="C55" s="156">
        <f t="shared" ref="C55:J55" si="14">C43+C52</f>
        <v>102422028.16078109</v>
      </c>
      <c r="D55" s="156">
        <f t="shared" si="14"/>
        <v>477581457.15660948</v>
      </c>
      <c r="E55" s="156">
        <f t="shared" si="14"/>
        <v>36274944</v>
      </c>
      <c r="F55" s="156">
        <f>F43+F52</f>
        <v>29877457</v>
      </c>
      <c r="G55" s="156">
        <f t="shared" si="14"/>
        <v>1288075</v>
      </c>
      <c r="H55" s="156">
        <f t="shared" si="14"/>
        <v>396340</v>
      </c>
      <c r="I55" s="156">
        <f t="shared" si="14"/>
        <v>7284024</v>
      </c>
      <c r="J55" s="156">
        <f t="shared" si="14"/>
        <v>4421657</v>
      </c>
      <c r="K55" s="157">
        <f>SUM(B55:J55)</f>
        <v>938051361.83242154</v>
      </c>
    </row>
    <row r="56" spans="1:11" ht="18.75" x14ac:dyDescent="0.3">
      <c r="A56" s="137" t="s">
        <v>362</v>
      </c>
      <c r="B56" s="138"/>
      <c r="C56" s="138"/>
      <c r="D56" s="138"/>
      <c r="E56" s="138"/>
      <c r="F56" s="138"/>
      <c r="G56" s="138"/>
      <c r="H56" s="138"/>
      <c r="I56" s="138"/>
      <c r="J56" s="138"/>
      <c r="K56" s="139"/>
    </row>
    <row r="57" spans="1:11" x14ac:dyDescent="0.25">
      <c r="A57" s="149">
        <v>2015</v>
      </c>
      <c r="B57" s="141">
        <f>-CDM!B37</f>
        <v>-951769.34942066169</v>
      </c>
      <c r="C57" s="141">
        <f>-CDM!C37</f>
        <v>-925072.14142891823</v>
      </c>
      <c r="D57" s="141">
        <f>-CDM!D37</f>
        <v>-2308230.9445475116</v>
      </c>
      <c r="E57" s="141">
        <f>-CDM!E37</f>
        <v>-13681313.216166399</v>
      </c>
      <c r="F57" s="141">
        <f>-CDM!F37</f>
        <v>-54157.41774557696</v>
      </c>
      <c r="G57" s="141">
        <f>-CDM!G37</f>
        <v>0</v>
      </c>
      <c r="H57" s="141">
        <f>-CDM!H37</f>
        <v>0</v>
      </c>
      <c r="I57" s="141">
        <f>-CDM!I37</f>
        <v>-420497.19</v>
      </c>
      <c r="J57" s="141">
        <f>-CDM!J37</f>
        <v>0</v>
      </c>
      <c r="K57" s="158">
        <f>SUM(B57:J57)</f>
        <v>-18341040.259309068</v>
      </c>
    </row>
    <row r="58" spans="1:11" x14ac:dyDescent="0.25">
      <c r="A58" s="152">
        <v>2016</v>
      </c>
      <c r="B58" s="19">
        <f>-CDM!B42</f>
        <v>-1462659.5725128369</v>
      </c>
      <c r="C58" s="19">
        <f>-CDM!C42</f>
        <v>-2522360.7440265333</v>
      </c>
      <c r="D58" s="19">
        <f>-CDM!D42</f>
        <v>-3637133.9445475116</v>
      </c>
      <c r="E58" s="19">
        <f>-CDM!E42</f>
        <v>-25547262.616166402</v>
      </c>
      <c r="F58" s="19">
        <f>-CDM!F42</f>
        <v>-54157.41774557696</v>
      </c>
      <c r="G58" s="19">
        <f>-CDM!G42</f>
        <v>0</v>
      </c>
      <c r="H58" s="19">
        <f>-CDM!H42</f>
        <v>0</v>
      </c>
      <c r="I58" s="19">
        <f>-CDM!I42</f>
        <v>-831209.19</v>
      </c>
      <c r="J58" s="19">
        <f>-CDM!J42</f>
        <v>0</v>
      </c>
      <c r="K58" s="20">
        <f>SUM(B58:J58)</f>
        <v>-34054783.484998859</v>
      </c>
    </row>
    <row r="59" spans="1:11" ht="18.75" x14ac:dyDescent="0.3">
      <c r="A59" s="137" t="s">
        <v>363</v>
      </c>
      <c r="B59" s="138"/>
      <c r="C59" s="138"/>
      <c r="D59" s="138"/>
      <c r="E59" s="138"/>
      <c r="F59" s="138"/>
      <c r="G59" s="138"/>
      <c r="H59" s="138"/>
      <c r="I59" s="138"/>
      <c r="J59" s="138"/>
      <c r="K59" s="139"/>
    </row>
    <row r="60" spans="1:11" x14ac:dyDescent="0.25">
      <c r="A60" s="149">
        <v>2015</v>
      </c>
      <c r="B60" s="141"/>
      <c r="C60" s="141"/>
      <c r="D60" s="141">
        <f>WMP!D14</f>
        <v>9370236.1843289528</v>
      </c>
      <c r="E60" s="141"/>
      <c r="F60" s="141"/>
      <c r="G60" s="141"/>
      <c r="H60" s="141"/>
      <c r="I60" s="141"/>
      <c r="J60" s="141"/>
      <c r="K60" s="158">
        <f>SUM(B60:J60)</f>
        <v>9370236.1843289528</v>
      </c>
    </row>
    <row r="61" spans="1:11" x14ac:dyDescent="0.25">
      <c r="A61" s="152">
        <v>2016</v>
      </c>
      <c r="B61" s="19"/>
      <c r="C61" s="19"/>
      <c r="D61" s="19">
        <f>WMP!D15</f>
        <v>9742011.039449947</v>
      </c>
      <c r="E61" s="19"/>
      <c r="F61" s="19"/>
      <c r="G61" s="19"/>
      <c r="H61" s="19"/>
      <c r="I61" s="19"/>
      <c r="J61" s="19"/>
      <c r="K61" s="20">
        <f>SUM(B61:J61)</f>
        <v>9742011.039449947</v>
      </c>
    </row>
    <row r="62" spans="1:11" ht="18.75" x14ac:dyDescent="0.3">
      <c r="A62" s="137" t="s">
        <v>364</v>
      </c>
      <c r="B62" s="138"/>
      <c r="C62" s="138"/>
      <c r="D62" s="138"/>
      <c r="E62" s="138"/>
      <c r="F62" s="138"/>
      <c r="G62" s="138"/>
      <c r="H62" s="138"/>
      <c r="I62" s="138"/>
      <c r="J62" s="138"/>
      <c r="K62" s="139"/>
    </row>
    <row r="63" spans="1:11" s="34" customFormat="1" ht="23.25" customHeight="1" x14ac:dyDescent="0.25">
      <c r="A63" s="159">
        <v>2015</v>
      </c>
      <c r="B63" s="160">
        <f>B54+B57+B60</f>
        <v>282657108.65256178</v>
      </c>
      <c r="C63" s="160">
        <f t="shared" ref="C63:J63" si="15">C54+C57+C60</f>
        <v>104393456.82244611</v>
      </c>
      <c r="D63" s="160">
        <f t="shared" si="15"/>
        <v>474147267.84978443</v>
      </c>
      <c r="E63" s="160">
        <f t="shared" si="15"/>
        <v>21004978.783833601</v>
      </c>
      <c r="F63" s="160">
        <f t="shared" si="15"/>
        <v>30659568.582254425</v>
      </c>
      <c r="G63" s="160">
        <f t="shared" si="15"/>
        <v>1268750</v>
      </c>
      <c r="H63" s="160">
        <f t="shared" si="15"/>
        <v>402619</v>
      </c>
      <c r="I63" s="160">
        <f t="shared" si="15"/>
        <v>6989762.8099999996</v>
      </c>
      <c r="J63" s="160">
        <f t="shared" si="15"/>
        <v>4526975</v>
      </c>
      <c r="K63" s="161">
        <f>SUM(B63:J63)</f>
        <v>926050487.50088036</v>
      </c>
    </row>
    <row r="64" spans="1:11" s="34" customFormat="1" ht="23.25" customHeight="1" x14ac:dyDescent="0.25">
      <c r="A64" s="131">
        <v>2016</v>
      </c>
      <c r="B64" s="132">
        <f>B55+B58+B61</f>
        <v>277042719.94251806</v>
      </c>
      <c r="C64" s="132">
        <f t="shared" ref="C64:J64" si="16">C55+C58+C61</f>
        <v>99899667.416754559</v>
      </c>
      <c r="D64" s="132">
        <f t="shared" si="16"/>
        <v>483686334.25151187</v>
      </c>
      <c r="E64" s="132">
        <f t="shared" si="16"/>
        <v>10727681.383833598</v>
      </c>
      <c r="F64" s="132">
        <f t="shared" si="16"/>
        <v>29823299.582254425</v>
      </c>
      <c r="G64" s="132">
        <f t="shared" si="16"/>
        <v>1288075</v>
      </c>
      <c r="H64" s="132">
        <f t="shared" si="16"/>
        <v>396340</v>
      </c>
      <c r="I64" s="132">
        <f t="shared" si="16"/>
        <v>6452814.8100000005</v>
      </c>
      <c r="J64" s="132">
        <f t="shared" si="16"/>
        <v>4421657</v>
      </c>
      <c r="K64" s="133">
        <f>SUM(B64:J64)</f>
        <v>913738589.38687253</v>
      </c>
    </row>
    <row r="66" spans="11:11" x14ac:dyDescent="0.25">
      <c r="K66" s="2"/>
    </row>
    <row r="67" spans="11:11" x14ac:dyDescent="0.25">
      <c r="K67" s="2"/>
    </row>
  </sheetData>
  <pageMargins left="0.7" right="0.7" top="0.75" bottom="0.75" header="0.3" footer="0.3"/>
  <pageSetup scale="78" fitToHeight="2" orientation="landscape" r:id="rId1"/>
  <headerFooter>
    <oddFooter>&amp;R&amp;P/&amp;N</oddFooter>
  </headerFooter>
  <rowBreaks count="1" manualBreakCount="1">
    <brk id="40" max="10" man="1"/>
  </rowBreaks>
  <ignoredErrors>
    <ignoredError sqref="K50 G51:J51 B51:E5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110" zoomScaleNormal="110" workbookViewId="0">
      <pane xSplit="1" ySplit="6" topLeftCell="B7" activePane="bottomRight" state="frozen"/>
      <selection activeCell="O5" sqref="O5"/>
      <selection pane="topRight" activeCell="O5" sqref="O5"/>
      <selection pane="bottomLeft" activeCell="O5" sqref="O5"/>
      <selection pane="bottomRight" activeCell="O5" sqref="O5"/>
    </sheetView>
  </sheetViews>
  <sheetFormatPr defaultRowHeight="15" x14ac:dyDescent="0.25"/>
  <cols>
    <col min="1" max="1" width="7" customWidth="1"/>
    <col min="2" max="11" width="12.7109375" customWidth="1"/>
  </cols>
  <sheetData>
    <row r="1" spans="1:11" ht="18.75" x14ac:dyDescent="0.3">
      <c r="A1" s="30" t="s">
        <v>0</v>
      </c>
      <c r="B1" s="31"/>
      <c r="C1" s="31"/>
      <c r="D1" s="31"/>
      <c r="E1" s="31"/>
      <c r="F1" s="31"/>
      <c r="G1" s="31"/>
      <c r="H1" s="31"/>
      <c r="I1" s="31"/>
      <c r="J1" s="31"/>
      <c r="K1" s="31"/>
    </row>
    <row r="2" spans="1:11" ht="18.75" x14ac:dyDescent="0.3">
      <c r="A2" s="30" t="s">
        <v>413</v>
      </c>
      <c r="B2" s="31"/>
      <c r="C2" s="31"/>
      <c r="D2" s="31"/>
      <c r="E2" s="31"/>
      <c r="F2" s="31"/>
      <c r="G2" s="31"/>
      <c r="H2" s="31"/>
      <c r="I2" s="31"/>
      <c r="J2" s="31"/>
      <c r="K2" s="31"/>
    </row>
    <row r="3" spans="1:11" ht="19.5" thickBot="1" x14ac:dyDescent="0.35">
      <c r="A3" s="32" t="s">
        <v>72</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303</v>
      </c>
      <c r="K5" s="17" t="s">
        <v>18</v>
      </c>
    </row>
    <row r="6" spans="1:11" hidden="1" x14ac:dyDescent="0.25">
      <c r="A6" s="134"/>
      <c r="B6" s="135" t="s">
        <v>10</v>
      </c>
      <c r="C6" s="135" t="s">
        <v>11</v>
      </c>
      <c r="D6" s="135" t="s">
        <v>12</v>
      </c>
      <c r="E6" s="135" t="s">
        <v>267</v>
      </c>
      <c r="F6" s="135" t="s">
        <v>14</v>
      </c>
      <c r="G6" s="135" t="s">
        <v>15</v>
      </c>
      <c r="H6" s="135" t="s">
        <v>16</v>
      </c>
      <c r="I6" s="135" t="s">
        <v>17</v>
      </c>
      <c r="J6" s="135" t="s">
        <v>13</v>
      </c>
      <c r="K6" s="136"/>
    </row>
    <row r="7" spans="1:11" ht="18.75" x14ac:dyDescent="0.3">
      <c r="A7" s="334" t="s">
        <v>70</v>
      </c>
      <c r="B7" s="335"/>
      <c r="C7" s="335"/>
      <c r="D7" s="335"/>
      <c r="E7" s="335"/>
      <c r="F7" s="335"/>
      <c r="G7" s="335"/>
      <c r="H7" s="335"/>
      <c r="I7" s="335"/>
      <c r="J7" s="335"/>
      <c r="K7" s="336"/>
    </row>
    <row r="8" spans="1:11" x14ac:dyDescent="0.25">
      <c r="A8" s="27">
        <v>2006</v>
      </c>
      <c r="B8" s="5">
        <v>0</v>
      </c>
      <c r="C8" s="5">
        <v>0</v>
      </c>
      <c r="D8" s="5">
        <v>1520919</v>
      </c>
      <c r="E8" s="5">
        <v>249216</v>
      </c>
      <c r="F8" s="5">
        <v>72885</v>
      </c>
      <c r="G8" s="36">
        <v>0</v>
      </c>
      <c r="H8" s="5">
        <v>1897</v>
      </c>
      <c r="I8" s="5">
        <v>24792</v>
      </c>
      <c r="J8" s="36">
        <v>0</v>
      </c>
      <c r="K8" s="10">
        <f t="shared" ref="K8:K16" si="0">SUM(B8:J8)</f>
        <v>1869709</v>
      </c>
    </row>
    <row r="9" spans="1:11" x14ac:dyDescent="0.25">
      <c r="A9" s="27">
        <v>2007</v>
      </c>
      <c r="B9" s="5">
        <v>0</v>
      </c>
      <c r="C9" s="5">
        <v>0</v>
      </c>
      <c r="D9" s="5">
        <v>1310335</v>
      </c>
      <c r="E9" s="5">
        <v>233267</v>
      </c>
      <c r="F9" s="5">
        <v>57865</v>
      </c>
      <c r="G9" s="5">
        <v>0</v>
      </c>
      <c r="H9" s="5">
        <v>1234</v>
      </c>
      <c r="I9" s="5">
        <v>31812</v>
      </c>
      <c r="J9" s="5">
        <v>10733</v>
      </c>
      <c r="K9" s="10">
        <f t="shared" si="0"/>
        <v>1645246</v>
      </c>
    </row>
    <row r="10" spans="1:11" x14ac:dyDescent="0.25">
      <c r="A10" s="27">
        <v>2008</v>
      </c>
      <c r="B10" s="5">
        <v>0</v>
      </c>
      <c r="C10" s="5">
        <v>0</v>
      </c>
      <c r="D10" s="5">
        <v>1270952</v>
      </c>
      <c r="E10" s="5">
        <v>229465</v>
      </c>
      <c r="F10" s="5">
        <v>51576</v>
      </c>
      <c r="G10" s="5">
        <v>0</v>
      </c>
      <c r="H10" s="5">
        <v>1222</v>
      </c>
      <c r="I10" s="5">
        <v>24235</v>
      </c>
      <c r="J10" s="5">
        <v>10432</v>
      </c>
      <c r="K10" s="10">
        <f t="shared" si="0"/>
        <v>1587882</v>
      </c>
    </row>
    <row r="11" spans="1:11" x14ac:dyDescent="0.25">
      <c r="A11" s="27">
        <v>2009</v>
      </c>
      <c r="B11" s="5">
        <v>0</v>
      </c>
      <c r="C11" s="5">
        <v>0</v>
      </c>
      <c r="D11" s="5">
        <v>1123331</v>
      </c>
      <c r="E11" s="5">
        <v>196599</v>
      </c>
      <c r="F11" s="5">
        <v>38952</v>
      </c>
      <c r="G11" s="5">
        <v>0</v>
      </c>
      <c r="H11" s="5">
        <v>1217</v>
      </c>
      <c r="I11" s="5">
        <v>24546</v>
      </c>
      <c r="J11" s="5">
        <v>10438</v>
      </c>
      <c r="K11" s="10">
        <f t="shared" si="0"/>
        <v>1395083</v>
      </c>
    </row>
    <row r="12" spans="1:11" x14ac:dyDescent="0.25">
      <c r="A12" s="27">
        <v>2010</v>
      </c>
      <c r="B12" s="5">
        <v>0</v>
      </c>
      <c r="C12" s="5">
        <v>0</v>
      </c>
      <c r="D12" s="5">
        <v>1174448</v>
      </c>
      <c r="E12" s="5">
        <v>121910</v>
      </c>
      <c r="F12" s="5">
        <v>56098</v>
      </c>
      <c r="G12" s="5">
        <v>0</v>
      </c>
      <c r="H12" s="5">
        <v>1224</v>
      </c>
      <c r="I12" s="5">
        <v>24338</v>
      </c>
      <c r="J12" s="5">
        <v>10285</v>
      </c>
      <c r="K12" s="10">
        <f t="shared" si="0"/>
        <v>1388303</v>
      </c>
    </row>
    <row r="13" spans="1:11" x14ac:dyDescent="0.25">
      <c r="A13" s="27">
        <v>2011</v>
      </c>
      <c r="B13" s="5">
        <v>0</v>
      </c>
      <c r="C13" s="5">
        <v>0</v>
      </c>
      <c r="D13" s="5">
        <v>1180395</v>
      </c>
      <c r="E13" s="5">
        <v>96208</v>
      </c>
      <c r="F13" s="5">
        <v>63856</v>
      </c>
      <c r="G13" s="5">
        <v>0</v>
      </c>
      <c r="H13" s="5">
        <v>980</v>
      </c>
      <c r="I13" s="5">
        <v>24338</v>
      </c>
      <c r="J13" s="5">
        <v>11258</v>
      </c>
      <c r="K13" s="10">
        <f t="shared" si="0"/>
        <v>1377035</v>
      </c>
    </row>
    <row r="14" spans="1:11" x14ac:dyDescent="0.25">
      <c r="A14" s="27">
        <v>2012</v>
      </c>
      <c r="B14" s="5">
        <v>0</v>
      </c>
      <c r="C14" s="5">
        <v>0</v>
      </c>
      <c r="D14" s="5">
        <v>1184290</v>
      </c>
      <c r="E14" s="5">
        <v>95704</v>
      </c>
      <c r="F14" s="5">
        <v>67537</v>
      </c>
      <c r="G14" s="5">
        <v>0</v>
      </c>
      <c r="H14" s="5">
        <v>1138</v>
      </c>
      <c r="I14" s="5">
        <v>24338</v>
      </c>
      <c r="J14" s="5">
        <v>10054</v>
      </c>
      <c r="K14" s="10">
        <f t="shared" si="0"/>
        <v>1383061</v>
      </c>
    </row>
    <row r="15" spans="1:11" x14ac:dyDescent="0.25">
      <c r="A15" s="27">
        <v>2013</v>
      </c>
      <c r="B15" s="5">
        <v>0</v>
      </c>
      <c r="C15" s="5">
        <v>0</v>
      </c>
      <c r="D15" s="5">
        <v>1223255</v>
      </c>
      <c r="E15" s="5">
        <v>110518</v>
      </c>
      <c r="F15" s="5">
        <v>67914</v>
      </c>
      <c r="G15" s="5">
        <v>0</v>
      </c>
      <c r="H15" s="5">
        <v>1130</v>
      </c>
      <c r="I15" s="5">
        <v>23008</v>
      </c>
      <c r="J15" s="5">
        <v>9926</v>
      </c>
      <c r="K15" s="10">
        <f t="shared" si="0"/>
        <v>1435751</v>
      </c>
    </row>
    <row r="16" spans="1:11" x14ac:dyDescent="0.25">
      <c r="A16" s="28">
        <v>2014</v>
      </c>
      <c r="B16" s="25">
        <v>0</v>
      </c>
      <c r="C16" s="25">
        <v>0</v>
      </c>
      <c r="D16" s="25">
        <v>1181005</v>
      </c>
      <c r="E16" s="25">
        <v>112833</v>
      </c>
      <c r="F16" s="25">
        <v>65619</v>
      </c>
      <c r="G16" s="25">
        <v>0</v>
      </c>
      <c r="H16" s="25">
        <v>1144</v>
      </c>
      <c r="I16" s="25">
        <v>22342</v>
      </c>
      <c r="J16" s="25">
        <v>16051</v>
      </c>
      <c r="K16" s="26">
        <f t="shared" si="0"/>
        <v>1398994</v>
      </c>
    </row>
    <row r="17" spans="1:11" x14ac:dyDescent="0.25">
      <c r="A17" s="395" t="s">
        <v>19</v>
      </c>
      <c r="B17" s="84">
        <f>AVERAGE(B8:B16)</f>
        <v>0</v>
      </c>
      <c r="C17" s="84">
        <f t="shared" ref="C17:K17" si="1">AVERAGE(C8:C16)</f>
        <v>0</v>
      </c>
      <c r="D17" s="84">
        <f t="shared" si="1"/>
        <v>1240992.2222222222</v>
      </c>
      <c r="E17" s="84">
        <f t="shared" si="1"/>
        <v>160635.55555555556</v>
      </c>
      <c r="F17" s="84">
        <f>AVERAGE(F8:F16)</f>
        <v>60255.777777777781</v>
      </c>
      <c r="G17" s="84">
        <f t="shared" si="1"/>
        <v>0</v>
      </c>
      <c r="H17" s="84">
        <f t="shared" si="1"/>
        <v>1242.8888888888889</v>
      </c>
      <c r="I17" s="84">
        <f t="shared" si="1"/>
        <v>24861</v>
      </c>
      <c r="J17" s="84">
        <f t="shared" si="1"/>
        <v>9908.5555555555547</v>
      </c>
      <c r="K17" s="85">
        <f t="shared" si="1"/>
        <v>1497896</v>
      </c>
    </row>
    <row r="18" spans="1:11" ht="18.75" x14ac:dyDescent="0.3">
      <c r="A18" s="337" t="s">
        <v>33</v>
      </c>
      <c r="B18" s="338"/>
      <c r="C18" s="338"/>
      <c r="D18" s="338"/>
      <c r="E18" s="339"/>
      <c r="F18" s="338"/>
      <c r="G18" s="338"/>
      <c r="H18" s="338"/>
      <c r="I18" s="338"/>
      <c r="J18" s="338"/>
      <c r="K18" s="340"/>
    </row>
    <row r="19" spans="1:11" x14ac:dyDescent="0.25">
      <c r="A19" s="140">
        <v>2006</v>
      </c>
      <c r="B19" s="341"/>
      <c r="C19" s="341"/>
      <c r="D19" s="341">
        <f>IFERROR(ROUND(D8/'Rate Class Energy Model'!D8,4),0)</f>
        <v>3.0000000000000001E-3</v>
      </c>
      <c r="E19" s="341">
        <f>IFERROR(ROUND(E8/'Rate Class Energy Model'!E8,4),0)</f>
        <v>2.7000000000000001E-3</v>
      </c>
      <c r="F19" s="341">
        <f>IFERROR(ROUND(F8/'Rate Class Energy Model'!F8,4),0)</f>
        <v>2E-3</v>
      </c>
      <c r="G19" s="341"/>
      <c r="H19" s="341">
        <f>IFERROR(ROUND(H8/'Rate Class Energy Model'!H8,4),0)</f>
        <v>4.1999999999999997E-3</v>
      </c>
      <c r="I19" s="341">
        <f>IFERROR(ROUND(I8/'Rate Class Energy Model'!I8,4),0)</f>
        <v>2.8E-3</v>
      </c>
      <c r="J19" s="341">
        <f>IFERROR(ROUND(J8/'Rate Class Energy Model'!J8,4),0)</f>
        <v>0</v>
      </c>
      <c r="K19" s="142"/>
    </row>
    <row r="20" spans="1:11" x14ac:dyDescent="0.25">
      <c r="A20" s="27">
        <v>2007</v>
      </c>
      <c r="B20" s="37"/>
      <c r="C20" s="37"/>
      <c r="D20" s="37">
        <f>IFERROR(ROUND(D9/'Rate Class Energy Model'!D9,4),0)</f>
        <v>2.7000000000000001E-3</v>
      </c>
      <c r="E20" s="37">
        <f>IFERROR(ROUND(E9/'Rate Class Energy Model'!E9,4),0)</f>
        <v>2.5999999999999999E-3</v>
      </c>
      <c r="F20" s="37">
        <f>IFERROR(ROUND(F9/'Rate Class Energy Model'!F9,4),0)</f>
        <v>2.0999999999999999E-3</v>
      </c>
      <c r="G20" s="37"/>
      <c r="H20" s="37">
        <f>IFERROR(ROUND(H9/'Rate Class Energy Model'!H9,4),0)</f>
        <v>2.8E-3</v>
      </c>
      <c r="I20" s="37">
        <f>IFERROR(ROUND(I9/'Rate Class Energy Model'!I9,4),0)</f>
        <v>3.5999999999999999E-3</v>
      </c>
      <c r="J20" s="37">
        <f>IFERROR(ROUND(J9/'Rate Class Energy Model'!J9,4),0)</f>
        <v>2E-3</v>
      </c>
      <c r="K20" s="11"/>
    </row>
    <row r="21" spans="1:11" x14ac:dyDescent="0.25">
      <c r="A21" s="27">
        <v>2008</v>
      </c>
      <c r="B21" s="37"/>
      <c r="C21" s="37"/>
      <c r="D21" s="37">
        <f>IFERROR(ROUND(D10/'Rate Class Energy Model'!D10,4),0)</f>
        <v>2.8E-3</v>
      </c>
      <c r="E21" s="37">
        <f>IFERROR(ROUND(E10/'Rate Class Energy Model'!E10,4),0)</f>
        <v>2.3E-3</v>
      </c>
      <c r="F21" s="37">
        <f>IFERROR(ROUND(F10/'Rate Class Energy Model'!F10,4),0)</f>
        <v>2.3E-3</v>
      </c>
      <c r="G21" s="37"/>
      <c r="H21" s="37">
        <f>IFERROR(ROUND(H10/'Rate Class Energy Model'!H10,4),0)</f>
        <v>2.8E-3</v>
      </c>
      <c r="I21" s="37">
        <f>IFERROR(ROUND(I10/'Rate Class Energy Model'!I10,4),0)</f>
        <v>3.0000000000000001E-3</v>
      </c>
      <c r="J21" s="37">
        <f>IFERROR(ROUND(J10/'Rate Class Energy Model'!J10,4),0)</f>
        <v>2E-3</v>
      </c>
      <c r="K21" s="11"/>
    </row>
    <row r="22" spans="1:11" x14ac:dyDescent="0.25">
      <c r="A22" s="27">
        <v>2009</v>
      </c>
      <c r="B22" s="37"/>
      <c r="C22" s="37"/>
      <c r="D22" s="37">
        <f>IFERROR(ROUND(D11/'Rate Class Energy Model'!D11,4),0)</f>
        <v>2.8999999999999998E-3</v>
      </c>
      <c r="E22" s="37">
        <f>IFERROR(ROUND(E11/'Rate Class Energy Model'!E11,4),0)</f>
        <v>3.7000000000000002E-3</v>
      </c>
      <c r="F22" s="37">
        <f>IFERROR(ROUND(F11/'Rate Class Energy Model'!F11,4),0)</f>
        <v>2.3E-3</v>
      </c>
      <c r="G22" s="37"/>
      <c r="H22" s="37">
        <f>IFERROR(ROUND(H11/'Rate Class Energy Model'!H11,4),0)</f>
        <v>2.8E-3</v>
      </c>
      <c r="I22" s="37">
        <f>IFERROR(ROUND(I11/'Rate Class Energy Model'!I11,4),0)</f>
        <v>3.0000000000000001E-3</v>
      </c>
      <c r="J22" s="37">
        <f>IFERROR(ROUND(J11/'Rate Class Energy Model'!J11,4),0)</f>
        <v>2E-3</v>
      </c>
      <c r="K22" s="11"/>
    </row>
    <row r="23" spans="1:11" x14ac:dyDescent="0.25">
      <c r="A23" s="27">
        <v>2010</v>
      </c>
      <c r="B23" s="37"/>
      <c r="C23" s="37"/>
      <c r="D23" s="37">
        <f>IFERROR(ROUND(D12/'Rate Class Energy Model'!D12,4),0)</f>
        <v>2.7000000000000001E-3</v>
      </c>
      <c r="E23" s="37">
        <f>IFERROR(ROUND(E12/'Rate Class Energy Model'!E12,4),0)</f>
        <v>3.5000000000000001E-3</v>
      </c>
      <c r="F23" s="37">
        <f>IFERROR(ROUND(F12/'Rate Class Energy Model'!F12,4),0)</f>
        <v>1.9E-3</v>
      </c>
      <c r="G23" s="37"/>
      <c r="H23" s="37">
        <f>IFERROR(ROUND(H12/'Rate Class Energy Model'!H12,4),0)</f>
        <v>2.8E-3</v>
      </c>
      <c r="I23" s="37">
        <f>IFERROR(ROUND(I12/'Rate Class Energy Model'!I12,4),0)</f>
        <v>3.0000000000000001E-3</v>
      </c>
      <c r="J23" s="37">
        <f>IFERROR(ROUND(J12/'Rate Class Energy Model'!J12,4),0)</f>
        <v>2.0999999999999999E-3</v>
      </c>
      <c r="K23" s="11"/>
    </row>
    <row r="24" spans="1:11" x14ac:dyDescent="0.25">
      <c r="A24" s="27">
        <v>2011</v>
      </c>
      <c r="B24" s="37"/>
      <c r="C24" s="37"/>
      <c r="D24" s="37">
        <f>IFERROR(ROUND(D13/'Rate Class Energy Model'!D13,4),0)</f>
        <v>2.7000000000000001E-3</v>
      </c>
      <c r="E24" s="37">
        <f>IFERROR(ROUND(E13/'Rate Class Energy Model'!E13,4),0)</f>
        <v>3.3E-3</v>
      </c>
      <c r="F24" s="37">
        <f>IFERROR(ROUND(F13/'Rate Class Energy Model'!F13,4),0)</f>
        <v>1.9E-3</v>
      </c>
      <c r="G24" s="37"/>
      <c r="H24" s="37">
        <f>IFERROR(ROUND(H13/'Rate Class Energy Model'!H13,4),0)</f>
        <v>2.8E-3</v>
      </c>
      <c r="I24" s="37">
        <f>IFERROR(ROUND(I13/'Rate Class Energy Model'!I13,4),0)</f>
        <v>3.0000000000000001E-3</v>
      </c>
      <c r="J24" s="37">
        <f>IFERROR(ROUND(J13/'Rate Class Energy Model'!J13,4),0)</f>
        <v>2.7000000000000001E-3</v>
      </c>
      <c r="K24" s="11"/>
    </row>
    <row r="25" spans="1:11" x14ac:dyDescent="0.25">
      <c r="A25" s="27">
        <v>2012</v>
      </c>
      <c r="B25" s="37"/>
      <c r="C25" s="37"/>
      <c r="D25" s="37">
        <f>IFERROR(ROUND(D14/'Rate Class Energy Model'!D14,4),0)</f>
        <v>2.5999999999999999E-3</v>
      </c>
      <c r="E25" s="37">
        <f>IFERROR(ROUND(E14/'Rate Class Energy Model'!E14,4),0)</f>
        <v>3.3999999999999998E-3</v>
      </c>
      <c r="F25" s="37">
        <f>IFERROR(ROUND(F14/'Rate Class Energy Model'!F14,4),0)</f>
        <v>2E-3</v>
      </c>
      <c r="G25" s="37"/>
      <c r="H25" s="37">
        <f>IFERROR(ROUND(H14/'Rate Class Energy Model'!H14,4),0)</f>
        <v>2.8E-3</v>
      </c>
      <c r="I25" s="37">
        <f>IFERROR(ROUND(I14/'Rate Class Energy Model'!I14,4),0)</f>
        <v>3.0000000000000001E-3</v>
      </c>
      <c r="J25" s="37">
        <f>IFERROR(ROUND(J14/'Rate Class Energy Model'!J14,4),0)</f>
        <v>2.2000000000000001E-3</v>
      </c>
      <c r="K25" s="11"/>
    </row>
    <row r="26" spans="1:11" x14ac:dyDescent="0.25">
      <c r="A26" s="27">
        <v>2013</v>
      </c>
      <c r="B26" s="37"/>
      <c r="C26" s="37"/>
      <c r="D26" s="37">
        <f>IFERROR(ROUND(D15/'Rate Class Energy Model'!D15,4),0)</f>
        <v>2.7000000000000001E-3</v>
      </c>
      <c r="E26" s="37">
        <f>IFERROR(ROUND(E15/'Rate Class Energy Model'!E15,4),0)</f>
        <v>2.8E-3</v>
      </c>
      <c r="F26" s="37">
        <f>IFERROR(ROUND(F15/'Rate Class Energy Model'!F15,4),0)</f>
        <v>2.0999999999999999E-3</v>
      </c>
      <c r="G26" s="37"/>
      <c r="H26" s="37">
        <f>IFERROR(ROUND(H15/'Rate Class Energy Model'!H15,4),0)</f>
        <v>2.8E-3</v>
      </c>
      <c r="I26" s="37">
        <f>IFERROR(ROUND(I15/'Rate Class Energy Model'!I15,4),0)</f>
        <v>3.0000000000000001E-3</v>
      </c>
      <c r="J26" s="37">
        <f>IFERROR(ROUND(J15/'Rate Class Energy Model'!J15,4),0)</f>
        <v>2.2000000000000001E-3</v>
      </c>
      <c r="K26" s="11"/>
    </row>
    <row r="27" spans="1:11" x14ac:dyDescent="0.25">
      <c r="A27" s="29">
        <v>2014</v>
      </c>
      <c r="B27" s="342"/>
      <c r="C27" s="342"/>
      <c r="D27" s="342">
        <f>IFERROR(ROUND(D16/'Rate Class Energy Model'!D16,4),0)</f>
        <v>2.5999999999999999E-3</v>
      </c>
      <c r="E27" s="342">
        <f>IFERROR(ROUND(E16/'Rate Class Energy Model'!E16,4),0)</f>
        <v>3.3999999999999998E-3</v>
      </c>
      <c r="F27" s="342">
        <f>IFERROR(ROUND(F16/'Rate Class Energy Model'!F16,4),0)</f>
        <v>2.0999999999999999E-3</v>
      </c>
      <c r="G27" s="342"/>
      <c r="H27" s="342">
        <f>IFERROR(ROUND(H16/'Rate Class Energy Model'!H16,4),0)</f>
        <v>2.8E-3</v>
      </c>
      <c r="I27" s="342">
        <f>IFERROR(ROUND(I16/'Rate Class Energy Model'!I16,4),0)</f>
        <v>3.0000000000000001E-3</v>
      </c>
      <c r="J27" s="342">
        <f>IFERROR(ROUND(J16/'Rate Class Energy Model'!J16,4),0)</f>
        <v>3.5000000000000001E-3</v>
      </c>
      <c r="K27" s="143"/>
    </row>
    <row r="28" spans="1:11" x14ac:dyDescent="0.25">
      <c r="A28" s="395" t="s">
        <v>19</v>
      </c>
      <c r="B28" s="343"/>
      <c r="C28" s="343"/>
      <c r="D28" s="343">
        <f>AVERAGE(D23:D27)</f>
        <v>2.66E-3</v>
      </c>
      <c r="E28" s="343">
        <f>AVERAGE(E23:E27)</f>
        <v>3.2800000000000004E-3</v>
      </c>
      <c r="F28" s="343">
        <f>AVERAGE(F23:F27)</f>
        <v>1.9999999999999996E-3</v>
      </c>
      <c r="G28" s="343"/>
      <c r="H28" s="343">
        <f>AVERAGE(H23:H27)</f>
        <v>2.8E-3</v>
      </c>
      <c r="I28" s="343">
        <f>AVERAGE(I23:I27)</f>
        <v>3.0000000000000001E-3</v>
      </c>
      <c r="J28" s="343">
        <f>AVERAGE(J23:J27)</f>
        <v>2.5400000000000002E-3</v>
      </c>
      <c r="K28" s="87"/>
    </row>
    <row r="29" spans="1:11" ht="18.75" x14ac:dyDescent="0.3">
      <c r="A29" s="81" t="s">
        <v>380</v>
      </c>
      <c r="B29" s="23"/>
      <c r="C29" s="23"/>
      <c r="D29" s="23"/>
      <c r="E29" s="23"/>
      <c r="F29" s="23"/>
      <c r="G29" s="23"/>
      <c r="H29" s="23"/>
      <c r="I29" s="23"/>
      <c r="J29" s="23"/>
      <c r="K29" s="24"/>
    </row>
    <row r="30" spans="1:11" s="34" customFormat="1" ht="23.25" customHeight="1" x14ac:dyDescent="0.25">
      <c r="A30" s="331">
        <v>2015</v>
      </c>
      <c r="B30" s="107">
        <f>ROUND(B28*('Rate Class Energy Model'!B54+'Rate Class Energy Model'!B57),0)</f>
        <v>0</v>
      </c>
      <c r="C30" s="107">
        <f>ROUND(C28*('Rate Class Energy Model'!C54+'Rate Class Energy Model'!C57),0)</f>
        <v>0</v>
      </c>
      <c r="D30" s="107">
        <f>ROUND(D28*('Rate Class Energy Model'!D54+'Rate Class Energy Model'!D57),0)</f>
        <v>1236307</v>
      </c>
      <c r="E30" s="107">
        <f>ROUND(E28*('Rate Class Energy Model'!E54+'Rate Class Energy Model'!E57),0)</f>
        <v>68896</v>
      </c>
      <c r="F30" s="107">
        <f>ROUND(F28*('Rate Class Energy Model'!F54+'Rate Class Energy Model'!F57),0)</f>
        <v>61319</v>
      </c>
      <c r="G30" s="107">
        <f>ROUND(G28*('Rate Class Energy Model'!G54+'Rate Class Energy Model'!G57),0)</f>
        <v>0</v>
      </c>
      <c r="H30" s="107">
        <f>ROUND(H28*('Rate Class Energy Model'!H54+'Rate Class Energy Model'!H57),0)</f>
        <v>1127</v>
      </c>
      <c r="I30" s="107">
        <f>ROUND(I28*('Rate Class Energy Model'!I54+'Rate Class Energy Model'!I57),0)</f>
        <v>20969</v>
      </c>
      <c r="J30" s="107">
        <f>ROUND(J28*('Rate Class Energy Model'!J54+'Rate Class Energy Model'!J57),0)</f>
        <v>11499</v>
      </c>
      <c r="K30" s="332">
        <f>SUM(B30:J30)</f>
        <v>1400117</v>
      </c>
    </row>
    <row r="31" spans="1:11" s="34" customFormat="1" ht="23.25" customHeight="1" x14ac:dyDescent="0.25">
      <c r="A31" s="333">
        <v>2016</v>
      </c>
      <c r="B31" s="132">
        <f>ROUND(B28*('Rate Class Energy Model'!B55+'Rate Class Energy Model'!B58),0)</f>
        <v>0</v>
      </c>
      <c r="C31" s="132">
        <f>ROUND(C28*('Rate Class Energy Model'!C55+'Rate Class Energy Model'!C58),0)</f>
        <v>0</v>
      </c>
      <c r="D31" s="132">
        <f>ROUND(D28*('Rate Class Energy Model'!D55+'Rate Class Energy Model'!D58),0)</f>
        <v>1260692</v>
      </c>
      <c r="E31" s="132">
        <f>ROUND(E28*('Rate Class Energy Model'!E55+'Rate Class Energy Model'!E58),0)</f>
        <v>35187</v>
      </c>
      <c r="F31" s="132">
        <f>ROUND(F28*('Rate Class Energy Model'!F55+'Rate Class Energy Model'!F58),0)</f>
        <v>59647</v>
      </c>
      <c r="G31" s="132">
        <f>ROUND(G28*('Rate Class Energy Model'!G55+'Rate Class Energy Model'!G58),0)</f>
        <v>0</v>
      </c>
      <c r="H31" s="132">
        <f>ROUND(H28*('Rate Class Energy Model'!H55+'Rate Class Energy Model'!H58),0)</f>
        <v>1110</v>
      </c>
      <c r="I31" s="132">
        <f>ROUND(I28*('Rate Class Energy Model'!I55+'Rate Class Energy Model'!I58),0)</f>
        <v>19358</v>
      </c>
      <c r="J31" s="132">
        <f>ROUND(J28*('Rate Class Energy Model'!J55+'Rate Class Energy Model'!J58),0)</f>
        <v>11231</v>
      </c>
      <c r="K31" s="133">
        <f>SUM(B31:J31)</f>
        <v>1387225</v>
      </c>
    </row>
    <row r="32" spans="1:11" ht="18.75" x14ac:dyDescent="0.3">
      <c r="A32" s="352" t="s">
        <v>370</v>
      </c>
      <c r="B32" s="335"/>
      <c r="C32" s="335"/>
      <c r="D32" s="335"/>
      <c r="E32" s="335"/>
      <c r="F32" s="335"/>
      <c r="G32" s="335"/>
      <c r="H32" s="335"/>
      <c r="I32" s="335"/>
      <c r="J32" s="335"/>
      <c r="K32" s="353"/>
    </row>
    <row r="33" spans="1:11" x14ac:dyDescent="0.25">
      <c r="A33" s="331">
        <v>2015</v>
      </c>
      <c r="B33" s="107">
        <f>WMP!B30</f>
        <v>0</v>
      </c>
      <c r="C33" s="107">
        <f>WMP!C30</f>
        <v>0</v>
      </c>
      <c r="D33" s="107">
        <f>WMP!D30</f>
        <v>25416.862658360922</v>
      </c>
      <c r="E33" s="107">
        <f>WMP!E30</f>
        <v>0</v>
      </c>
      <c r="F33" s="107">
        <f>WMP!F30</f>
        <v>0</v>
      </c>
      <c r="G33" s="107">
        <f>WMP!G30</f>
        <v>0</v>
      </c>
      <c r="H33" s="107">
        <f>WMP!H30</f>
        <v>0</v>
      </c>
      <c r="I33" s="107">
        <f>WMP!I30</f>
        <v>0</v>
      </c>
      <c r="J33" s="107">
        <f>WMP!J30</f>
        <v>0</v>
      </c>
      <c r="K33" s="332">
        <f>SUM(B33:J33)</f>
        <v>25416.862658360922</v>
      </c>
    </row>
    <row r="34" spans="1:11" x14ac:dyDescent="0.25">
      <c r="A34" s="333">
        <v>2016</v>
      </c>
      <c r="B34" s="132">
        <f>WMP!B31</f>
        <v>0</v>
      </c>
      <c r="C34" s="132">
        <f>WMP!C31</f>
        <v>0</v>
      </c>
      <c r="D34" s="132">
        <f>WMP!D31</f>
        <v>26425.305801794777</v>
      </c>
      <c r="E34" s="132">
        <f>WMP!E31</f>
        <v>0</v>
      </c>
      <c r="F34" s="132">
        <f>WMP!F31</f>
        <v>0</v>
      </c>
      <c r="G34" s="132">
        <f>WMP!G31</f>
        <v>0</v>
      </c>
      <c r="H34" s="132">
        <f>WMP!H31</f>
        <v>0</v>
      </c>
      <c r="I34" s="132">
        <f>WMP!I31</f>
        <v>0</v>
      </c>
      <c r="J34" s="132">
        <f>WMP!J31</f>
        <v>0</v>
      </c>
      <c r="K34" s="133">
        <f>SUM(B34:J34)</f>
        <v>26425.305801794777</v>
      </c>
    </row>
    <row r="35" spans="1:11" ht="18.75" x14ac:dyDescent="0.3">
      <c r="A35" s="81" t="s">
        <v>379</v>
      </c>
      <c r="B35" s="23"/>
      <c r="C35" s="23"/>
      <c r="D35" s="23"/>
      <c r="E35" s="23"/>
      <c r="F35" s="23"/>
      <c r="G35" s="23"/>
      <c r="H35" s="23"/>
      <c r="I35" s="23"/>
      <c r="J35" s="23"/>
      <c r="K35" s="24"/>
    </row>
    <row r="36" spans="1:11" s="34" customFormat="1" ht="23.25" customHeight="1" x14ac:dyDescent="0.25">
      <c r="A36" s="331">
        <v>2015</v>
      </c>
      <c r="B36" s="107">
        <f>B30+B33</f>
        <v>0</v>
      </c>
      <c r="C36" s="107">
        <f t="shared" ref="C36:J37" si="2">C30+C33</f>
        <v>0</v>
      </c>
      <c r="D36" s="107">
        <f t="shared" si="2"/>
        <v>1261723.862658361</v>
      </c>
      <c r="E36" s="107">
        <f t="shared" si="2"/>
        <v>68896</v>
      </c>
      <c r="F36" s="107">
        <f t="shared" si="2"/>
        <v>61319</v>
      </c>
      <c r="G36" s="107">
        <f t="shared" si="2"/>
        <v>0</v>
      </c>
      <c r="H36" s="107">
        <f t="shared" si="2"/>
        <v>1127</v>
      </c>
      <c r="I36" s="107">
        <f t="shared" si="2"/>
        <v>20969</v>
      </c>
      <c r="J36" s="107">
        <f t="shared" si="2"/>
        <v>11499</v>
      </c>
      <c r="K36" s="332">
        <f>SUM(B36:J36)</f>
        <v>1425533.862658361</v>
      </c>
    </row>
    <row r="37" spans="1:11" s="34" customFormat="1" ht="23.25" customHeight="1" x14ac:dyDescent="0.25">
      <c r="A37" s="333">
        <v>2016</v>
      </c>
      <c r="B37" s="132">
        <f>B31+B34</f>
        <v>0</v>
      </c>
      <c r="C37" s="132">
        <f t="shared" si="2"/>
        <v>0</v>
      </c>
      <c r="D37" s="132">
        <f t="shared" si="2"/>
        <v>1287117.3058017949</v>
      </c>
      <c r="E37" s="132">
        <f t="shared" si="2"/>
        <v>35187</v>
      </c>
      <c r="F37" s="132">
        <f t="shared" si="2"/>
        <v>59647</v>
      </c>
      <c r="G37" s="132">
        <f t="shared" si="2"/>
        <v>0</v>
      </c>
      <c r="H37" s="132">
        <f t="shared" si="2"/>
        <v>1110</v>
      </c>
      <c r="I37" s="132">
        <f t="shared" si="2"/>
        <v>19358</v>
      </c>
      <c r="J37" s="132">
        <f t="shared" si="2"/>
        <v>11231</v>
      </c>
      <c r="K37" s="133">
        <f>SUM(B37:J37)</f>
        <v>1413650.3058017949</v>
      </c>
    </row>
  </sheetData>
  <pageMargins left="0.7" right="0.7" top="0.75" bottom="0.75" header="0.3" footer="0.3"/>
  <pageSetup scale="82" orientation="landscape"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zoomScale="110" zoomScaleNormal="110" workbookViewId="0">
      <selection activeCell="O5" sqref="O5"/>
    </sheetView>
  </sheetViews>
  <sheetFormatPr defaultRowHeight="15" x14ac:dyDescent="0.25"/>
  <cols>
    <col min="1" max="1" width="24.42578125" style="162" customWidth="1"/>
    <col min="2" max="11" width="12.7109375" style="162" customWidth="1"/>
    <col min="12" max="12" width="13.7109375" style="162" customWidth="1"/>
    <col min="13" max="16384" width="9.140625" style="162"/>
  </cols>
  <sheetData>
    <row r="1" spans="1:13" ht="18.75" x14ac:dyDescent="0.3">
      <c r="A1" s="172" t="s">
        <v>0</v>
      </c>
      <c r="B1" s="172"/>
      <c r="C1" s="172"/>
      <c r="D1" s="172"/>
      <c r="E1" s="172"/>
      <c r="F1" s="172"/>
      <c r="G1" s="172"/>
      <c r="H1" s="172"/>
      <c r="I1" s="172"/>
      <c r="J1" s="172"/>
      <c r="K1" s="172"/>
      <c r="L1" s="172"/>
    </row>
    <row r="2" spans="1:13" ht="18.75" x14ac:dyDescent="0.3">
      <c r="A2" s="30" t="s">
        <v>413</v>
      </c>
      <c r="B2" s="172"/>
      <c r="C2" s="172"/>
      <c r="D2" s="172"/>
      <c r="E2" s="172"/>
      <c r="F2" s="172"/>
      <c r="G2" s="172"/>
      <c r="H2" s="172"/>
      <c r="I2" s="172"/>
      <c r="J2" s="172"/>
      <c r="K2" s="172"/>
      <c r="L2" s="172"/>
    </row>
    <row r="3" spans="1:13" ht="19.5" thickBot="1" x14ac:dyDescent="0.35">
      <c r="A3" s="173" t="s">
        <v>268</v>
      </c>
      <c r="B3" s="173"/>
      <c r="C3" s="173"/>
      <c r="D3" s="173"/>
      <c r="E3" s="173"/>
      <c r="F3" s="173"/>
      <c r="G3" s="173"/>
      <c r="H3" s="173"/>
      <c r="I3" s="173"/>
      <c r="J3" s="173"/>
      <c r="K3" s="173"/>
      <c r="L3" s="172"/>
    </row>
    <row r="4" spans="1:13" ht="18.75" x14ac:dyDescent="0.3">
      <c r="L4" s="172"/>
    </row>
    <row r="5" spans="1:13" ht="18.75" x14ac:dyDescent="0.3">
      <c r="A5" s="174" t="s">
        <v>289</v>
      </c>
      <c r="B5" s="175"/>
      <c r="C5" s="175"/>
      <c r="D5" s="175"/>
      <c r="E5" s="175"/>
      <c r="F5" s="175"/>
      <c r="G5" s="175"/>
      <c r="H5" s="176"/>
    </row>
    <row r="6" spans="1:13" x14ac:dyDescent="0.25">
      <c r="A6" s="177" t="s">
        <v>35</v>
      </c>
      <c r="B6" s="178">
        <v>2015</v>
      </c>
      <c r="C6" s="178">
        <v>2016</v>
      </c>
      <c r="D6" s="178">
        <v>2017</v>
      </c>
      <c r="E6" s="178">
        <v>2018</v>
      </c>
      <c r="F6" s="178">
        <v>2019</v>
      </c>
      <c r="G6" s="179">
        <v>2020</v>
      </c>
      <c r="H6" s="180" t="s">
        <v>56</v>
      </c>
    </row>
    <row r="7" spans="1:13" x14ac:dyDescent="0.25">
      <c r="A7" s="226" t="s">
        <v>290</v>
      </c>
      <c r="B7" s="227"/>
      <c r="C7" s="227"/>
      <c r="D7" s="227"/>
      <c r="E7" s="227"/>
      <c r="F7" s="227"/>
      <c r="G7" s="228"/>
      <c r="H7" s="229"/>
    </row>
    <row r="8" spans="1:13" ht="18.75" x14ac:dyDescent="0.3">
      <c r="A8" s="181" t="s">
        <v>269</v>
      </c>
      <c r="B8" s="182">
        <v>28775427.410910897</v>
      </c>
      <c r="C8" s="182">
        <v>28775427.410910897</v>
      </c>
      <c r="D8" s="182">
        <v>28775427.410910897</v>
      </c>
      <c r="E8" s="182">
        <v>28775427.410910897</v>
      </c>
      <c r="F8" s="182">
        <v>28396159.760910898</v>
      </c>
      <c r="G8" s="183">
        <v>28396159.760910898</v>
      </c>
      <c r="H8" s="184"/>
      <c r="J8" s="185"/>
      <c r="K8" s="185"/>
      <c r="L8" s="172"/>
    </row>
    <row r="9" spans="1:13" x14ac:dyDescent="0.25">
      <c r="A9" s="186" t="s">
        <v>270</v>
      </c>
      <c r="B9" s="187"/>
      <c r="C9" s="187">
        <v>6218595.9788392587</v>
      </c>
      <c r="D9" s="187">
        <v>6218595.9788392587</v>
      </c>
      <c r="E9" s="187">
        <v>6218595.9788392587</v>
      </c>
      <c r="F9" s="187">
        <v>6218595.9788392587</v>
      </c>
      <c r="G9" s="188">
        <v>5611767.7388392594</v>
      </c>
      <c r="H9" s="189"/>
      <c r="J9" s="185"/>
      <c r="K9" s="185"/>
    </row>
    <row r="10" spans="1:13" x14ac:dyDescent="0.25">
      <c r="A10" s="186" t="s">
        <v>271</v>
      </c>
      <c r="B10" s="187"/>
      <c r="C10" s="187">
        <v>0</v>
      </c>
      <c r="D10" s="187">
        <v>6049722.7290270496</v>
      </c>
      <c r="E10" s="187">
        <v>6049722.7290270496</v>
      </c>
      <c r="F10" s="187">
        <v>6049722.7290270496</v>
      </c>
      <c r="G10" s="188">
        <v>6049722.7290270496</v>
      </c>
      <c r="H10" s="189"/>
      <c r="J10" s="185"/>
      <c r="K10" s="185"/>
    </row>
    <row r="11" spans="1:13" x14ac:dyDescent="0.25">
      <c r="A11" s="186" t="s">
        <v>272</v>
      </c>
      <c r="B11" s="187"/>
      <c r="C11" s="187">
        <v>0</v>
      </c>
      <c r="D11" s="187">
        <v>0</v>
      </c>
      <c r="E11" s="187">
        <v>12078194.915390169</v>
      </c>
      <c r="F11" s="187">
        <v>12078194.915390169</v>
      </c>
      <c r="G11" s="188">
        <v>12078194.915390169</v>
      </c>
      <c r="H11" s="189"/>
      <c r="J11" s="185"/>
      <c r="K11" s="185"/>
    </row>
    <row r="12" spans="1:13" x14ac:dyDescent="0.25">
      <c r="A12" s="186" t="s">
        <v>273</v>
      </c>
      <c r="B12" s="187"/>
      <c r="C12" s="187">
        <v>0</v>
      </c>
      <c r="D12" s="187">
        <v>0</v>
      </c>
      <c r="E12" s="187">
        <v>0</v>
      </c>
      <c r="F12" s="187">
        <v>5165783.3899952797</v>
      </c>
      <c r="G12" s="188">
        <v>5165783.3899952797</v>
      </c>
      <c r="H12" s="189"/>
    </row>
    <row r="13" spans="1:13" x14ac:dyDescent="0.25">
      <c r="A13" s="190" t="s">
        <v>274</v>
      </c>
      <c r="B13" s="191"/>
      <c r="C13" s="191">
        <v>0</v>
      </c>
      <c r="D13" s="191">
        <v>0</v>
      </c>
      <c r="E13" s="191">
        <v>0</v>
      </c>
      <c r="F13" s="191">
        <v>0</v>
      </c>
      <c r="G13" s="192">
        <v>4777518.8415844236</v>
      </c>
      <c r="H13" s="193"/>
    </row>
    <row r="14" spans="1:13" x14ac:dyDescent="0.25">
      <c r="A14" s="198" t="s">
        <v>283</v>
      </c>
      <c r="B14" s="199">
        <f t="shared" ref="B14:G14" si="0">SUM(B8:B13)</f>
        <v>28775427.410910897</v>
      </c>
      <c r="C14" s="199">
        <f t="shared" si="0"/>
        <v>34994023.389750153</v>
      </c>
      <c r="D14" s="199">
        <f t="shared" si="0"/>
        <v>41043746.118777201</v>
      </c>
      <c r="E14" s="199">
        <f t="shared" si="0"/>
        <v>53121941.034167372</v>
      </c>
      <c r="F14" s="199">
        <f t="shared" si="0"/>
        <v>57908456.77416265</v>
      </c>
      <c r="G14" s="200">
        <f t="shared" si="0"/>
        <v>62079147.375747077</v>
      </c>
      <c r="H14" s="234"/>
    </row>
    <row r="15" spans="1:13" x14ac:dyDescent="0.25">
      <c r="A15" s="194" t="s">
        <v>291</v>
      </c>
      <c r="B15" s="195">
        <f>(B8/(SUM($B$8,$C$9,$D$10,$E$11,$F$12,$G$13)))</f>
        <v>0.45628028880592353</v>
      </c>
      <c r="C15" s="195">
        <f>(C9/(SUM($B$8,$C$9,$D$10,$E$11,$F$12,$G$13)))</f>
        <v>9.8605755830276712E-2</v>
      </c>
      <c r="D15" s="195">
        <f>(D10/(SUM($B$8,$C$9,$D$10,$E$11,$F$12,$G$13)))</f>
        <v>9.5928001158014475E-2</v>
      </c>
      <c r="E15" s="195">
        <f>(E11/(SUM($B$8,$C$9,$D$10,$E$11,$F$12,$G$13)))</f>
        <v>0.19151904107456694</v>
      </c>
      <c r="F15" s="195">
        <f>(F12/(SUM($B$8,$C$9,$D$10,$E$11,$F$12,$G$13)))</f>
        <v>8.1911733349342306E-2</v>
      </c>
      <c r="G15" s="196">
        <f>(G13/(SUM($B$8,$C$9,$D$10,$E$11,$F$12,$G$13)))</f>
        <v>7.5755179781876153E-2</v>
      </c>
      <c r="H15" s="197">
        <f>SUM(B15:G15)</f>
        <v>1.0000000000000002</v>
      </c>
    </row>
    <row r="16" spans="1:13" x14ac:dyDescent="0.25">
      <c r="A16" s="230" t="s">
        <v>284</v>
      </c>
      <c r="B16" s="231">
        <f>ROUND($H$16*B15,0)</f>
        <v>25916720</v>
      </c>
      <c r="C16" s="231">
        <f>ROUND($H$16*C15,0)</f>
        <v>5600807</v>
      </c>
      <c r="D16" s="231">
        <f>ROUND($H$16*D15,0)</f>
        <v>5448710</v>
      </c>
      <c r="E16" s="231">
        <f>ROUND($H$16*E15,0)</f>
        <v>10878282</v>
      </c>
      <c r="F16" s="231">
        <f>ROUND($H$16*F15,0)</f>
        <v>4652586</v>
      </c>
      <c r="G16" s="232">
        <f>ROUND(H16*G15,0)+1</f>
        <v>4302895</v>
      </c>
      <c r="H16" s="233">
        <v>56800000</v>
      </c>
      <c r="M16" s="201"/>
    </row>
    <row r="17" spans="1:12" x14ac:dyDescent="0.25">
      <c r="C17" s="185"/>
      <c r="D17" s="185"/>
      <c r="E17" s="185"/>
      <c r="F17" s="185"/>
      <c r="G17" s="185"/>
      <c r="H17" s="185"/>
    </row>
    <row r="18" spans="1:12" ht="18.75" x14ac:dyDescent="0.3">
      <c r="A18" s="238" t="s">
        <v>292</v>
      </c>
      <c r="B18" s="235"/>
      <c r="C18" s="236"/>
      <c r="D18" s="236"/>
      <c r="E18" s="236"/>
      <c r="F18" s="236"/>
      <c r="G18" s="236"/>
      <c r="H18" s="236"/>
      <c r="I18" s="235"/>
      <c r="J18" s="235"/>
      <c r="K18" s="237"/>
    </row>
    <row r="19" spans="1:12" ht="45" x14ac:dyDescent="0.25">
      <c r="A19" s="202" t="s">
        <v>35</v>
      </c>
      <c r="B19" s="203" t="s">
        <v>2</v>
      </c>
      <c r="C19" s="203" t="s">
        <v>3</v>
      </c>
      <c r="D19" s="203" t="s">
        <v>4</v>
      </c>
      <c r="E19" s="203" t="s">
        <v>265</v>
      </c>
      <c r="F19" s="203" t="s">
        <v>266</v>
      </c>
      <c r="G19" s="203" t="s">
        <v>6</v>
      </c>
      <c r="H19" s="203" t="s">
        <v>8</v>
      </c>
      <c r="I19" s="203" t="s">
        <v>7</v>
      </c>
      <c r="J19" s="203" t="s">
        <v>303</v>
      </c>
      <c r="K19" s="204" t="s">
        <v>18</v>
      </c>
    </row>
    <row r="20" spans="1:12" x14ac:dyDescent="0.25">
      <c r="A20" s="239" t="s">
        <v>367</v>
      </c>
      <c r="B20" s="240"/>
      <c r="C20" s="241"/>
      <c r="D20" s="241"/>
      <c r="E20" s="241"/>
      <c r="F20" s="241"/>
      <c r="G20" s="241"/>
      <c r="H20" s="240"/>
      <c r="I20" s="240"/>
      <c r="J20" s="240"/>
      <c r="K20" s="242"/>
    </row>
    <row r="21" spans="1:12" x14ac:dyDescent="0.25">
      <c r="A21" s="186" t="s">
        <v>365</v>
      </c>
      <c r="B21" s="205">
        <v>145989.12385504428</v>
      </c>
      <c r="C21" s="205">
        <v>508863.65995800006</v>
      </c>
      <c r="D21" s="205">
        <v>421417.25404199993</v>
      </c>
      <c r="E21" s="205"/>
      <c r="F21" s="205"/>
      <c r="G21" s="206"/>
      <c r="H21" s="206"/>
      <c r="I21" s="206"/>
      <c r="J21" s="206"/>
      <c r="K21" s="207">
        <f>SUM(B21:J21)</f>
        <v>1076270.0378550442</v>
      </c>
    </row>
    <row r="22" spans="1:12" x14ac:dyDescent="0.25">
      <c r="A22" s="208" t="s">
        <v>366</v>
      </c>
      <c r="B22" s="209">
        <v>439806.58905585483</v>
      </c>
      <c r="C22" s="209">
        <v>1480197.454048</v>
      </c>
      <c r="D22" s="209">
        <v>1225830.9299519998</v>
      </c>
      <c r="E22" s="209">
        <v>23731898.400000002</v>
      </c>
      <c r="F22" s="209"/>
      <c r="G22" s="210"/>
      <c r="H22" s="210"/>
      <c r="I22" s="484">
        <v>821425</v>
      </c>
      <c r="J22" s="210"/>
      <c r="K22" s="211">
        <f>SUM(B22:J22)</f>
        <v>27699158.373055857</v>
      </c>
    </row>
    <row r="23" spans="1:12" x14ac:dyDescent="0.25">
      <c r="A23" s="212" t="s">
        <v>286</v>
      </c>
      <c r="B23" s="213">
        <f t="shared" ref="B23:K23" si="1">B21+B22</f>
        <v>585795.71291089908</v>
      </c>
      <c r="C23" s="213">
        <f t="shared" si="1"/>
        <v>1989061.1140060001</v>
      </c>
      <c r="D23" s="213">
        <f t="shared" si="1"/>
        <v>1647248.1839939998</v>
      </c>
      <c r="E23" s="213">
        <f t="shared" si="1"/>
        <v>23731898.400000002</v>
      </c>
      <c r="F23" s="213">
        <f t="shared" si="1"/>
        <v>0</v>
      </c>
      <c r="G23" s="213">
        <f t="shared" si="1"/>
        <v>0</v>
      </c>
      <c r="H23" s="213">
        <f t="shared" si="1"/>
        <v>0</v>
      </c>
      <c r="I23" s="213">
        <f t="shared" si="1"/>
        <v>821425</v>
      </c>
      <c r="J23" s="213">
        <f t="shared" si="1"/>
        <v>0</v>
      </c>
      <c r="K23" s="214">
        <f t="shared" si="1"/>
        <v>28775428.410910901</v>
      </c>
      <c r="L23" s="485"/>
    </row>
    <row r="24" spans="1:12" x14ac:dyDescent="0.25">
      <c r="A24" s="215" t="s">
        <v>276</v>
      </c>
      <c r="B24" s="216">
        <f>B23/SUM($B$23:$D$23)</f>
        <v>0.13874494153912967</v>
      </c>
      <c r="C24" s="216">
        <f>C23/SUM($B$23:$D$23)</f>
        <v>0.47110649992499121</v>
      </c>
      <c r="D24" s="216">
        <f>D23/SUM($B$23:$D$23)</f>
        <v>0.39014855853587926</v>
      </c>
      <c r="E24" s="216"/>
      <c r="F24" s="191"/>
      <c r="G24" s="191"/>
      <c r="H24" s="210"/>
      <c r="I24" s="210"/>
      <c r="J24" s="210"/>
      <c r="K24" s="217"/>
    </row>
    <row r="25" spans="1:12" x14ac:dyDescent="0.25">
      <c r="A25" s="198" t="s">
        <v>285</v>
      </c>
      <c r="B25" s="199">
        <f>ROUND(($K$25-$E$25-I25)*B24,0)</f>
        <v>189164</v>
      </c>
      <c r="C25" s="199">
        <f>ROUND(($K$25-$E$25-I25)*C24,0)</f>
        <v>642305</v>
      </c>
      <c r="D25" s="199">
        <f>ROUND(($K$25-$E$25-I25)*D24,0)</f>
        <v>531927</v>
      </c>
      <c r="E25" s="199">
        <f>E23</f>
        <v>23731898.400000002</v>
      </c>
      <c r="F25" s="199">
        <f>F23</f>
        <v>0</v>
      </c>
      <c r="G25" s="199">
        <f t="shared" ref="G25:J25" si="2">G23</f>
        <v>0</v>
      </c>
      <c r="H25" s="199">
        <f t="shared" si="2"/>
        <v>0</v>
      </c>
      <c r="I25" s="199">
        <f t="shared" si="2"/>
        <v>821425</v>
      </c>
      <c r="J25" s="199">
        <f t="shared" si="2"/>
        <v>0</v>
      </c>
      <c r="K25" s="218">
        <f>B16</f>
        <v>25916720</v>
      </c>
      <c r="L25" s="201"/>
    </row>
    <row r="26" spans="1:12" x14ac:dyDescent="0.25">
      <c r="A26" s="243" t="s">
        <v>368</v>
      </c>
      <c r="B26" s="244"/>
      <c r="C26" s="245"/>
      <c r="D26" s="245"/>
      <c r="E26" s="245"/>
      <c r="F26" s="245"/>
      <c r="G26" s="245"/>
      <c r="H26" s="244"/>
      <c r="I26" s="244"/>
      <c r="J26" s="244"/>
      <c r="K26" s="246"/>
    </row>
    <row r="27" spans="1:12" x14ac:dyDescent="0.25">
      <c r="A27" s="215" t="s">
        <v>365</v>
      </c>
      <c r="B27" s="209">
        <v>1008064.1134521361</v>
      </c>
      <c r="C27" s="209">
        <v>2850160.9303667569</v>
      </c>
      <c r="D27" s="209">
        <v>2360370.9350203671</v>
      </c>
      <c r="E27" s="209"/>
      <c r="F27" s="210"/>
      <c r="G27" s="210"/>
      <c r="H27" s="210"/>
      <c r="I27" s="210"/>
      <c r="J27" s="210"/>
      <c r="K27" s="211">
        <f>SUM(B27:J27)</f>
        <v>6218595.9788392596</v>
      </c>
    </row>
    <row r="28" spans="1:12" x14ac:dyDescent="0.25">
      <c r="A28" s="212" t="s">
        <v>287</v>
      </c>
      <c r="B28" s="213">
        <f>B27</f>
        <v>1008064.1134521361</v>
      </c>
      <c r="C28" s="213">
        <f t="shared" ref="C28:J28" si="3">C27</f>
        <v>2850160.9303667569</v>
      </c>
      <c r="D28" s="213">
        <f t="shared" si="3"/>
        <v>2360370.9350203671</v>
      </c>
      <c r="E28" s="213">
        <f t="shared" si="3"/>
        <v>0</v>
      </c>
      <c r="F28" s="213">
        <f t="shared" si="3"/>
        <v>0</v>
      </c>
      <c r="G28" s="213">
        <f t="shared" si="3"/>
        <v>0</v>
      </c>
      <c r="H28" s="213">
        <f t="shared" si="3"/>
        <v>0</v>
      </c>
      <c r="I28" s="213">
        <f t="shared" si="3"/>
        <v>0</v>
      </c>
      <c r="J28" s="213">
        <f t="shared" si="3"/>
        <v>0</v>
      </c>
      <c r="K28" s="214">
        <f>SUM(B28:J28)</f>
        <v>6218595.9788392596</v>
      </c>
    </row>
    <row r="29" spans="1:12" x14ac:dyDescent="0.25">
      <c r="A29" s="215" t="s">
        <v>276</v>
      </c>
      <c r="B29" s="219">
        <f>B28/$K$28</f>
        <v>0.16210477684712002</v>
      </c>
      <c r="C29" s="219">
        <f>C28/$K$28</f>
        <v>0.45832868706462537</v>
      </c>
      <c r="D29" s="219">
        <f>D28/$K$28</f>
        <v>0.37956653608825464</v>
      </c>
      <c r="E29" s="219"/>
      <c r="F29" s="210"/>
      <c r="G29" s="210"/>
      <c r="H29" s="210"/>
      <c r="I29" s="210"/>
      <c r="J29" s="210"/>
      <c r="K29" s="220"/>
    </row>
    <row r="30" spans="1:12" x14ac:dyDescent="0.25">
      <c r="A30" s="198" t="s">
        <v>288</v>
      </c>
      <c r="B30" s="199">
        <f>ROUND($C$16*B29,0)</f>
        <v>907918</v>
      </c>
      <c r="C30" s="199">
        <f>ROUND($C$16*C29,0)+1</f>
        <v>2567012</v>
      </c>
      <c r="D30" s="199">
        <f>ROUND($C$16*D29,0)</f>
        <v>2125879</v>
      </c>
      <c r="E30" s="199">
        <f>ROUND($C$16*E29,0)</f>
        <v>0</v>
      </c>
      <c r="F30" s="199">
        <f t="shared" ref="F30:J30" si="4">ROUND($C$16*F29,0)</f>
        <v>0</v>
      </c>
      <c r="G30" s="199">
        <f t="shared" si="4"/>
        <v>0</v>
      </c>
      <c r="H30" s="199">
        <f t="shared" si="4"/>
        <v>0</v>
      </c>
      <c r="I30" s="199">
        <f t="shared" si="4"/>
        <v>0</v>
      </c>
      <c r="J30" s="199">
        <f t="shared" si="4"/>
        <v>0</v>
      </c>
      <c r="K30" s="218">
        <f>SUM(B30:J30)</f>
        <v>5600809</v>
      </c>
      <c r="L30" s="201"/>
    </row>
    <row r="32" spans="1:12" ht="18.75" x14ac:dyDescent="0.3">
      <c r="A32" s="238" t="s">
        <v>293</v>
      </c>
      <c r="B32" s="235"/>
      <c r="C32" s="236"/>
      <c r="D32" s="236"/>
      <c r="E32" s="236"/>
      <c r="F32" s="236"/>
      <c r="G32" s="236"/>
      <c r="H32" s="236"/>
      <c r="I32" s="235"/>
      <c r="J32" s="235"/>
      <c r="K32" s="237"/>
    </row>
    <row r="33" spans="1:12" ht="45" x14ac:dyDescent="0.25">
      <c r="A33" s="202" t="s">
        <v>20</v>
      </c>
      <c r="B33" s="203" t="s">
        <v>2</v>
      </c>
      <c r="C33" s="203" t="s">
        <v>3</v>
      </c>
      <c r="D33" s="203" t="s">
        <v>4</v>
      </c>
      <c r="E33" s="203" t="s">
        <v>265</v>
      </c>
      <c r="F33" s="203" t="s">
        <v>266</v>
      </c>
      <c r="G33" s="203" t="s">
        <v>6</v>
      </c>
      <c r="H33" s="203" t="s">
        <v>8</v>
      </c>
      <c r="I33" s="203" t="s">
        <v>7</v>
      </c>
      <c r="J33" s="203" t="s">
        <v>303</v>
      </c>
      <c r="K33" s="204" t="s">
        <v>18</v>
      </c>
      <c r="L33" s="201"/>
    </row>
    <row r="34" spans="1:12" s="247" customFormat="1" x14ac:dyDescent="0.25">
      <c r="A34" s="388" t="s">
        <v>277</v>
      </c>
      <c r="B34" s="389"/>
      <c r="C34" s="390"/>
      <c r="D34" s="390"/>
      <c r="E34" s="390"/>
      <c r="F34" s="390"/>
      <c r="G34" s="390"/>
      <c r="H34" s="389"/>
      <c r="I34" s="389"/>
      <c r="J34" s="389"/>
      <c r="K34" s="391"/>
    </row>
    <row r="35" spans="1:12" x14ac:dyDescent="0.25">
      <c r="A35" s="221" t="s">
        <v>278</v>
      </c>
      <c r="B35" s="500">
        <v>857187.34942066169</v>
      </c>
      <c r="C35" s="500">
        <v>603919.14142891823</v>
      </c>
      <c r="D35" s="500">
        <v>2042266.9445475114</v>
      </c>
      <c r="E35" s="500">
        <v>1815364.2161663999</v>
      </c>
      <c r="F35" s="500">
        <v>54157.41774557696</v>
      </c>
      <c r="G35" s="500">
        <v>0</v>
      </c>
      <c r="H35" s="500">
        <v>0</v>
      </c>
      <c r="I35" s="500">
        <v>9784.19</v>
      </c>
      <c r="J35" s="500">
        <v>0</v>
      </c>
      <c r="K35" s="222">
        <f>SUM(B35:J35)</f>
        <v>5382679.2593090693</v>
      </c>
    </row>
    <row r="36" spans="1:12" x14ac:dyDescent="0.25">
      <c r="A36" s="223" t="s">
        <v>279</v>
      </c>
      <c r="B36" s="224">
        <f t="shared" ref="B36:J36" si="5">ROUND(B25*0.5,0)</f>
        <v>94582</v>
      </c>
      <c r="C36" s="224">
        <f t="shared" si="5"/>
        <v>321153</v>
      </c>
      <c r="D36" s="224">
        <f t="shared" si="5"/>
        <v>265964</v>
      </c>
      <c r="E36" s="224">
        <f t="shared" si="5"/>
        <v>11865949</v>
      </c>
      <c r="F36" s="224">
        <f t="shared" si="5"/>
        <v>0</v>
      </c>
      <c r="G36" s="224">
        <f t="shared" si="5"/>
        <v>0</v>
      </c>
      <c r="H36" s="224">
        <f t="shared" si="5"/>
        <v>0</v>
      </c>
      <c r="I36" s="224">
        <f t="shared" si="5"/>
        <v>410713</v>
      </c>
      <c r="J36" s="224">
        <f t="shared" si="5"/>
        <v>0</v>
      </c>
      <c r="K36" s="225">
        <f>SUM(B36:J36)</f>
        <v>12958361</v>
      </c>
    </row>
    <row r="37" spans="1:12" x14ac:dyDescent="0.25">
      <c r="A37" s="385" t="s">
        <v>18</v>
      </c>
      <c r="B37" s="386">
        <f>SUM(B35:B36)</f>
        <v>951769.34942066169</v>
      </c>
      <c r="C37" s="386">
        <f t="shared" ref="C37:J37" si="6">SUM(C35:C36)</f>
        <v>925072.14142891823</v>
      </c>
      <c r="D37" s="386">
        <f t="shared" si="6"/>
        <v>2308230.9445475116</v>
      </c>
      <c r="E37" s="386">
        <f t="shared" si="6"/>
        <v>13681313.216166399</v>
      </c>
      <c r="F37" s="386">
        <f t="shared" si="6"/>
        <v>54157.41774557696</v>
      </c>
      <c r="G37" s="386">
        <f t="shared" si="6"/>
        <v>0</v>
      </c>
      <c r="H37" s="386">
        <f t="shared" si="6"/>
        <v>0</v>
      </c>
      <c r="I37" s="386">
        <f t="shared" si="6"/>
        <v>420497.19</v>
      </c>
      <c r="J37" s="386">
        <f t="shared" si="6"/>
        <v>0</v>
      </c>
      <c r="K37" s="387">
        <f>SUM(B37:J37)</f>
        <v>18341040.259309068</v>
      </c>
    </row>
    <row r="38" spans="1:12" s="247" customFormat="1" x14ac:dyDescent="0.25">
      <c r="A38" s="388" t="s">
        <v>280</v>
      </c>
      <c r="B38" s="389"/>
      <c r="C38" s="390"/>
      <c r="D38" s="390"/>
      <c r="E38" s="390"/>
      <c r="F38" s="390"/>
      <c r="G38" s="390"/>
      <c r="H38" s="389"/>
      <c r="I38" s="389"/>
      <c r="J38" s="389"/>
      <c r="K38" s="391"/>
    </row>
    <row r="39" spans="1:12" x14ac:dyDescent="0.25">
      <c r="A39" s="221" t="s">
        <v>278</v>
      </c>
      <c r="B39" s="500">
        <v>819536.57251283689</v>
      </c>
      <c r="C39" s="500">
        <v>596549.74402653356</v>
      </c>
      <c r="D39" s="500">
        <v>2042266.9445475114</v>
      </c>
      <c r="E39" s="500">
        <v>1815364.2161663999</v>
      </c>
      <c r="F39" s="500">
        <v>54157.41774557696</v>
      </c>
      <c r="G39" s="500">
        <v>0</v>
      </c>
      <c r="H39" s="500">
        <v>0</v>
      </c>
      <c r="I39" s="500">
        <v>9784.19</v>
      </c>
      <c r="J39" s="500">
        <v>0</v>
      </c>
      <c r="K39" s="222">
        <f>SUM(B39:J39)</f>
        <v>5337659.08499886</v>
      </c>
    </row>
    <row r="40" spans="1:12" x14ac:dyDescent="0.25">
      <c r="A40" s="221" t="s">
        <v>281</v>
      </c>
      <c r="B40" s="187">
        <f t="shared" ref="B40:J40" si="7">B25</f>
        <v>189164</v>
      </c>
      <c r="C40" s="187">
        <f t="shared" si="7"/>
        <v>642305</v>
      </c>
      <c r="D40" s="187">
        <f t="shared" si="7"/>
        <v>531927</v>
      </c>
      <c r="E40" s="187">
        <f t="shared" si="7"/>
        <v>23731898.400000002</v>
      </c>
      <c r="F40" s="187">
        <f t="shared" si="7"/>
        <v>0</v>
      </c>
      <c r="G40" s="187">
        <f t="shared" si="7"/>
        <v>0</v>
      </c>
      <c r="H40" s="187">
        <f t="shared" si="7"/>
        <v>0</v>
      </c>
      <c r="I40" s="187">
        <f t="shared" si="7"/>
        <v>821425</v>
      </c>
      <c r="J40" s="187">
        <f t="shared" si="7"/>
        <v>0</v>
      </c>
      <c r="K40" s="222">
        <f>SUM(B40:J40)</f>
        <v>25916719.400000002</v>
      </c>
    </row>
    <row r="41" spans="1:12" x14ac:dyDescent="0.25">
      <c r="A41" s="215" t="s">
        <v>282</v>
      </c>
      <c r="B41" s="191">
        <f t="shared" ref="B41:J41" si="8">ROUND(B30*0.5,0)</f>
        <v>453959</v>
      </c>
      <c r="C41" s="191">
        <f t="shared" si="8"/>
        <v>1283506</v>
      </c>
      <c r="D41" s="191">
        <f t="shared" si="8"/>
        <v>1062940</v>
      </c>
      <c r="E41" s="191">
        <f t="shared" si="8"/>
        <v>0</v>
      </c>
      <c r="F41" s="191">
        <f t="shared" si="8"/>
        <v>0</v>
      </c>
      <c r="G41" s="191">
        <f t="shared" si="8"/>
        <v>0</v>
      </c>
      <c r="H41" s="191">
        <f t="shared" si="8"/>
        <v>0</v>
      </c>
      <c r="I41" s="191">
        <f t="shared" si="8"/>
        <v>0</v>
      </c>
      <c r="J41" s="191">
        <f t="shared" si="8"/>
        <v>0</v>
      </c>
      <c r="K41" s="217">
        <f>SUM(B41:J41)</f>
        <v>2800405</v>
      </c>
    </row>
    <row r="42" spans="1:12" x14ac:dyDescent="0.25">
      <c r="A42" s="385" t="s">
        <v>18</v>
      </c>
      <c r="B42" s="386">
        <f>SUM(B39:B41)</f>
        <v>1462659.5725128369</v>
      </c>
      <c r="C42" s="386">
        <f t="shared" ref="C42:J42" si="9">SUM(C39:C41)</f>
        <v>2522360.7440265333</v>
      </c>
      <c r="D42" s="386">
        <f t="shared" si="9"/>
        <v>3637133.9445475116</v>
      </c>
      <c r="E42" s="386">
        <f t="shared" si="9"/>
        <v>25547262.616166402</v>
      </c>
      <c r="F42" s="386">
        <f t="shared" si="9"/>
        <v>54157.41774557696</v>
      </c>
      <c r="G42" s="386">
        <f t="shared" si="9"/>
        <v>0</v>
      </c>
      <c r="H42" s="386">
        <f t="shared" si="9"/>
        <v>0</v>
      </c>
      <c r="I42" s="386">
        <f t="shared" si="9"/>
        <v>831209.19</v>
      </c>
      <c r="J42" s="386">
        <f t="shared" si="9"/>
        <v>0</v>
      </c>
      <c r="K42" s="387">
        <f>SUM(B42:J42)</f>
        <v>34054783.484998859</v>
      </c>
    </row>
  </sheetData>
  <pageMargins left="0.7" right="0.7" top="0.75" bottom="0.75" header="0.3" footer="0.3"/>
  <pageSetup scale="72" orientation="landscape" r:id="rId1"/>
  <headerFooter>
    <oddFooter>&amp;R&amp;P/&amp;N</oddFooter>
  </headerFooter>
  <ignoredErrors>
    <ignoredError sqref="C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O5" sqref="O5"/>
    </sheetView>
  </sheetViews>
  <sheetFormatPr defaultRowHeight="15" x14ac:dyDescent="0.25"/>
  <cols>
    <col min="1" max="11" width="12.7109375" customWidth="1"/>
  </cols>
  <sheetData>
    <row r="1" spans="1:11" ht="18.75" x14ac:dyDescent="0.3">
      <c r="A1" s="172" t="s">
        <v>0</v>
      </c>
    </row>
    <row r="2" spans="1:11" ht="18.75" x14ac:dyDescent="0.3">
      <c r="A2" s="30" t="s">
        <v>413</v>
      </c>
    </row>
    <row r="3" spans="1:11" ht="19.5" thickBot="1" x14ac:dyDescent="0.35">
      <c r="A3" s="173" t="s">
        <v>369</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303</v>
      </c>
      <c r="K5" s="17" t="s">
        <v>18</v>
      </c>
    </row>
    <row r="6" spans="1:11" ht="18.75" x14ac:dyDescent="0.3">
      <c r="A6" s="113" t="s">
        <v>230</v>
      </c>
      <c r="B6" s="114"/>
      <c r="C6" s="114"/>
      <c r="D6" s="114"/>
      <c r="E6" s="114"/>
      <c r="F6" s="114"/>
      <c r="G6" s="114"/>
      <c r="H6" s="114"/>
      <c r="I6" s="114"/>
      <c r="J6" s="114"/>
      <c r="K6" s="115"/>
    </row>
    <row r="7" spans="1:11" x14ac:dyDescent="0.25">
      <c r="A7" s="40">
        <v>2011</v>
      </c>
      <c r="B7" s="5"/>
      <c r="C7" s="5"/>
      <c r="D7" s="5">
        <f>0</f>
        <v>0</v>
      </c>
      <c r="E7" s="5"/>
      <c r="F7" s="5"/>
      <c r="G7" s="5"/>
      <c r="H7" s="5"/>
      <c r="I7" s="5"/>
      <c r="J7" s="5"/>
      <c r="K7" s="18">
        <f>SUM(D7:J7)</f>
        <v>0</v>
      </c>
    </row>
    <row r="8" spans="1:11" x14ac:dyDescent="0.25">
      <c r="A8" s="40">
        <v>2012</v>
      </c>
      <c r="B8" s="5"/>
      <c r="C8" s="5"/>
      <c r="D8" s="5">
        <v>1862328.28</v>
      </c>
      <c r="E8" s="5"/>
      <c r="F8" s="5"/>
      <c r="G8" s="5"/>
      <c r="H8" s="5"/>
      <c r="I8" s="5"/>
      <c r="J8" s="5"/>
      <c r="K8" s="18">
        <f>SUM(D8:J8)</f>
        <v>1862328.28</v>
      </c>
    </row>
    <row r="9" spans="1:11" x14ac:dyDescent="0.25">
      <c r="A9" s="40">
        <v>2013</v>
      </c>
      <c r="B9" s="5"/>
      <c r="C9" s="5"/>
      <c r="D9" s="5">
        <v>4199611</v>
      </c>
      <c r="E9" s="5"/>
      <c r="F9" s="5"/>
      <c r="G9" s="5"/>
      <c r="H9" s="5"/>
      <c r="I9" s="5"/>
      <c r="J9" s="5"/>
      <c r="K9" s="18">
        <f>SUM(D9:J9)</f>
        <v>4199611</v>
      </c>
    </row>
    <row r="10" spans="1:11" x14ac:dyDescent="0.25">
      <c r="A10" s="40">
        <v>2014</v>
      </c>
      <c r="B10" s="5"/>
      <c r="C10" s="5"/>
      <c r="D10" s="36">
        <v>9012649.0099999979</v>
      </c>
      <c r="E10" s="5"/>
      <c r="F10" s="5"/>
      <c r="G10" s="5"/>
      <c r="H10" s="5"/>
      <c r="I10" s="5"/>
      <c r="J10" s="5"/>
      <c r="K10" s="18">
        <f>SUM(D10:J10)</f>
        <v>9012649.0099999979</v>
      </c>
    </row>
    <row r="11" spans="1:11" ht="18.75" x14ac:dyDescent="0.3">
      <c r="A11" s="82" t="s">
        <v>229</v>
      </c>
      <c r="B11" s="74"/>
      <c r="C11" s="74"/>
      <c r="D11" s="74"/>
      <c r="E11" s="74"/>
      <c r="F11" s="74"/>
      <c r="G11" s="74"/>
      <c r="H11" s="74"/>
      <c r="I11" s="74"/>
      <c r="J11" s="74"/>
      <c r="K11" s="112"/>
    </row>
    <row r="12" spans="1:11" x14ac:dyDescent="0.25">
      <c r="A12" s="40"/>
      <c r="B12" s="3"/>
      <c r="C12" s="3"/>
      <c r="D12" s="111">
        <f>'Rate Class Energy Model'!D37</f>
        <v>1.0396761455962829</v>
      </c>
      <c r="E12" s="3"/>
      <c r="F12" s="3"/>
      <c r="G12" s="3"/>
      <c r="H12" s="3"/>
      <c r="I12" s="3"/>
      <c r="J12" s="3"/>
      <c r="K12" s="11"/>
    </row>
    <row r="13" spans="1:11" ht="18.75" x14ac:dyDescent="0.3">
      <c r="A13" s="82" t="s">
        <v>231</v>
      </c>
      <c r="B13" s="74"/>
      <c r="C13" s="74"/>
      <c r="D13" s="74"/>
      <c r="E13" s="74"/>
      <c r="F13" s="74"/>
      <c r="G13" s="74"/>
      <c r="H13" s="74"/>
      <c r="I13" s="74"/>
      <c r="J13" s="74"/>
      <c r="K13" s="112"/>
    </row>
    <row r="14" spans="1:11" x14ac:dyDescent="0.25">
      <c r="A14" s="40">
        <v>2015</v>
      </c>
      <c r="B14" s="5"/>
      <c r="C14" s="5"/>
      <c r="D14" s="5">
        <f>D10*D12</f>
        <v>9370236.1843289528</v>
      </c>
      <c r="E14" s="5"/>
      <c r="F14" s="5"/>
      <c r="G14" s="5"/>
      <c r="H14" s="5"/>
      <c r="I14" s="5"/>
      <c r="J14" s="5"/>
      <c r="K14" s="18">
        <f>SUM(B14:J14)</f>
        <v>9370236.1843289528</v>
      </c>
    </row>
    <row r="15" spans="1:11" x14ac:dyDescent="0.25">
      <c r="A15" s="44">
        <v>2016</v>
      </c>
      <c r="B15" s="19"/>
      <c r="C15" s="19"/>
      <c r="D15" s="19">
        <f>D14*D12</f>
        <v>9742011.039449947</v>
      </c>
      <c r="E15" s="19"/>
      <c r="F15" s="19"/>
      <c r="G15" s="19"/>
      <c r="H15" s="19"/>
      <c r="I15" s="19"/>
      <c r="J15" s="19"/>
      <c r="K15" s="20">
        <f>SUM(B15:J15)</f>
        <v>9742011.039449947</v>
      </c>
    </row>
    <row r="17" spans="1:11" ht="45" x14ac:dyDescent="0.25">
      <c r="A17" s="15" t="s">
        <v>20</v>
      </c>
      <c r="B17" s="16" t="s">
        <v>2</v>
      </c>
      <c r="C17" s="16" t="s">
        <v>3</v>
      </c>
      <c r="D17" s="16" t="s">
        <v>4</v>
      </c>
      <c r="E17" s="16" t="s">
        <v>5</v>
      </c>
      <c r="F17" s="16"/>
      <c r="G17" s="16" t="s">
        <v>6</v>
      </c>
      <c r="H17" s="16" t="s">
        <v>8</v>
      </c>
      <c r="I17" s="16" t="s">
        <v>7</v>
      </c>
      <c r="J17" s="16" t="s">
        <v>9</v>
      </c>
      <c r="K17" s="17" t="s">
        <v>18</v>
      </c>
    </row>
    <row r="18" spans="1:11" ht="18.75" x14ac:dyDescent="0.3">
      <c r="A18" s="113" t="s">
        <v>232</v>
      </c>
      <c r="B18" s="114"/>
      <c r="C18" s="114"/>
      <c r="D18" s="114"/>
      <c r="E18" s="114"/>
      <c r="F18" s="114"/>
      <c r="G18" s="114"/>
      <c r="H18" s="114"/>
      <c r="I18" s="114"/>
      <c r="J18" s="114"/>
      <c r="K18" s="115"/>
    </row>
    <row r="19" spans="1:11" x14ac:dyDescent="0.25">
      <c r="A19" s="40">
        <v>2011</v>
      </c>
      <c r="B19" s="5"/>
      <c r="C19" s="5"/>
      <c r="D19" s="5">
        <v>0</v>
      </c>
      <c r="E19" s="5"/>
      <c r="F19" s="5"/>
      <c r="G19" s="5"/>
      <c r="H19" s="5"/>
      <c r="I19" s="5"/>
      <c r="J19" s="5"/>
      <c r="K19" s="18">
        <f>SUM(B19:J19)</f>
        <v>0</v>
      </c>
    </row>
    <row r="20" spans="1:11" x14ac:dyDescent="0.25">
      <c r="A20" s="40">
        <v>2012</v>
      </c>
      <c r="B20" s="5"/>
      <c r="C20" s="5"/>
      <c r="D20" s="5">
        <v>4197.63</v>
      </c>
      <c r="E20" s="5"/>
      <c r="F20" s="5"/>
      <c r="G20" s="5"/>
      <c r="H20" s="5"/>
      <c r="I20" s="5"/>
      <c r="J20" s="5"/>
      <c r="K20" s="18">
        <f>SUM(B20:J20)</f>
        <v>4197.63</v>
      </c>
    </row>
    <row r="21" spans="1:11" x14ac:dyDescent="0.25">
      <c r="A21" s="40">
        <v>2013</v>
      </c>
      <c r="B21" s="5"/>
      <c r="C21" s="5"/>
      <c r="D21" s="5">
        <v>9630</v>
      </c>
      <c r="E21" s="5"/>
      <c r="F21" s="5"/>
      <c r="G21" s="5"/>
      <c r="H21" s="5"/>
      <c r="I21" s="5"/>
      <c r="J21" s="5"/>
      <c r="K21" s="18">
        <f>SUM(B21:J21)</f>
        <v>9630</v>
      </c>
    </row>
    <row r="22" spans="1:11" x14ac:dyDescent="0.25">
      <c r="A22" s="40">
        <v>2014</v>
      </c>
      <c r="B22" s="5"/>
      <c r="C22" s="5"/>
      <c r="D22" s="36">
        <v>32359.85</v>
      </c>
      <c r="E22" s="5"/>
      <c r="F22" s="5"/>
      <c r="G22" s="5"/>
      <c r="H22" s="5"/>
      <c r="I22" s="5"/>
      <c r="J22" s="5"/>
      <c r="K22" s="18">
        <f>SUM(B22:J22)</f>
        <v>32359.85</v>
      </c>
    </row>
    <row r="23" spans="1:11" ht="18.75" x14ac:dyDescent="0.3">
      <c r="A23" s="82" t="s">
        <v>233</v>
      </c>
      <c r="B23" s="74"/>
      <c r="C23" s="74"/>
      <c r="D23" s="74"/>
      <c r="E23" s="74"/>
      <c r="F23" s="74"/>
      <c r="G23" s="74"/>
      <c r="H23" s="74"/>
      <c r="I23" s="74"/>
      <c r="J23" s="74"/>
      <c r="K23" s="112"/>
    </row>
    <row r="24" spans="1:11" x14ac:dyDescent="0.25">
      <c r="A24" s="40">
        <v>2011</v>
      </c>
      <c r="B24" s="3"/>
      <c r="C24" s="3"/>
      <c r="D24" s="111"/>
      <c r="E24" s="3"/>
      <c r="F24" s="3"/>
      <c r="G24" s="3"/>
      <c r="H24" s="3"/>
      <c r="I24" s="3"/>
      <c r="J24" s="3"/>
      <c r="K24" s="11"/>
    </row>
    <row r="25" spans="1:11" x14ac:dyDescent="0.25">
      <c r="A25" s="40">
        <v>2012</v>
      </c>
      <c r="B25" s="3"/>
      <c r="C25" s="3"/>
      <c r="D25" s="111">
        <f>D20/D8</f>
        <v>2.2539688867313982E-3</v>
      </c>
      <c r="E25" s="3"/>
      <c r="F25" s="3"/>
      <c r="G25" s="3"/>
      <c r="H25" s="3"/>
      <c r="I25" s="3"/>
      <c r="J25" s="3"/>
      <c r="K25" s="11"/>
    </row>
    <row r="26" spans="1:11" x14ac:dyDescent="0.25">
      <c r="A26" s="40">
        <v>2013</v>
      </c>
      <c r="B26" s="3"/>
      <c r="C26" s="3"/>
      <c r="D26" s="111">
        <f>D21/D9</f>
        <v>2.2930695247726516E-3</v>
      </c>
      <c r="E26" s="3"/>
      <c r="F26" s="3"/>
      <c r="G26" s="3"/>
      <c r="H26" s="3"/>
      <c r="I26" s="3"/>
      <c r="J26" s="3"/>
      <c r="K26" s="11"/>
    </row>
    <row r="27" spans="1:11" x14ac:dyDescent="0.25">
      <c r="A27" s="40">
        <v>2014</v>
      </c>
      <c r="B27" s="3"/>
      <c r="C27" s="3"/>
      <c r="D27" s="111">
        <f>D22/D10</f>
        <v>3.5904926469559704E-3</v>
      </c>
      <c r="E27" s="3"/>
      <c r="F27" s="3"/>
      <c r="G27" s="3"/>
      <c r="H27" s="3"/>
      <c r="I27" s="3"/>
      <c r="J27" s="3"/>
      <c r="K27" s="11"/>
    </row>
    <row r="28" spans="1:11" x14ac:dyDescent="0.25">
      <c r="A28" s="40" t="s">
        <v>19</v>
      </c>
      <c r="B28" s="3"/>
      <c r="C28" s="3"/>
      <c r="D28" s="111">
        <f>AVERAGE(D25:D27)</f>
        <v>2.7125103528200067E-3</v>
      </c>
      <c r="E28" s="3"/>
      <c r="F28" s="3"/>
      <c r="G28" s="3"/>
      <c r="H28" s="3"/>
      <c r="I28" s="3"/>
      <c r="J28" s="3"/>
      <c r="K28" s="11"/>
    </row>
    <row r="29" spans="1:11" ht="18.75" x14ac:dyDescent="0.3">
      <c r="A29" s="82" t="s">
        <v>234</v>
      </c>
      <c r="B29" s="74"/>
      <c r="C29" s="74"/>
      <c r="D29" s="74"/>
      <c r="E29" s="74"/>
      <c r="F29" s="74"/>
      <c r="G29" s="74"/>
      <c r="H29" s="74"/>
      <c r="I29" s="74"/>
      <c r="J29" s="74"/>
      <c r="K29" s="112"/>
    </row>
    <row r="30" spans="1:11" x14ac:dyDescent="0.25">
      <c r="A30" s="40">
        <v>2015</v>
      </c>
      <c r="B30" s="5"/>
      <c r="C30" s="5"/>
      <c r="D30" s="5">
        <f>D14*D28</f>
        <v>25416.862658360922</v>
      </c>
      <c r="E30" s="5"/>
      <c r="F30" s="5"/>
      <c r="G30" s="5"/>
      <c r="H30" s="5"/>
      <c r="I30" s="5"/>
      <c r="J30" s="5"/>
      <c r="K30" s="18">
        <f>SUM(B30:J30)</f>
        <v>25416.862658360922</v>
      </c>
    </row>
    <row r="31" spans="1:11" x14ac:dyDescent="0.25">
      <c r="A31" s="44">
        <v>2016</v>
      </c>
      <c r="B31" s="19"/>
      <c r="C31" s="19"/>
      <c r="D31" s="19">
        <f>D15*D28</f>
        <v>26425.305801794777</v>
      </c>
      <c r="E31" s="19"/>
      <c r="F31" s="19"/>
      <c r="G31" s="19"/>
      <c r="H31" s="19"/>
      <c r="I31" s="19"/>
      <c r="J31" s="19"/>
      <c r="K31" s="20">
        <f>SUM(B31:J31)</f>
        <v>26425.305801794777</v>
      </c>
    </row>
  </sheetData>
  <pageMargins left="0.7" right="0.7" top="0.75" bottom="0.75" header="0.3" footer="0.3"/>
  <pageSetup scale="87" fitToHeight="2" orientation="landscape" r:id="rId1"/>
  <headerFooter>
    <oddFooter>&amp;R&amp;P/&amp;N</oddFooter>
  </headerFooter>
  <ignoredErrors>
    <ignoredError sqref="K1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58"/>
  <sheetViews>
    <sheetView zoomScaleNormal="100" workbookViewId="0">
      <pane xSplit="1" ySplit="5" topLeftCell="B6" activePane="bottomRight" state="frozen"/>
      <selection activeCell="O5" sqref="O5"/>
      <selection pane="topRight" activeCell="O5" sqref="O5"/>
      <selection pane="bottomLeft" activeCell="O5" sqref="O5"/>
      <selection pane="bottomRight" activeCell="O5" sqref="O5"/>
    </sheetView>
  </sheetViews>
  <sheetFormatPr defaultRowHeight="15" x14ac:dyDescent="0.25"/>
  <cols>
    <col min="1" max="1" width="26.7109375" customWidth="1"/>
    <col min="2" max="3" width="14.7109375" customWidth="1"/>
    <col min="4" max="4" width="14.28515625" customWidth="1"/>
    <col min="5" max="12" width="13.7109375" customWidth="1"/>
  </cols>
  <sheetData>
    <row r="1" spans="1:12" ht="18.75" x14ac:dyDescent="0.3">
      <c r="A1" s="30" t="s">
        <v>34</v>
      </c>
      <c r="B1" s="31"/>
      <c r="C1" s="31"/>
      <c r="D1" s="31"/>
      <c r="E1" s="31"/>
      <c r="F1" s="31"/>
      <c r="G1" s="31"/>
      <c r="H1" s="31"/>
      <c r="I1" s="31"/>
      <c r="J1" s="31"/>
      <c r="K1" s="31"/>
      <c r="L1" s="31"/>
    </row>
    <row r="2" spans="1:12" ht="18.75" x14ac:dyDescent="0.3">
      <c r="A2" s="30" t="s">
        <v>413</v>
      </c>
      <c r="B2" s="31"/>
      <c r="C2" s="31"/>
      <c r="D2" s="31"/>
      <c r="E2" s="31"/>
      <c r="F2" s="31"/>
      <c r="G2" s="31"/>
      <c r="H2" s="31"/>
      <c r="I2" s="31"/>
      <c r="J2" s="31"/>
      <c r="K2" s="31"/>
      <c r="L2" s="31"/>
    </row>
    <row r="3" spans="1:12" ht="19.5" thickBot="1" x14ac:dyDescent="0.35">
      <c r="A3" s="32" t="s">
        <v>295</v>
      </c>
      <c r="B3" s="33"/>
      <c r="C3" s="33"/>
      <c r="D3" s="33"/>
      <c r="E3" s="33"/>
      <c r="F3" s="33"/>
      <c r="G3" s="33"/>
      <c r="H3" s="33"/>
      <c r="I3" s="33"/>
      <c r="J3" s="33"/>
      <c r="K3" s="33"/>
      <c r="L3" s="33"/>
    </row>
    <row r="5" spans="1:12" ht="30" x14ac:dyDescent="0.25">
      <c r="A5" s="15" t="s">
        <v>35</v>
      </c>
      <c r="B5" s="16" t="s">
        <v>41</v>
      </c>
      <c r="C5" s="16" t="s">
        <v>42</v>
      </c>
      <c r="D5" s="16" t="s">
        <v>43</v>
      </c>
      <c r="E5" s="16" t="s">
        <v>44</v>
      </c>
      <c r="F5" s="16" t="s">
        <v>45</v>
      </c>
      <c r="G5" s="16" t="s">
        <v>46</v>
      </c>
      <c r="H5" s="16" t="s">
        <v>47</v>
      </c>
      <c r="I5" s="16" t="s">
        <v>48</v>
      </c>
      <c r="J5" s="49" t="s">
        <v>49</v>
      </c>
      <c r="K5" s="58" t="s">
        <v>50</v>
      </c>
      <c r="L5" s="17" t="s">
        <v>51</v>
      </c>
    </row>
    <row r="6" spans="1:12" x14ac:dyDescent="0.25">
      <c r="A6" s="8" t="s">
        <v>58</v>
      </c>
      <c r="B6" s="4"/>
      <c r="C6" s="4"/>
      <c r="D6" s="4"/>
      <c r="E6" s="4"/>
      <c r="F6" s="4"/>
      <c r="G6" s="4"/>
      <c r="H6" s="4"/>
      <c r="I6" s="4"/>
      <c r="J6" s="55"/>
      <c r="K6" s="8"/>
      <c r="L6" s="41"/>
    </row>
    <row r="7" spans="1:12" x14ac:dyDescent="0.25">
      <c r="A7" s="12" t="s">
        <v>36</v>
      </c>
      <c r="B7" s="47">
        <f>'Forecast Accuracy'!$B$7</f>
        <v>1092468790.7847662</v>
      </c>
      <c r="C7" s="47">
        <f>'Forecast Accuracy'!$B$8</f>
        <v>1098835320.2985673</v>
      </c>
      <c r="D7" s="47">
        <f>'Forecast Accuracy'!$B$9</f>
        <v>1062086297.7809954</v>
      </c>
      <c r="E7" s="47">
        <f>'Forecast Accuracy'!$B$10</f>
        <v>920970717.80950236</v>
      </c>
      <c r="F7" s="47">
        <f>'Forecast Accuracy'!$B$11</f>
        <v>966278124.23280561</v>
      </c>
      <c r="G7" s="47">
        <f>'Forecast Accuracy'!$B$12</f>
        <v>963861237.81140268</v>
      </c>
      <c r="H7" s="47">
        <f>'Forecast Accuracy'!$B$13</f>
        <v>971543930.64981091</v>
      </c>
      <c r="I7" s="47">
        <f>'Forecast Accuracy'!$B$14</f>
        <v>970760691.54651523</v>
      </c>
      <c r="J7" s="50">
        <f>'Forecast Accuracy'!$B$15</f>
        <v>971112987.38102555</v>
      </c>
      <c r="K7" s="59"/>
      <c r="L7" s="48"/>
    </row>
    <row r="8" spans="1:12" x14ac:dyDescent="0.25">
      <c r="A8" s="40" t="s">
        <v>37</v>
      </c>
      <c r="B8" s="5">
        <f>'Forecast Accuracy'!$C$7</f>
        <v>1044985104.4084556</v>
      </c>
      <c r="C8" s="5">
        <f>'Forecast Accuracy'!$C$8</f>
        <v>1039260962.5446651</v>
      </c>
      <c r="D8" s="5">
        <f>'Forecast Accuracy'!$C$9</f>
        <v>1000580753.3289104</v>
      </c>
      <c r="E8" s="5">
        <f>'Forecast Accuracy'!$C$10</f>
        <v>908802076.42678356</v>
      </c>
      <c r="F8" s="5">
        <f>'Forecast Accuracy'!$C$11</f>
        <v>957922825.63062561</v>
      </c>
      <c r="G8" s="5">
        <f>'Forecast Accuracy'!$C$12</f>
        <v>969568453.44481635</v>
      </c>
      <c r="H8" s="5">
        <f>'Forecast Accuracy'!$C$13</f>
        <v>961057252.88540554</v>
      </c>
      <c r="I8" s="5">
        <f>'Forecast Accuracy'!$C$14</f>
        <v>972311035.0515238</v>
      </c>
      <c r="J8" s="51">
        <f>'Forecast Accuracy'!$C$15</f>
        <v>973074731.57334685</v>
      </c>
      <c r="K8" s="60">
        <f>'Forecast Accuracy'!C16</f>
        <v>972475366.73981357</v>
      </c>
      <c r="L8" s="18">
        <f>'Forecast Accuracy'!C17</f>
        <v>975626812.28500581</v>
      </c>
    </row>
    <row r="9" spans="1:12" x14ac:dyDescent="0.25">
      <c r="A9" s="64" t="s">
        <v>60</v>
      </c>
      <c r="B9" s="65"/>
      <c r="C9" s="65"/>
      <c r="D9" s="65"/>
      <c r="E9" s="65"/>
      <c r="F9" s="65"/>
      <c r="G9" s="65"/>
      <c r="H9" s="65"/>
      <c r="I9" s="65"/>
      <c r="J9" s="66"/>
      <c r="K9" s="67">
        <f>'Rate Class Energy Model'!K57</f>
        <v>-18341040.259309068</v>
      </c>
      <c r="L9" s="68">
        <f>'Rate Class Energy Model'!K58</f>
        <v>-34054783.484998859</v>
      </c>
    </row>
    <row r="10" spans="1:12" x14ac:dyDescent="0.25">
      <c r="A10" s="69" t="s">
        <v>38</v>
      </c>
      <c r="B10" s="70">
        <f>SUM(B8:B9)</f>
        <v>1044985104.4084556</v>
      </c>
      <c r="C10" s="70">
        <f t="shared" ref="C10:L10" si="0">SUM(C8:C9)</f>
        <v>1039260962.5446651</v>
      </c>
      <c r="D10" s="70">
        <f t="shared" si="0"/>
        <v>1000580753.3289104</v>
      </c>
      <c r="E10" s="70">
        <f t="shared" si="0"/>
        <v>908802076.42678356</v>
      </c>
      <c r="F10" s="70">
        <f t="shared" si="0"/>
        <v>957922825.63062561</v>
      </c>
      <c r="G10" s="70">
        <f t="shared" si="0"/>
        <v>969568453.44481635</v>
      </c>
      <c r="H10" s="70">
        <f t="shared" si="0"/>
        <v>961057252.88540554</v>
      </c>
      <c r="I10" s="70">
        <f t="shared" si="0"/>
        <v>972311035.0515238</v>
      </c>
      <c r="J10" s="71">
        <f t="shared" si="0"/>
        <v>973074731.57334685</v>
      </c>
      <c r="K10" s="72">
        <f>SUM(K8:K9)</f>
        <v>954134326.48050451</v>
      </c>
      <c r="L10" s="73">
        <f t="shared" si="0"/>
        <v>941572028.80000699</v>
      </c>
    </row>
    <row r="11" spans="1:12" x14ac:dyDescent="0.25">
      <c r="A11" s="40" t="s">
        <v>39</v>
      </c>
      <c r="B11" s="37">
        <f>(B7-B10)/B7</f>
        <v>4.3464570134036561E-2</v>
      </c>
      <c r="C11" s="37">
        <f t="shared" ref="C11:J11" si="1">(C7-C10)/C7</f>
        <v>5.421591084068457E-2</v>
      </c>
      <c r="D11" s="37">
        <f t="shared" si="1"/>
        <v>5.7910119526622124E-2</v>
      </c>
      <c r="E11" s="37">
        <f t="shared" si="1"/>
        <v>1.3212842870467699E-2</v>
      </c>
      <c r="F11" s="37">
        <f t="shared" si="1"/>
        <v>8.6468878810785944E-3</v>
      </c>
      <c r="G11" s="37">
        <f t="shared" si="1"/>
        <v>-5.9212004897850196E-3</v>
      </c>
      <c r="H11" s="37">
        <f t="shared" si="1"/>
        <v>1.0793827673228758E-2</v>
      </c>
      <c r="I11" s="37">
        <f t="shared" si="1"/>
        <v>-1.5970398456685879E-3</v>
      </c>
      <c r="J11" s="54">
        <f t="shared" si="1"/>
        <v>-2.0200988122009238E-3</v>
      </c>
      <c r="K11" s="40"/>
      <c r="L11" s="11"/>
    </row>
    <row r="12" spans="1:12" x14ac:dyDescent="0.25">
      <c r="A12" s="40"/>
      <c r="B12" s="3"/>
      <c r="C12" s="3"/>
      <c r="D12" s="3"/>
      <c r="E12" s="3"/>
      <c r="F12" s="3"/>
      <c r="G12" s="3"/>
      <c r="H12" s="3"/>
      <c r="I12" s="3"/>
      <c r="J12" s="52"/>
      <c r="K12" s="40"/>
      <c r="L12" s="11"/>
    </row>
    <row r="13" spans="1:12" x14ac:dyDescent="0.25">
      <c r="A13" s="40" t="s">
        <v>40</v>
      </c>
      <c r="B13" s="5">
        <f>'Forecast Accuracy'!$I$7</f>
        <v>1075120002</v>
      </c>
      <c r="C13" s="5">
        <f>'Forecast Accuracy'!$I$8</f>
        <v>1050835892</v>
      </c>
      <c r="D13" s="5">
        <f>'Forecast Accuracy'!$I$9</f>
        <v>1018040403</v>
      </c>
      <c r="E13" s="5">
        <f>'Forecast Accuracy'!$I$10</f>
        <v>881699187</v>
      </c>
      <c r="F13" s="5">
        <f>'Forecast Accuracy'!$I$11</f>
        <v>927220462</v>
      </c>
      <c r="G13" s="5">
        <f>'Forecast Accuracy'!$I$12</f>
        <v>933159150</v>
      </c>
      <c r="H13" s="5">
        <f>'Forecast Accuracy'!$I$13</f>
        <v>933898584</v>
      </c>
      <c r="I13" s="5">
        <f>'Forecast Accuracy'!$I$14</f>
        <v>928696615</v>
      </c>
      <c r="J13" s="51">
        <f>'Forecast Accuracy'!$I$15</f>
        <v>933911819</v>
      </c>
      <c r="K13" s="60">
        <f>'Rate Class Energy Model'!K63</f>
        <v>926050487.50088036</v>
      </c>
      <c r="L13" s="18">
        <f>'Rate Class Energy Model'!K64</f>
        <v>913738589.38687253</v>
      </c>
    </row>
    <row r="14" spans="1:12" x14ac:dyDescent="0.25">
      <c r="A14" s="40"/>
      <c r="B14" s="37"/>
      <c r="C14" s="3"/>
      <c r="D14" s="3"/>
      <c r="E14" s="3"/>
      <c r="F14" s="3"/>
      <c r="G14" s="3"/>
      <c r="H14" s="3"/>
      <c r="I14" s="3"/>
      <c r="J14" s="52"/>
      <c r="K14" s="61"/>
      <c r="L14" s="10"/>
    </row>
    <row r="15" spans="1:12" x14ac:dyDescent="0.25">
      <c r="A15" s="8" t="s">
        <v>52</v>
      </c>
      <c r="B15" s="4"/>
      <c r="C15" s="4"/>
      <c r="D15" s="4"/>
      <c r="E15" s="4"/>
      <c r="F15" s="4"/>
      <c r="G15" s="4"/>
      <c r="H15" s="4"/>
      <c r="I15" s="4"/>
      <c r="J15" s="55"/>
      <c r="K15" s="8"/>
      <c r="L15" s="41"/>
    </row>
    <row r="16" spans="1:12" x14ac:dyDescent="0.25">
      <c r="A16" s="42" t="s">
        <v>2</v>
      </c>
      <c r="B16" s="38"/>
      <c r="C16" s="39"/>
      <c r="D16" s="39"/>
      <c r="E16" s="39"/>
      <c r="F16" s="39"/>
      <c r="G16" s="39"/>
      <c r="H16" s="39"/>
      <c r="I16" s="39"/>
      <c r="J16" s="56"/>
      <c r="K16" s="62"/>
      <c r="L16" s="43"/>
    </row>
    <row r="17" spans="1:12" x14ac:dyDescent="0.25">
      <c r="A17" s="40" t="s">
        <v>53</v>
      </c>
      <c r="B17" s="5">
        <f>'Rate Class Customer Model'!$B$8</f>
        <v>35142</v>
      </c>
      <c r="C17" s="5">
        <f>'Rate Class Customer Model'!$B$9</f>
        <v>35190</v>
      </c>
      <c r="D17" s="5">
        <f>'Rate Class Customer Model'!$B$10</f>
        <v>35334</v>
      </c>
      <c r="E17" s="5">
        <f>'Rate Class Customer Model'!$B$11</f>
        <v>35438</v>
      </c>
      <c r="F17" s="5">
        <f>'Rate Class Customer Model'!$B$12</f>
        <v>35472</v>
      </c>
      <c r="G17" s="5">
        <f>'Rate Class Customer Model'!$B$13</f>
        <v>35628</v>
      </c>
      <c r="H17" s="5">
        <f>'Rate Class Customer Model'!$B$14</f>
        <v>35816</v>
      </c>
      <c r="I17" s="5">
        <f>'Rate Class Customer Model'!$B$15</f>
        <v>35944</v>
      </c>
      <c r="J17" s="51">
        <f>'Rate Class Customer Model'!$B$16</f>
        <v>36074</v>
      </c>
      <c r="K17" s="60">
        <f>'Rate Class Customer Model'!$B$36</f>
        <v>36203</v>
      </c>
      <c r="L17" s="18">
        <f>'Rate Class Customer Model'!$B$37</f>
        <v>36333</v>
      </c>
    </row>
    <row r="18" spans="1:12" x14ac:dyDescent="0.25">
      <c r="A18" s="40" t="s">
        <v>24</v>
      </c>
      <c r="B18" s="5">
        <f>'Rate Class Energy Model'!$B$8</f>
        <v>302355083</v>
      </c>
      <c r="C18" s="5">
        <f>'Rate Class Energy Model'!$B$9</f>
        <v>299638406</v>
      </c>
      <c r="D18" s="5">
        <f>'Rate Class Energy Model'!$B$10</f>
        <v>296054771</v>
      </c>
      <c r="E18" s="5">
        <f>'Rate Class Energy Model'!$B$11</f>
        <v>291091689</v>
      </c>
      <c r="F18" s="5">
        <f>'Rate Class Energy Model'!$B$12</f>
        <v>301267823</v>
      </c>
      <c r="G18" s="5">
        <f>'Rate Class Energy Model'!$B$13</f>
        <v>299495986</v>
      </c>
      <c r="H18" s="5">
        <f>'Rate Class Energy Model'!$B$14</f>
        <v>296656279</v>
      </c>
      <c r="I18" s="5">
        <f>'Rate Class Energy Model'!$B$15</f>
        <v>281071800</v>
      </c>
      <c r="J18" s="51">
        <f>'Rate Class Energy Model'!$B$16</f>
        <v>289455443</v>
      </c>
      <c r="K18" s="60">
        <f>'Rate Class Energy Model'!$B$63</f>
        <v>282657108.65256178</v>
      </c>
      <c r="L18" s="18">
        <f>'Rate Class Energy Model'!$B$64</f>
        <v>277042719.94251806</v>
      </c>
    </row>
    <row r="19" spans="1:12" x14ac:dyDescent="0.25">
      <c r="A19" s="40" t="s">
        <v>54</v>
      </c>
      <c r="B19" s="5">
        <f>'Rate Class Demand Model'!$B$8</f>
        <v>0</v>
      </c>
      <c r="C19" s="5">
        <f>'Rate Class Demand Model'!$B$9</f>
        <v>0</v>
      </c>
      <c r="D19" s="5">
        <f>'Rate Class Demand Model'!$B$10</f>
        <v>0</v>
      </c>
      <c r="E19" s="5">
        <f>'Rate Class Demand Model'!$B$11</f>
        <v>0</v>
      </c>
      <c r="F19" s="5">
        <f>'Rate Class Demand Model'!$B$12</f>
        <v>0</v>
      </c>
      <c r="G19" s="5">
        <f>'Rate Class Demand Model'!$B$13</f>
        <v>0</v>
      </c>
      <c r="H19" s="5">
        <f>'Rate Class Demand Model'!$B$14</f>
        <v>0</v>
      </c>
      <c r="I19" s="5">
        <f>'Rate Class Demand Model'!$B$15</f>
        <v>0</v>
      </c>
      <c r="J19" s="51">
        <f>'Rate Class Demand Model'!$B$16</f>
        <v>0</v>
      </c>
      <c r="K19" s="60">
        <f>'Rate Class Demand Model'!$B$36</f>
        <v>0</v>
      </c>
      <c r="L19" s="18">
        <f>'Rate Class Demand Model'!$B$37</f>
        <v>0</v>
      </c>
    </row>
    <row r="20" spans="1:12" x14ac:dyDescent="0.25">
      <c r="A20" s="42" t="s">
        <v>3</v>
      </c>
      <c r="B20" s="38"/>
      <c r="C20" s="39"/>
      <c r="D20" s="39"/>
      <c r="E20" s="39"/>
      <c r="F20" s="39"/>
      <c r="G20" s="39"/>
      <c r="H20" s="39"/>
      <c r="I20" s="39"/>
      <c r="J20" s="56"/>
      <c r="K20" s="62"/>
      <c r="L20" s="43"/>
    </row>
    <row r="21" spans="1:12" x14ac:dyDescent="0.25">
      <c r="A21" s="40" t="s">
        <v>53</v>
      </c>
      <c r="B21" s="5">
        <f>'Rate Class Customer Model'!$C$8</f>
        <v>4009</v>
      </c>
      <c r="C21" s="5">
        <f>'Rate Class Customer Model'!$C$9</f>
        <v>4001</v>
      </c>
      <c r="D21" s="5">
        <f>'Rate Class Customer Model'!$C$10</f>
        <v>3976</v>
      </c>
      <c r="E21" s="5">
        <f>'Rate Class Customer Model'!$C$11</f>
        <v>3919</v>
      </c>
      <c r="F21" s="5">
        <f>'Rate Class Customer Model'!$C$12</f>
        <v>3916</v>
      </c>
      <c r="G21" s="5">
        <f>'Rate Class Customer Model'!$C$13</f>
        <v>3907</v>
      </c>
      <c r="H21" s="5">
        <f>'Rate Class Customer Model'!$C$14</f>
        <v>3859</v>
      </c>
      <c r="I21" s="5">
        <f>'Rate Class Customer Model'!$C$15</f>
        <v>3862</v>
      </c>
      <c r="J21" s="51">
        <f>'Rate Class Customer Model'!$C$16</f>
        <v>3870</v>
      </c>
      <c r="K21" s="60">
        <f>'Rate Class Customer Model'!$C$36</f>
        <v>3860</v>
      </c>
      <c r="L21" s="18">
        <f>'Rate Class Customer Model'!$C$37</f>
        <v>3850</v>
      </c>
    </row>
    <row r="22" spans="1:12" x14ac:dyDescent="0.25">
      <c r="A22" s="40" t="s">
        <v>24</v>
      </c>
      <c r="B22" s="5">
        <f>'Rate Class Energy Model'!$C$8</f>
        <v>129600878</v>
      </c>
      <c r="C22" s="5">
        <f>'Rate Class Energy Model'!$C$9</f>
        <v>126763870</v>
      </c>
      <c r="D22" s="5">
        <f>'Rate Class Energy Model'!$C$10</f>
        <v>125816796</v>
      </c>
      <c r="E22" s="5">
        <f>'Rate Class Energy Model'!$C$11</f>
        <v>114518667</v>
      </c>
      <c r="F22" s="5">
        <f>'Rate Class Energy Model'!$C$12</f>
        <v>116294933</v>
      </c>
      <c r="G22" s="5">
        <f>'Rate Class Energy Model'!$C$13</f>
        <v>116705566</v>
      </c>
      <c r="H22" s="5">
        <f>'Rate Class Energy Model'!$C$14</f>
        <v>109007040</v>
      </c>
      <c r="I22" s="5">
        <f>'Rate Class Energy Model'!$C$15</f>
        <v>105791729</v>
      </c>
      <c r="J22" s="51">
        <f>'Rate Class Energy Model'!$C$16</f>
        <v>108543510</v>
      </c>
      <c r="K22" s="60">
        <f>'Rate Class Energy Model'!$C$63</f>
        <v>104393456.82244611</v>
      </c>
      <c r="L22" s="18">
        <f>'Rate Class Energy Model'!$C$64</f>
        <v>99899667.416754559</v>
      </c>
    </row>
    <row r="23" spans="1:12" x14ac:dyDescent="0.25">
      <c r="A23" s="40" t="s">
        <v>54</v>
      </c>
      <c r="B23" s="5">
        <f>'Rate Class Demand Model'!$C$8</f>
        <v>0</v>
      </c>
      <c r="C23" s="5">
        <f>'Rate Class Demand Model'!$C$9</f>
        <v>0</v>
      </c>
      <c r="D23" s="5">
        <f>'Rate Class Demand Model'!$C$10</f>
        <v>0</v>
      </c>
      <c r="E23" s="5">
        <f>'Rate Class Demand Model'!$C$11</f>
        <v>0</v>
      </c>
      <c r="F23" s="5">
        <f>'Rate Class Demand Model'!$C$12</f>
        <v>0</v>
      </c>
      <c r="G23" s="5">
        <f>'Rate Class Demand Model'!$C$13</f>
        <v>0</v>
      </c>
      <c r="H23" s="5">
        <f>'Rate Class Demand Model'!$C$14</f>
        <v>0</v>
      </c>
      <c r="I23" s="5">
        <f>'Rate Class Demand Model'!$C$15</f>
        <v>0</v>
      </c>
      <c r="J23" s="51">
        <f>'Rate Class Demand Model'!$C$16</f>
        <v>0</v>
      </c>
      <c r="K23" s="60">
        <f>'Rate Class Demand Model'!$C$36</f>
        <v>0</v>
      </c>
      <c r="L23" s="18">
        <f>'Rate Class Demand Model'!$C$37</f>
        <v>0</v>
      </c>
    </row>
    <row r="24" spans="1:12" x14ac:dyDescent="0.25">
      <c r="A24" s="42" t="s">
        <v>4</v>
      </c>
      <c r="B24" s="38"/>
      <c r="C24" s="39"/>
      <c r="D24" s="39"/>
      <c r="E24" s="39"/>
      <c r="F24" s="39"/>
      <c r="G24" s="39"/>
      <c r="H24" s="39"/>
      <c r="I24" s="39"/>
      <c r="J24" s="56"/>
      <c r="K24" s="62"/>
      <c r="L24" s="43"/>
    </row>
    <row r="25" spans="1:12" x14ac:dyDescent="0.25">
      <c r="A25" s="40" t="s">
        <v>53</v>
      </c>
      <c r="B25" s="5">
        <f>'Rate Class Customer Model'!$D$8</f>
        <v>507</v>
      </c>
      <c r="C25" s="5">
        <f>'Rate Class Customer Model'!$D$9</f>
        <v>512</v>
      </c>
      <c r="D25" s="5">
        <f>'Rate Class Customer Model'!$D$10</f>
        <v>522</v>
      </c>
      <c r="E25" s="5">
        <f>'Rate Class Customer Model'!$D$11</f>
        <v>516</v>
      </c>
      <c r="F25" s="5">
        <f>'Rate Class Customer Model'!$D$12</f>
        <v>495</v>
      </c>
      <c r="G25" s="5">
        <f>'Rate Class Customer Model'!$D$13</f>
        <v>489</v>
      </c>
      <c r="H25" s="5">
        <f>'Rate Class Customer Model'!$D$14</f>
        <v>498</v>
      </c>
      <c r="I25" s="5">
        <f>'Rate Class Customer Model'!$D$15</f>
        <v>499</v>
      </c>
      <c r="J25" s="51">
        <f>'Rate Class Customer Model'!$D$16</f>
        <v>497</v>
      </c>
      <c r="K25" s="60">
        <f>'Rate Class Customer Model'!$D$36</f>
        <v>495</v>
      </c>
      <c r="L25" s="18">
        <f>'Rate Class Customer Model'!$D$37</f>
        <v>491</v>
      </c>
    </row>
    <row r="26" spans="1:12" x14ac:dyDescent="0.25">
      <c r="A26" s="40" t="s">
        <v>24</v>
      </c>
      <c r="B26" s="5">
        <f>'Rate Class Energy Model'!$D$8</f>
        <v>504845308</v>
      </c>
      <c r="C26" s="5">
        <f>'Rate Class Energy Model'!$D$9</f>
        <v>493605092</v>
      </c>
      <c r="D26" s="5">
        <f>'Rate Class Energy Model'!$D$10</f>
        <v>460933142</v>
      </c>
      <c r="E26" s="5">
        <f>'Rate Class Energy Model'!$D$11</f>
        <v>390850430</v>
      </c>
      <c r="F26" s="5">
        <f>'Rate Class Energy Model'!$D$12</f>
        <v>430893980</v>
      </c>
      <c r="G26" s="5">
        <f>'Rate Class Energy Model'!$D$13</f>
        <v>439685447</v>
      </c>
      <c r="H26" s="5">
        <f>'Rate Class Energy Model'!$D$14</f>
        <v>451375918</v>
      </c>
      <c r="I26" s="5">
        <f>'Rate Class Energy Model'!$D$15</f>
        <v>456115509</v>
      </c>
      <c r="J26" s="51">
        <f>'Rate Class Energy Model'!$D$16</f>
        <v>457346103</v>
      </c>
      <c r="K26" s="60">
        <f>'Rate Class Energy Model'!$D$63</f>
        <v>474147267.84978443</v>
      </c>
      <c r="L26" s="18">
        <f>'Rate Class Energy Model'!$D$64</f>
        <v>483686334.25151187</v>
      </c>
    </row>
    <row r="27" spans="1:12" x14ac:dyDescent="0.25">
      <c r="A27" s="40" t="s">
        <v>54</v>
      </c>
      <c r="B27" s="5">
        <f>'Rate Class Demand Model'!$D$8</f>
        <v>1520919</v>
      </c>
      <c r="C27" s="5">
        <f>'Rate Class Demand Model'!$D$9</f>
        <v>1310335</v>
      </c>
      <c r="D27" s="5">
        <f>'Rate Class Demand Model'!$D$10</f>
        <v>1270952</v>
      </c>
      <c r="E27" s="5">
        <f>'Rate Class Demand Model'!$D$11</f>
        <v>1123331</v>
      </c>
      <c r="F27" s="5">
        <f>'Rate Class Demand Model'!$D$12</f>
        <v>1174448</v>
      </c>
      <c r="G27" s="5">
        <f>'Rate Class Demand Model'!$D$13</f>
        <v>1180395</v>
      </c>
      <c r="H27" s="5">
        <f>'Rate Class Demand Model'!$D$14</f>
        <v>1184290</v>
      </c>
      <c r="I27" s="5">
        <f>'Rate Class Demand Model'!$D$15</f>
        <v>1223255</v>
      </c>
      <c r="J27" s="51">
        <f>'Rate Class Demand Model'!$D$16</f>
        <v>1181005</v>
      </c>
      <c r="K27" s="60">
        <f>'Rate Class Demand Model'!$D$36</f>
        <v>1261723.862658361</v>
      </c>
      <c r="L27" s="18">
        <f>'Rate Class Demand Model'!$D$37</f>
        <v>1287117.3058017949</v>
      </c>
    </row>
    <row r="28" spans="1:12" x14ac:dyDescent="0.25">
      <c r="A28" s="42" t="s">
        <v>5</v>
      </c>
      <c r="B28" s="38"/>
      <c r="C28" s="39"/>
      <c r="D28" s="39"/>
      <c r="E28" s="39"/>
      <c r="F28" s="39"/>
      <c r="G28" s="39"/>
      <c r="H28" s="39"/>
      <c r="I28" s="39"/>
      <c r="J28" s="56"/>
      <c r="K28" s="62"/>
      <c r="L28" s="43"/>
    </row>
    <row r="29" spans="1:12" x14ac:dyDescent="0.25">
      <c r="A29" s="40" t="s">
        <v>53</v>
      </c>
      <c r="B29" s="5">
        <f>'Rate Class Customer Model'!$E$8+'Rate Class Customer Model'!$F$8</f>
        <v>3</v>
      </c>
      <c r="C29" s="5">
        <f>'Rate Class Customer Model'!$E$9+'Rate Class Customer Model'!$F$9</f>
        <v>4</v>
      </c>
      <c r="D29" s="5">
        <f>'Rate Class Customer Model'!$E$10+'Rate Class Customer Model'!$F$10</f>
        <v>4</v>
      </c>
      <c r="E29" s="5">
        <f>'Rate Class Customer Model'!$E$11+'Rate Class Customer Model'!$F$11</f>
        <v>4</v>
      </c>
      <c r="F29" s="5">
        <f>'Rate Class Customer Model'!$E$12+'Rate Class Customer Model'!$F$12</f>
        <v>3</v>
      </c>
      <c r="G29" s="5">
        <f>'Rate Class Customer Model'!$E$13+'Rate Class Customer Model'!$F$13</f>
        <v>2</v>
      </c>
      <c r="H29" s="5">
        <f>'Rate Class Customer Model'!$E$14+'Rate Class Customer Model'!$F$14</f>
        <v>2</v>
      </c>
      <c r="I29" s="5">
        <f>'Rate Class Customer Model'!$E$15+'Rate Class Customer Model'!$F$15</f>
        <v>2</v>
      </c>
      <c r="J29" s="51">
        <f>'Rate Class Customer Model'!$E$16+'Rate Class Customer Model'!$F$16</f>
        <v>2</v>
      </c>
      <c r="K29" s="60">
        <f>'Rate Class Customer Model'!$E$36+'Rate Class Customer Model'!F30</f>
        <v>2</v>
      </c>
      <c r="L29" s="18">
        <f>'Rate Class Customer Model'!$E$37+'Rate Class Customer Model'!F31</f>
        <v>2</v>
      </c>
    </row>
    <row r="30" spans="1:12" x14ac:dyDescent="0.25">
      <c r="A30" s="40" t="s">
        <v>24</v>
      </c>
      <c r="B30" s="5">
        <f>'Rate Class Energy Model'!$E$8+'Rate Class Energy Model'!$F$8</f>
        <v>129066875</v>
      </c>
      <c r="C30" s="5">
        <f>'Rate Class Energy Model'!$E$9+'Rate Class Energy Model'!$F$9</f>
        <v>116290944</v>
      </c>
      <c r="D30" s="5">
        <f>'Rate Class Energy Model'!$E$10+'Rate Class Energy Model'!$F$10</f>
        <v>121399083</v>
      </c>
      <c r="E30" s="5">
        <f>'Rate Class Energy Model'!$E$11+'Rate Class Energy Model'!$F$11</f>
        <v>70190881</v>
      </c>
      <c r="F30" s="5">
        <f>'Rate Class Energy Model'!$E$12+'Rate Class Energy Model'!$F$12</f>
        <v>64065282</v>
      </c>
      <c r="G30" s="5">
        <f>'Rate Class Energy Model'!$E$13+'Rate Class Energy Model'!$F$13</f>
        <v>63295873</v>
      </c>
      <c r="H30" s="5">
        <f>'Rate Class Energy Model'!$E$14+'Rate Class Energy Model'!$F$14</f>
        <v>62435388</v>
      </c>
      <c r="I30" s="5">
        <f>'Rate Class Energy Model'!$E$15+'Rate Class Energy Model'!$F$15</f>
        <v>71674481</v>
      </c>
      <c r="J30" s="51">
        <f>'Rate Class Energy Model'!$E$16+'Rate Class Energy Model'!$F$16</f>
        <v>64740617</v>
      </c>
      <c r="K30" s="60">
        <f>'Rate Class Energy Model'!$E$63+'Rate Class Energy Model'!F63</f>
        <v>51664547.366088025</v>
      </c>
      <c r="L30" s="18">
        <f>'Rate Class Energy Model'!$E$64+'Rate Class Energy Model'!F64</f>
        <v>40550980.966088027</v>
      </c>
    </row>
    <row r="31" spans="1:12" x14ac:dyDescent="0.25">
      <c r="A31" s="40" t="s">
        <v>54</v>
      </c>
      <c r="B31" s="5">
        <f>'Rate Class Demand Model'!$E$8+'Rate Class Demand Model'!$F$8</f>
        <v>322101</v>
      </c>
      <c r="C31" s="5">
        <f>'Rate Class Demand Model'!$E$9+'Rate Class Demand Model'!$F$9</f>
        <v>291132</v>
      </c>
      <c r="D31" s="5">
        <f>'Rate Class Demand Model'!$E$10+'Rate Class Demand Model'!$F$10</f>
        <v>281041</v>
      </c>
      <c r="E31" s="5">
        <f>'Rate Class Demand Model'!$E$11+'Rate Class Demand Model'!$F$11</f>
        <v>235551</v>
      </c>
      <c r="F31" s="5">
        <f>'Rate Class Demand Model'!$E$12+'Rate Class Demand Model'!$F$12</f>
        <v>178008</v>
      </c>
      <c r="G31" s="5">
        <f>'Rate Class Demand Model'!$E$13+'Rate Class Demand Model'!$F$13</f>
        <v>160064</v>
      </c>
      <c r="H31" s="5">
        <f>'Rate Class Demand Model'!$E$14+'Rate Class Demand Model'!$F$14</f>
        <v>163241</v>
      </c>
      <c r="I31" s="5">
        <f>'Rate Class Demand Model'!$E$15+'Rate Class Demand Model'!$F$15</f>
        <v>178432</v>
      </c>
      <c r="J31" s="51">
        <f>'Rate Class Demand Model'!$E$16+'Rate Class Demand Model'!$F$16</f>
        <v>178452</v>
      </c>
      <c r="K31" s="60">
        <f>'Rate Class Demand Model'!$E$36+'Rate Class Demand Model'!F30</f>
        <v>130215</v>
      </c>
      <c r="L31" s="18">
        <f>'Rate Class Demand Model'!$E$37+'Rate Class Demand Model'!F31</f>
        <v>94834</v>
      </c>
    </row>
    <row r="32" spans="1:12" x14ac:dyDescent="0.25">
      <c r="A32" s="42" t="s">
        <v>55</v>
      </c>
      <c r="B32" s="38"/>
      <c r="C32" s="39"/>
      <c r="D32" s="39"/>
      <c r="E32" s="39"/>
      <c r="F32" s="39"/>
      <c r="G32" s="39"/>
      <c r="H32" s="39"/>
      <c r="I32" s="39"/>
      <c r="J32" s="56"/>
      <c r="K32" s="62"/>
      <c r="L32" s="43"/>
    </row>
    <row r="33" spans="1:12" x14ac:dyDescent="0.25">
      <c r="A33" s="40" t="s">
        <v>57</v>
      </c>
      <c r="B33" s="5">
        <f>'Rate Class Customer Model'!$G$8</f>
        <v>0</v>
      </c>
      <c r="C33" s="5">
        <f>'Rate Class Customer Model'!$G$9</f>
        <v>0</v>
      </c>
      <c r="D33" s="5">
        <f>'Rate Class Customer Model'!$G$10</f>
        <v>0</v>
      </c>
      <c r="E33" s="5">
        <f>'Rate Class Customer Model'!$G$11</f>
        <v>122</v>
      </c>
      <c r="F33" s="5">
        <f>'Rate Class Customer Model'!$G$12</f>
        <v>244</v>
      </c>
      <c r="G33" s="5">
        <f>'Rate Class Customer Model'!$G$13</f>
        <v>245</v>
      </c>
      <c r="H33" s="5">
        <f>'Rate Class Customer Model'!$G$14</f>
        <v>245</v>
      </c>
      <c r="I33" s="5">
        <f>'Rate Class Customer Model'!$G$15</f>
        <v>248</v>
      </c>
      <c r="J33" s="51">
        <f>'Rate Class Customer Model'!$G$16</f>
        <v>251</v>
      </c>
      <c r="K33" s="60">
        <f>'Rate Class Customer Model'!$G$36</f>
        <v>290</v>
      </c>
      <c r="L33" s="18">
        <f>'Rate Class Customer Model'!$G$37</f>
        <v>335</v>
      </c>
    </row>
    <row r="34" spans="1:12" x14ac:dyDescent="0.25">
      <c r="A34" s="40" t="s">
        <v>24</v>
      </c>
      <c r="B34" s="5">
        <f>'Rate Class Energy Model'!$G$8</f>
        <v>0</v>
      </c>
      <c r="C34" s="5">
        <f>'Rate Class Energy Model'!$G$9</f>
        <v>0</v>
      </c>
      <c r="D34" s="5">
        <f>'Rate Class Energy Model'!$G$10</f>
        <v>0</v>
      </c>
      <c r="E34" s="5">
        <f>'Rate Class Energy Model'!$G$11</f>
        <v>1158647</v>
      </c>
      <c r="F34" s="5">
        <f>'Rate Class Energy Model'!$G$12</f>
        <v>1191306</v>
      </c>
      <c r="G34" s="5">
        <f>'Rate Class Energy Model'!$G$13</f>
        <v>1249000</v>
      </c>
      <c r="H34" s="5">
        <f>'Rate Class Energy Model'!$G$14</f>
        <v>1213037</v>
      </c>
      <c r="I34" s="5">
        <f>'Rate Class Energy Model'!$G$15</f>
        <v>1228666</v>
      </c>
      <c r="J34" s="51">
        <f>'Rate Class Energy Model'!$G$16</f>
        <v>1249444</v>
      </c>
      <c r="K34" s="60">
        <f>'Rate Class Energy Model'!$G$63</f>
        <v>1268750</v>
      </c>
      <c r="L34" s="18">
        <f>'Rate Class Energy Model'!$G$64</f>
        <v>1288075</v>
      </c>
    </row>
    <row r="35" spans="1:12" x14ac:dyDescent="0.25">
      <c r="A35" s="40" t="s">
        <v>54</v>
      </c>
      <c r="B35" s="5">
        <f>'Rate Class Demand Model'!$G$8</f>
        <v>0</v>
      </c>
      <c r="C35" s="5">
        <f>'Rate Class Demand Model'!$G$9</f>
        <v>0</v>
      </c>
      <c r="D35" s="5">
        <f>'Rate Class Demand Model'!$G$10</f>
        <v>0</v>
      </c>
      <c r="E35" s="5">
        <f>'Rate Class Demand Model'!$G$11</f>
        <v>0</v>
      </c>
      <c r="F35" s="5">
        <f>'Rate Class Demand Model'!$G$12</f>
        <v>0</v>
      </c>
      <c r="G35" s="5">
        <f>'Rate Class Demand Model'!$G$13</f>
        <v>0</v>
      </c>
      <c r="H35" s="5">
        <f>'Rate Class Demand Model'!$G$14</f>
        <v>0</v>
      </c>
      <c r="I35" s="5">
        <f>'Rate Class Demand Model'!$G$15</f>
        <v>0</v>
      </c>
      <c r="J35" s="51">
        <f>'Rate Class Demand Model'!$G$16</f>
        <v>0</v>
      </c>
      <c r="K35" s="60">
        <f>'Rate Class Demand Model'!$G$36</f>
        <v>0</v>
      </c>
      <c r="L35" s="18">
        <f>'Rate Class Demand Model'!$G$37</f>
        <v>0</v>
      </c>
    </row>
    <row r="36" spans="1:12" x14ac:dyDescent="0.25">
      <c r="A36" s="42" t="s">
        <v>8</v>
      </c>
      <c r="B36" s="38"/>
      <c r="C36" s="39"/>
      <c r="D36" s="39"/>
      <c r="E36" s="39"/>
      <c r="F36" s="39"/>
      <c r="G36" s="39"/>
      <c r="H36" s="39"/>
      <c r="I36" s="39"/>
      <c r="J36" s="56"/>
      <c r="K36" s="62"/>
      <c r="L36" s="43"/>
    </row>
    <row r="37" spans="1:12" x14ac:dyDescent="0.25">
      <c r="A37" s="40" t="s">
        <v>57</v>
      </c>
      <c r="B37" s="5">
        <f>'Rate Class Customer Model'!$H$8</f>
        <v>393</v>
      </c>
      <c r="C37" s="5">
        <f>'Rate Class Customer Model'!$H$9</f>
        <v>394</v>
      </c>
      <c r="D37" s="5">
        <f>'Rate Class Customer Model'!$H$10</f>
        <v>393</v>
      </c>
      <c r="E37" s="5">
        <f>'Rate Class Customer Model'!$H$11</f>
        <v>390</v>
      </c>
      <c r="F37" s="5">
        <f>'Rate Class Customer Model'!$H$12</f>
        <v>388</v>
      </c>
      <c r="G37" s="5">
        <f>'Rate Class Customer Model'!$H$13</f>
        <v>388</v>
      </c>
      <c r="H37" s="5">
        <f>'Rate Class Customer Model'!$H$14</f>
        <v>388</v>
      </c>
      <c r="I37" s="5">
        <f>'Rate Class Customer Model'!$H$15</f>
        <v>441</v>
      </c>
      <c r="J37" s="51">
        <f>'Rate Class Customer Model'!$H$16</f>
        <v>487</v>
      </c>
      <c r="K37" s="60">
        <f>'Rate Class Customer Model'!$H$36</f>
        <v>509</v>
      </c>
      <c r="L37" s="18">
        <f>'Rate Class Customer Model'!$H$37</f>
        <v>532</v>
      </c>
    </row>
    <row r="38" spans="1:12" x14ac:dyDescent="0.25">
      <c r="A38" s="40" t="s">
        <v>24</v>
      </c>
      <c r="B38" s="5">
        <f>'Rate Class Energy Model'!$H$8</f>
        <v>454662</v>
      </c>
      <c r="C38" s="5">
        <f>'Rate Class Energy Model'!$H$9</f>
        <v>445369</v>
      </c>
      <c r="D38" s="5">
        <f>'Rate Class Energy Model'!$H$10</f>
        <v>436740</v>
      </c>
      <c r="E38" s="5">
        <f>'Rate Class Energy Model'!$H$11</f>
        <v>440153</v>
      </c>
      <c r="F38" s="5">
        <f>'Rate Class Energy Model'!$H$12</f>
        <v>433931</v>
      </c>
      <c r="G38" s="5">
        <f>'Rate Class Energy Model'!$H$13</f>
        <v>353837</v>
      </c>
      <c r="H38" s="5">
        <f>'Rate Class Energy Model'!$H$14</f>
        <v>405259</v>
      </c>
      <c r="I38" s="5">
        <f>'Rate Class Energy Model'!$H$15</f>
        <v>410160</v>
      </c>
      <c r="J38" s="51">
        <f>'Rate Class Energy Model'!$H$16</f>
        <v>408652</v>
      </c>
      <c r="K38" s="60">
        <f>'Rate Class Energy Model'!$H$63</f>
        <v>402619</v>
      </c>
      <c r="L38" s="18">
        <f>'Rate Class Energy Model'!$H$64</f>
        <v>396340</v>
      </c>
    </row>
    <row r="39" spans="1:12" x14ac:dyDescent="0.25">
      <c r="A39" s="40" t="s">
        <v>54</v>
      </c>
      <c r="B39" s="5">
        <f>'Rate Class Demand Model'!$H$8</f>
        <v>1897</v>
      </c>
      <c r="C39" s="5">
        <f>'Rate Class Demand Model'!$H$9</f>
        <v>1234</v>
      </c>
      <c r="D39" s="5">
        <f>'Rate Class Demand Model'!$H$10</f>
        <v>1222</v>
      </c>
      <c r="E39" s="5">
        <f>'Rate Class Demand Model'!$H$11</f>
        <v>1217</v>
      </c>
      <c r="F39" s="5">
        <f>'Rate Class Demand Model'!$H$12</f>
        <v>1224</v>
      </c>
      <c r="G39" s="5">
        <f>'Rate Class Demand Model'!$H$13</f>
        <v>980</v>
      </c>
      <c r="H39" s="5">
        <f>'Rate Class Demand Model'!$H$14</f>
        <v>1138</v>
      </c>
      <c r="I39" s="5">
        <f>'Rate Class Demand Model'!$H$15</f>
        <v>1130</v>
      </c>
      <c r="J39" s="51">
        <f>'Rate Class Demand Model'!$H$16</f>
        <v>1144</v>
      </c>
      <c r="K39" s="60">
        <f>'Rate Class Demand Model'!$H$36</f>
        <v>1127</v>
      </c>
      <c r="L39" s="18">
        <f>'Rate Class Demand Model'!$H$37</f>
        <v>1110</v>
      </c>
    </row>
    <row r="40" spans="1:12" x14ac:dyDescent="0.25">
      <c r="A40" s="42" t="s">
        <v>7</v>
      </c>
      <c r="B40" s="38"/>
      <c r="C40" s="39"/>
      <c r="D40" s="39"/>
      <c r="E40" s="39"/>
      <c r="F40" s="39"/>
      <c r="G40" s="39"/>
      <c r="H40" s="39"/>
      <c r="I40" s="39"/>
      <c r="J40" s="56"/>
      <c r="K40" s="62"/>
      <c r="L40" s="43"/>
    </row>
    <row r="41" spans="1:12" x14ac:dyDescent="0.25">
      <c r="A41" s="40" t="s">
        <v>57</v>
      </c>
      <c r="B41" s="5">
        <f>'Rate Class Customer Model'!$I$8</f>
        <v>12468</v>
      </c>
      <c r="C41" s="5">
        <f>'Rate Class Customer Model'!$I$9</f>
        <v>12468</v>
      </c>
      <c r="D41" s="5">
        <f>'Rate Class Customer Model'!$I$10</f>
        <v>12553</v>
      </c>
      <c r="E41" s="5">
        <f>'Rate Class Customer Model'!$I$11</f>
        <v>12784</v>
      </c>
      <c r="F41" s="5">
        <f>'Rate Class Customer Model'!$I$12</f>
        <v>12931</v>
      </c>
      <c r="G41" s="5">
        <f>'Rate Class Customer Model'!$I$13</f>
        <v>12931</v>
      </c>
      <c r="H41" s="5">
        <f>'Rate Class Customer Model'!$I$14</f>
        <v>12931</v>
      </c>
      <c r="I41" s="5">
        <f>'Rate Class Customer Model'!$I$15</f>
        <v>12931</v>
      </c>
      <c r="J41" s="51">
        <f>'Rate Class Customer Model'!$I$16</f>
        <v>12926</v>
      </c>
      <c r="K41" s="60">
        <f>'Rate Class Customer Model'!$I$36</f>
        <v>12955</v>
      </c>
      <c r="L41" s="18">
        <f>'Rate Class Customer Model'!$I$37</f>
        <v>12984</v>
      </c>
    </row>
    <row r="42" spans="1:12" x14ac:dyDescent="0.25">
      <c r="A42" s="40" t="s">
        <v>24</v>
      </c>
      <c r="B42" s="5">
        <f>'Rate Class Energy Model'!$I$8</f>
        <v>8797196</v>
      </c>
      <c r="C42" s="5">
        <f>'Rate Class Energy Model'!$I$9</f>
        <v>8797782</v>
      </c>
      <c r="D42" s="5">
        <f>'Rate Class Energy Model'!$I$10</f>
        <v>8199730</v>
      </c>
      <c r="E42" s="5">
        <f>'Rate Class Energy Model'!$I$11</f>
        <v>8235437</v>
      </c>
      <c r="F42" s="5">
        <f>'Rate Class Energy Model'!$I$12</f>
        <v>8221743</v>
      </c>
      <c r="G42" s="5">
        <f>'Rate Class Energy Model'!$I$13</f>
        <v>8221874</v>
      </c>
      <c r="H42" s="5">
        <f>'Rate Class Energy Model'!$I$14</f>
        <v>8250167</v>
      </c>
      <c r="I42" s="5">
        <f>'Rate Class Energy Model'!$I$15</f>
        <v>7792246</v>
      </c>
      <c r="J42" s="51">
        <f>'Rate Class Energy Model'!$I$16</f>
        <v>7533249</v>
      </c>
      <c r="K42" s="60">
        <f>'Rate Class Energy Model'!$I$63</f>
        <v>6989762.8099999996</v>
      </c>
      <c r="L42" s="18">
        <f>'Rate Class Energy Model'!$I$64</f>
        <v>6452814.8100000005</v>
      </c>
    </row>
    <row r="43" spans="1:12" x14ac:dyDescent="0.25">
      <c r="A43" s="40" t="s">
        <v>54</v>
      </c>
      <c r="B43" s="5">
        <f>'Rate Class Demand Model'!$I$8</f>
        <v>24792</v>
      </c>
      <c r="C43" s="5">
        <f>'Rate Class Demand Model'!$I$9</f>
        <v>31812</v>
      </c>
      <c r="D43" s="5">
        <f>'Rate Class Demand Model'!$I$10</f>
        <v>24235</v>
      </c>
      <c r="E43" s="5">
        <f>'Rate Class Demand Model'!$I$11</f>
        <v>24546</v>
      </c>
      <c r="F43" s="5">
        <f>'Rate Class Demand Model'!$I$12</f>
        <v>24338</v>
      </c>
      <c r="G43" s="5">
        <f>'Rate Class Demand Model'!$I$13</f>
        <v>24338</v>
      </c>
      <c r="H43" s="5">
        <f>'Rate Class Demand Model'!$I$14</f>
        <v>24338</v>
      </c>
      <c r="I43" s="5">
        <f>'Rate Class Demand Model'!$I$15</f>
        <v>23008</v>
      </c>
      <c r="J43" s="51">
        <f>'Rate Class Demand Model'!$I$16</f>
        <v>22342</v>
      </c>
      <c r="K43" s="60">
        <f>'Rate Class Demand Model'!$I$36</f>
        <v>20969</v>
      </c>
      <c r="L43" s="18">
        <f>'Rate Class Demand Model'!$I$37</f>
        <v>19358</v>
      </c>
    </row>
    <row r="44" spans="1:12" x14ac:dyDescent="0.25">
      <c r="A44" s="42" t="s">
        <v>303</v>
      </c>
      <c r="B44" s="38"/>
      <c r="C44" s="39"/>
      <c r="D44" s="39"/>
      <c r="E44" s="39"/>
      <c r="F44" s="39"/>
      <c r="G44" s="39"/>
      <c r="H44" s="39"/>
      <c r="I44" s="39"/>
      <c r="J44" s="56"/>
      <c r="K44" s="62"/>
      <c r="L44" s="43"/>
    </row>
    <row r="45" spans="1:12" x14ac:dyDescent="0.25">
      <c r="A45" s="40" t="s">
        <v>53</v>
      </c>
      <c r="B45" s="5">
        <f>'Rate Class Customer Model'!$J$8</f>
        <v>0</v>
      </c>
      <c r="C45" s="5">
        <f>'Rate Class Customer Model'!$J$9</f>
        <v>1</v>
      </c>
      <c r="D45" s="5">
        <f>'Rate Class Customer Model'!$J$10</f>
        <v>1</v>
      </c>
      <c r="E45" s="5">
        <f>'Rate Class Customer Model'!$J$11</f>
        <v>1</v>
      </c>
      <c r="F45" s="5">
        <f>'Rate Class Customer Model'!$J$12</f>
        <v>1</v>
      </c>
      <c r="G45" s="5">
        <f>'Rate Class Customer Model'!$J$13</f>
        <v>1</v>
      </c>
      <c r="H45" s="5">
        <f>'Rate Class Customer Model'!$J$14</f>
        <v>1</v>
      </c>
      <c r="I45" s="5">
        <f>'Rate Class Customer Model'!$J$15</f>
        <v>1</v>
      </c>
      <c r="J45" s="51">
        <f>'Rate Class Customer Model'!$J$16</f>
        <v>1</v>
      </c>
      <c r="K45" s="60">
        <f>'Rate Class Customer Model'!$J$36</f>
        <v>1</v>
      </c>
      <c r="L45" s="18">
        <f>'Rate Class Customer Model'!$J$37</f>
        <v>1</v>
      </c>
    </row>
    <row r="46" spans="1:12" x14ac:dyDescent="0.25">
      <c r="A46" s="40" t="s">
        <v>24</v>
      </c>
      <c r="B46" s="5">
        <f>'Rate Class Energy Model'!$J$8</f>
        <v>0</v>
      </c>
      <c r="C46" s="5">
        <f>'Rate Class Energy Model'!$J$9</f>
        <v>5294429</v>
      </c>
      <c r="D46" s="5">
        <f>'Rate Class Energy Model'!$J$10</f>
        <v>5200141</v>
      </c>
      <c r="E46" s="5">
        <f>'Rate Class Energy Model'!$J$11</f>
        <v>5213283</v>
      </c>
      <c r="F46" s="5">
        <f>'Rate Class Energy Model'!$J$12</f>
        <v>4851464</v>
      </c>
      <c r="G46" s="5">
        <f>'Rate Class Energy Model'!$J$13</f>
        <v>4151567</v>
      </c>
      <c r="H46" s="5">
        <f>'Rate Class Energy Model'!$J$14</f>
        <v>4555496</v>
      </c>
      <c r="I46" s="5">
        <f>'Rate Class Energy Model'!$J$15</f>
        <v>4612024</v>
      </c>
      <c r="J46" s="51">
        <f>'Rate Class Energy Model'!$J$16</f>
        <v>4634801</v>
      </c>
      <c r="K46" s="60">
        <f>'Rate Class Energy Model'!$J$63</f>
        <v>4526975</v>
      </c>
      <c r="L46" s="18">
        <f>'Rate Class Energy Model'!$J$64</f>
        <v>4421657</v>
      </c>
    </row>
    <row r="47" spans="1:12" x14ac:dyDescent="0.25">
      <c r="A47" s="40" t="s">
        <v>54</v>
      </c>
      <c r="B47" s="5">
        <f>'Rate Class Demand Model'!$J$8</f>
        <v>0</v>
      </c>
      <c r="C47" s="5">
        <f>'Rate Class Demand Model'!$J$9</f>
        <v>10733</v>
      </c>
      <c r="D47" s="5">
        <f>'Rate Class Demand Model'!$J$10</f>
        <v>10432</v>
      </c>
      <c r="E47" s="5">
        <f>'Rate Class Demand Model'!$J$11</f>
        <v>10438</v>
      </c>
      <c r="F47" s="5">
        <f>'Rate Class Demand Model'!$J$12</f>
        <v>10285</v>
      </c>
      <c r="G47" s="5">
        <f>'Rate Class Demand Model'!$J$13</f>
        <v>11258</v>
      </c>
      <c r="H47" s="5">
        <f>'Rate Class Demand Model'!$J$14</f>
        <v>10054</v>
      </c>
      <c r="I47" s="5">
        <f>'Rate Class Demand Model'!$J$15</f>
        <v>9926</v>
      </c>
      <c r="J47" s="51">
        <f>'Rate Class Demand Model'!$J$16</f>
        <v>16051</v>
      </c>
      <c r="K47" s="60">
        <f>'Rate Class Demand Model'!$J$36</f>
        <v>11499</v>
      </c>
      <c r="L47" s="18">
        <f>'Rate Class Demand Model'!$J$37</f>
        <v>11231</v>
      </c>
    </row>
    <row r="48" spans="1:12" x14ac:dyDescent="0.25">
      <c r="A48" s="90" t="s">
        <v>56</v>
      </c>
      <c r="B48" s="91"/>
      <c r="C48" s="92"/>
      <c r="D48" s="92"/>
      <c r="E48" s="92"/>
      <c r="F48" s="92"/>
      <c r="G48" s="92"/>
      <c r="H48" s="92"/>
      <c r="I48" s="92"/>
      <c r="J48" s="93"/>
      <c r="K48" s="94"/>
      <c r="L48" s="95"/>
    </row>
    <row r="49" spans="1:12" x14ac:dyDescent="0.25">
      <c r="A49" s="40" t="s">
        <v>53</v>
      </c>
      <c r="B49" s="6">
        <f>B17+B21+B25+B29+B33+B37+B41+B45</f>
        <v>52522</v>
      </c>
      <c r="C49" s="6">
        <f t="shared" ref="C49:L49" si="2">C17+C21+C25+C29+C33+C37+C41+C45</f>
        <v>52570</v>
      </c>
      <c r="D49" s="6">
        <f t="shared" si="2"/>
        <v>52783</v>
      </c>
      <c r="E49" s="6">
        <f t="shared" si="2"/>
        <v>53174</v>
      </c>
      <c r="F49" s="6">
        <f t="shared" si="2"/>
        <v>53450</v>
      </c>
      <c r="G49" s="6">
        <f t="shared" si="2"/>
        <v>53591</v>
      </c>
      <c r="H49" s="6">
        <f t="shared" si="2"/>
        <v>53740</v>
      </c>
      <c r="I49" s="6">
        <f t="shared" si="2"/>
        <v>53928</v>
      </c>
      <c r="J49" s="53">
        <f t="shared" si="2"/>
        <v>54108</v>
      </c>
      <c r="K49" s="61">
        <f t="shared" si="2"/>
        <v>54315</v>
      </c>
      <c r="L49" s="10">
        <f t="shared" si="2"/>
        <v>54528</v>
      </c>
    </row>
    <row r="50" spans="1:12" x14ac:dyDescent="0.25">
      <c r="A50" s="40" t="s">
        <v>24</v>
      </c>
      <c r="B50" s="6">
        <f t="shared" ref="B50:L51" si="3">B18+B22+B26+B30+B34+B38+B42+B46</f>
        <v>1075120002</v>
      </c>
      <c r="C50" s="6">
        <f t="shared" si="3"/>
        <v>1050835892</v>
      </c>
      <c r="D50" s="6">
        <f t="shared" si="3"/>
        <v>1018040403</v>
      </c>
      <c r="E50" s="6">
        <f t="shared" si="3"/>
        <v>881699187</v>
      </c>
      <c r="F50" s="6">
        <f t="shared" si="3"/>
        <v>927220462</v>
      </c>
      <c r="G50" s="6">
        <f t="shared" si="3"/>
        <v>933159150</v>
      </c>
      <c r="H50" s="6">
        <f t="shared" si="3"/>
        <v>933898584</v>
      </c>
      <c r="I50" s="6">
        <f t="shared" si="3"/>
        <v>928696615</v>
      </c>
      <c r="J50" s="53">
        <f t="shared" si="3"/>
        <v>933911819</v>
      </c>
      <c r="K50" s="61">
        <f t="shared" si="3"/>
        <v>926050487.50088036</v>
      </c>
      <c r="L50" s="10">
        <f t="shared" si="3"/>
        <v>913738589.38687253</v>
      </c>
    </row>
    <row r="51" spans="1:12" x14ac:dyDescent="0.25">
      <c r="A51" s="44" t="s">
        <v>54</v>
      </c>
      <c r="B51" s="45">
        <f t="shared" si="3"/>
        <v>1869709</v>
      </c>
      <c r="C51" s="45">
        <f t="shared" si="3"/>
        <v>1645246</v>
      </c>
      <c r="D51" s="45">
        <f t="shared" si="3"/>
        <v>1587882</v>
      </c>
      <c r="E51" s="45">
        <f t="shared" si="3"/>
        <v>1395083</v>
      </c>
      <c r="F51" s="45">
        <f t="shared" si="3"/>
        <v>1388303</v>
      </c>
      <c r="G51" s="45">
        <f t="shared" si="3"/>
        <v>1377035</v>
      </c>
      <c r="H51" s="45">
        <f t="shared" si="3"/>
        <v>1383061</v>
      </c>
      <c r="I51" s="45">
        <f t="shared" si="3"/>
        <v>1435751</v>
      </c>
      <c r="J51" s="57">
        <f t="shared" si="3"/>
        <v>1398994</v>
      </c>
      <c r="K51" s="63">
        <f t="shared" si="3"/>
        <v>1425533.862658361</v>
      </c>
      <c r="L51" s="46">
        <f t="shared" si="3"/>
        <v>1413650.3058017949</v>
      </c>
    </row>
    <row r="52" spans="1:12" x14ac:dyDescent="0.25">
      <c r="C52" s="1"/>
      <c r="D52" s="1"/>
      <c r="E52" s="1"/>
      <c r="F52" s="1"/>
      <c r="G52" s="1"/>
      <c r="H52" s="1"/>
      <c r="I52" s="1"/>
      <c r="J52" s="1"/>
      <c r="K52" s="1"/>
      <c r="L52" s="1"/>
    </row>
    <row r="53" spans="1:12" x14ac:dyDescent="0.25">
      <c r="A53" t="s">
        <v>59</v>
      </c>
      <c r="B53" s="2">
        <f t="shared" ref="B53:L53" si="4">B13-B50</f>
        <v>0</v>
      </c>
      <c r="C53" s="2">
        <f t="shared" si="4"/>
        <v>0</v>
      </c>
      <c r="D53" s="2">
        <f t="shared" si="4"/>
        <v>0</v>
      </c>
      <c r="E53" s="2">
        <f t="shared" si="4"/>
        <v>0</v>
      </c>
      <c r="F53" s="2">
        <f t="shared" si="4"/>
        <v>0</v>
      </c>
      <c r="G53" s="2">
        <f t="shared" si="4"/>
        <v>0</v>
      </c>
      <c r="H53" s="2">
        <f t="shared" si="4"/>
        <v>0</v>
      </c>
      <c r="I53" s="2">
        <f t="shared" si="4"/>
        <v>0</v>
      </c>
      <c r="J53" s="2">
        <f t="shared" si="4"/>
        <v>0</v>
      </c>
      <c r="K53" s="2">
        <f t="shared" si="4"/>
        <v>0</v>
      </c>
      <c r="L53" s="2">
        <f t="shared" si="4"/>
        <v>0</v>
      </c>
    </row>
    <row r="56" spans="1:12" x14ac:dyDescent="0.25">
      <c r="K56" s="2"/>
      <c r="L56" s="2"/>
    </row>
    <row r="57" spans="1:12" x14ac:dyDescent="0.25">
      <c r="K57" s="2"/>
      <c r="L57" s="2"/>
    </row>
    <row r="58" spans="1:12" x14ac:dyDescent="0.25">
      <c r="K58" s="2"/>
      <c r="L58" s="2"/>
    </row>
  </sheetData>
  <pageMargins left="0.3" right="0.3" top="0.3" bottom="0.6" header="0.3" footer="0.3"/>
  <pageSetup scale="71"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Purchase Forecast</vt:lpstr>
      <vt:lpstr>Regression Analysis</vt:lpstr>
      <vt:lpstr>Forecast Accuracy</vt:lpstr>
      <vt:lpstr>Rate Class Customer Model</vt:lpstr>
      <vt:lpstr>Rate Class Energy Model</vt:lpstr>
      <vt:lpstr>Rate Class Demand Model</vt:lpstr>
      <vt:lpstr>CDM</vt:lpstr>
      <vt:lpstr>WMP</vt:lpstr>
      <vt:lpstr>Detailed Summary</vt:lpstr>
      <vt:lpstr>Summary</vt:lpstr>
      <vt:lpstr>COP Rates</vt:lpstr>
      <vt:lpstr>COP Forecast</vt:lpstr>
      <vt:lpstr>Allocation of LF</vt:lpstr>
      <vt:lpstr>2016 Revenue at Old Rates</vt:lpstr>
      <vt:lpstr>Market Participant</vt:lpstr>
      <vt:lpstr>'2016 Revenue at Old Rates'!Print_Area</vt:lpstr>
      <vt:lpstr>'Allocation of LF'!Print_Area</vt:lpstr>
      <vt:lpstr>CDM!Print_Area</vt:lpstr>
      <vt:lpstr>'COP Forecast'!Print_Area</vt:lpstr>
      <vt:lpstr>'COP Rates'!Print_Area</vt:lpstr>
      <vt:lpstr>'Detailed Summary'!Print_Area</vt:lpstr>
      <vt:lpstr>'Forecast Accuracy'!Print_Area</vt:lpstr>
      <vt:lpstr>'Market Participant'!Print_Area</vt:lpstr>
      <vt:lpstr>'Purchase Forecast'!Print_Area</vt:lpstr>
      <vt:lpstr>'Rate Class Customer Model'!Print_Area</vt:lpstr>
      <vt:lpstr>'Rate Class Demand Model'!Print_Area</vt:lpstr>
      <vt:lpstr>'Rate Class Energy Model'!Print_Area</vt:lpstr>
      <vt:lpstr>'Regression Analysis'!Print_Area</vt:lpstr>
      <vt:lpstr>Summary!Print_Area</vt:lpstr>
      <vt:lpstr>'Purchase Forecast'!Print_Titles</vt:lpstr>
      <vt:lpstr>'Rate Class Energy Model'!Print_Titles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Andrya Eagen</cp:lastModifiedBy>
  <cp:lastPrinted>2015-12-17T02:06:45Z</cp:lastPrinted>
  <dcterms:created xsi:type="dcterms:W3CDTF">2015-05-05T17:44:18Z</dcterms:created>
  <dcterms:modified xsi:type="dcterms:W3CDTF">2015-12-17T02:14:27Z</dcterms:modified>
</cp:coreProperties>
</file>