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4040" windowHeight="13485"/>
  </bookViews>
  <sheets>
    <sheet name="Sheet1" sheetId="1" r:id="rId1"/>
    <sheet name="Sheet2" sheetId="2" r:id="rId2"/>
    <sheet name="Sheet3" sheetId="3" r:id="rId3"/>
  </sheets>
  <externalReferences>
    <externalReference r:id="rId4"/>
    <externalReference r:id="rId5"/>
    <externalReference r:id="rId6"/>
  </externalReferences>
  <calcPr calcId="145621"/>
</workbook>
</file>

<file path=xl/calcChain.xml><?xml version="1.0" encoding="utf-8"?>
<calcChain xmlns="http://schemas.openxmlformats.org/spreadsheetml/2006/main">
  <c r="I390" i="1" l="1"/>
  <c r="I267" i="1"/>
  <c r="I211" i="1"/>
  <c r="I155" i="1"/>
  <c r="I111" i="1"/>
  <c r="I68" i="1" l="1"/>
  <c r="J269" i="1"/>
  <c r="J213" i="1"/>
  <c r="J157" i="1"/>
  <c r="M112" i="1"/>
  <c r="J113" i="1"/>
  <c r="CG30" i="1"/>
  <c r="CG29" i="1"/>
  <c r="CG28" i="1"/>
  <c r="CG27" i="1"/>
  <c r="CG26" i="1"/>
  <c r="CL30" i="1" l="1"/>
  <c r="I269" i="1" s="1"/>
  <c r="K269" i="1" s="1"/>
  <c r="L269" i="1" s="1"/>
  <c r="M269" i="1" s="1"/>
  <c r="CL29" i="1"/>
  <c r="I213" i="1" s="1"/>
  <c r="K213" i="1" s="1"/>
  <c r="L213" i="1" s="1"/>
  <c r="M213" i="1" s="1"/>
  <c r="CL28" i="1"/>
  <c r="I157" i="1" s="1"/>
  <c r="K157" i="1" s="1"/>
  <c r="L157" i="1" s="1"/>
  <c r="M157" i="1" s="1"/>
  <c r="CL27" i="1"/>
  <c r="I113" i="1" s="1"/>
  <c r="K113" i="1" s="1"/>
  <c r="L113" i="1" s="1"/>
  <c r="M113" i="1" s="1"/>
  <c r="CL26" i="1"/>
  <c r="I70" i="1" s="1"/>
  <c r="I392" i="1" s="1"/>
  <c r="J404" i="1" l="1"/>
  <c r="H404" i="1"/>
  <c r="G404" i="1"/>
  <c r="F404" i="1"/>
  <c r="I404" i="1" s="1"/>
  <c r="J403" i="1"/>
  <c r="K403" i="1" s="1"/>
  <c r="L403" i="1" s="1"/>
  <c r="J402" i="1"/>
  <c r="K402" i="1" s="1"/>
  <c r="L402" i="1" s="1"/>
  <c r="M402" i="1" s="1"/>
  <c r="I402" i="1"/>
  <c r="G402" i="1"/>
  <c r="H402" i="1" s="1"/>
  <c r="K401" i="1"/>
  <c r="H401" i="1"/>
  <c r="L401" i="1" s="1"/>
  <c r="M401" i="1" s="1"/>
  <c r="J400" i="1"/>
  <c r="K400" i="1" s="1"/>
  <c r="G400" i="1"/>
  <c r="H400" i="1" s="1"/>
  <c r="J399" i="1"/>
  <c r="K399" i="1" s="1"/>
  <c r="L399" i="1" s="1"/>
  <c r="M399" i="1" s="1"/>
  <c r="G399" i="1"/>
  <c r="H399" i="1" s="1"/>
  <c r="I394" i="1"/>
  <c r="K394" i="1" s="1"/>
  <c r="L394" i="1" s="1"/>
  <c r="M394" i="1" s="1"/>
  <c r="F394" i="1"/>
  <c r="H394" i="1" s="1"/>
  <c r="J393" i="1"/>
  <c r="K393" i="1" s="1"/>
  <c r="L393" i="1" s="1"/>
  <c r="M393" i="1" s="1"/>
  <c r="G393" i="1"/>
  <c r="H393" i="1" s="1"/>
  <c r="K392" i="1"/>
  <c r="L392" i="1" s="1"/>
  <c r="M392" i="1" s="1"/>
  <c r="F391" i="1"/>
  <c r="J390" i="1"/>
  <c r="J391" i="1" s="1"/>
  <c r="K390" i="1"/>
  <c r="G390" i="1"/>
  <c r="F390" i="1"/>
  <c r="I389" i="1"/>
  <c r="J389" i="1" s="1"/>
  <c r="G389" i="1" s="1"/>
  <c r="K387" i="1"/>
  <c r="J387" i="1"/>
  <c r="H387" i="1"/>
  <c r="G387" i="1"/>
  <c r="K386" i="1"/>
  <c r="H386" i="1"/>
  <c r="J385" i="1"/>
  <c r="K385" i="1" s="1"/>
  <c r="G385" i="1"/>
  <c r="H385" i="1" s="1"/>
  <c r="K384" i="1"/>
  <c r="L384" i="1" s="1"/>
  <c r="M384" i="1" s="1"/>
  <c r="H384" i="1"/>
  <c r="C347" i="1"/>
  <c r="I341" i="1"/>
  <c r="K341" i="1" s="1"/>
  <c r="H341" i="1"/>
  <c r="K340" i="1"/>
  <c r="I340" i="1"/>
  <c r="H340" i="1"/>
  <c r="K334" i="1"/>
  <c r="H334" i="1"/>
  <c r="L334" i="1" s="1"/>
  <c r="M334" i="1" s="1"/>
  <c r="C331" i="1"/>
  <c r="C328" i="1"/>
  <c r="I324" i="1"/>
  <c r="C321" i="1"/>
  <c r="L319" i="1"/>
  <c r="M319" i="1" s="1"/>
  <c r="K319" i="1"/>
  <c r="H319" i="1"/>
  <c r="K317" i="1"/>
  <c r="L317" i="1" s="1"/>
  <c r="M317" i="1" s="1"/>
  <c r="H317" i="1"/>
  <c r="E312" i="1"/>
  <c r="E310" i="1"/>
  <c r="E309" i="1"/>
  <c r="E308" i="1"/>
  <c r="E307" i="1"/>
  <c r="F322" i="1" s="1"/>
  <c r="E306" i="1"/>
  <c r="C291" i="1"/>
  <c r="I285" i="1"/>
  <c r="K285" i="1" s="1"/>
  <c r="H285" i="1"/>
  <c r="K284" i="1"/>
  <c r="L284" i="1" s="1"/>
  <c r="M284" i="1" s="1"/>
  <c r="I284" i="1"/>
  <c r="H284" i="1"/>
  <c r="G281" i="1"/>
  <c r="H281" i="1" s="1"/>
  <c r="G279" i="1"/>
  <c r="H279" i="1" s="1"/>
  <c r="K278" i="1"/>
  <c r="H278" i="1"/>
  <c r="C275" i="1"/>
  <c r="G274" i="1"/>
  <c r="H274" i="1" s="1"/>
  <c r="C272" i="1"/>
  <c r="G267" i="1"/>
  <c r="C265" i="1"/>
  <c r="K263" i="1"/>
  <c r="H263" i="1"/>
  <c r="K261" i="1"/>
  <c r="H261" i="1"/>
  <c r="E256" i="1"/>
  <c r="E254" i="1"/>
  <c r="E253" i="1"/>
  <c r="J264" i="1" s="1"/>
  <c r="K264" i="1" s="1"/>
  <c r="E252" i="1"/>
  <c r="J282" i="1" s="1"/>
  <c r="K282" i="1" s="1"/>
  <c r="E251" i="1"/>
  <c r="K250" i="1"/>
  <c r="E250" i="1"/>
  <c r="F271" i="1" s="1"/>
  <c r="H271" i="1" s="1"/>
  <c r="C235" i="1"/>
  <c r="L229" i="1"/>
  <c r="M229" i="1" s="1"/>
  <c r="I229" i="1"/>
  <c r="K229" i="1" s="1"/>
  <c r="H229" i="1"/>
  <c r="I228" i="1"/>
  <c r="K228" i="1" s="1"/>
  <c r="H228" i="1"/>
  <c r="K222" i="1"/>
  <c r="H222" i="1"/>
  <c r="C219" i="1"/>
  <c r="C216" i="1"/>
  <c r="C209" i="1"/>
  <c r="I208" i="1"/>
  <c r="K207" i="1"/>
  <c r="H207" i="1"/>
  <c r="K205" i="1"/>
  <c r="H205" i="1"/>
  <c r="E200" i="1"/>
  <c r="E198" i="1"/>
  <c r="E197" i="1"/>
  <c r="G211" i="1" s="1"/>
  <c r="E196" i="1"/>
  <c r="J226" i="1" s="1"/>
  <c r="K226" i="1" s="1"/>
  <c r="E195" i="1"/>
  <c r="K194" i="1"/>
  <c r="E194" i="1"/>
  <c r="F215" i="1" s="1"/>
  <c r="H215" i="1" s="1"/>
  <c r="C191" i="1"/>
  <c r="F173" i="1"/>
  <c r="I173" i="1" s="1"/>
  <c r="I172" i="1"/>
  <c r="K172" i="1" s="1"/>
  <c r="H172" i="1"/>
  <c r="K171" i="1"/>
  <c r="H171" i="1"/>
  <c r="K170" i="1"/>
  <c r="H170" i="1"/>
  <c r="K169" i="1"/>
  <c r="H169" i="1"/>
  <c r="G167" i="1"/>
  <c r="H167" i="1" s="1"/>
  <c r="K166" i="1"/>
  <c r="H166" i="1"/>
  <c r="C163" i="1"/>
  <c r="C160" i="1"/>
  <c r="I156" i="1"/>
  <c r="F155" i="1"/>
  <c r="F154" i="1"/>
  <c r="G154" i="1" s="1"/>
  <c r="H154" i="1" s="1"/>
  <c r="C153" i="1"/>
  <c r="I152" i="1"/>
  <c r="K151" i="1"/>
  <c r="H151" i="1"/>
  <c r="K149" i="1"/>
  <c r="H149" i="1"/>
  <c r="E144" i="1"/>
  <c r="E142" i="1"/>
  <c r="E141" i="1"/>
  <c r="G162" i="1" s="1"/>
  <c r="H162" i="1" s="1"/>
  <c r="E140" i="1"/>
  <c r="E139" i="1"/>
  <c r="K138" i="1"/>
  <c r="E138" i="1"/>
  <c r="I167" i="1" s="1"/>
  <c r="C135" i="1"/>
  <c r="I129" i="1"/>
  <c r="K129" i="1" s="1"/>
  <c r="H129" i="1"/>
  <c r="I128" i="1"/>
  <c r="K128" i="1" s="1"/>
  <c r="L128" i="1" s="1"/>
  <c r="M128" i="1" s="1"/>
  <c r="H128" i="1"/>
  <c r="K122" i="1"/>
  <c r="H122" i="1"/>
  <c r="C119" i="1"/>
  <c r="C116" i="1"/>
  <c r="C109" i="1"/>
  <c r="I108" i="1"/>
  <c r="K107" i="1"/>
  <c r="H107" i="1"/>
  <c r="K105" i="1"/>
  <c r="H105" i="1"/>
  <c r="E100" i="1"/>
  <c r="E98" i="1"/>
  <c r="E97" i="1"/>
  <c r="G111" i="1" s="1"/>
  <c r="E96" i="1"/>
  <c r="J126" i="1" s="1"/>
  <c r="K126" i="1" s="1"/>
  <c r="E95" i="1"/>
  <c r="K94" i="1"/>
  <c r="E94" i="1"/>
  <c r="F115" i="1" s="1"/>
  <c r="H115" i="1" s="1"/>
  <c r="C92" i="1"/>
  <c r="I86" i="1"/>
  <c r="H86" i="1"/>
  <c r="I85" i="1"/>
  <c r="H85" i="1"/>
  <c r="K79" i="1"/>
  <c r="H79" i="1"/>
  <c r="C76" i="1"/>
  <c r="C73" i="1"/>
  <c r="I325" i="1"/>
  <c r="K325" i="1" s="1"/>
  <c r="L325" i="1" s="1"/>
  <c r="M325" i="1" s="1"/>
  <c r="I323" i="1"/>
  <c r="C66" i="1"/>
  <c r="K64" i="1"/>
  <c r="H64" i="1"/>
  <c r="K62" i="1"/>
  <c r="H62" i="1"/>
  <c r="E57" i="1"/>
  <c r="E55" i="1"/>
  <c r="E54" i="1"/>
  <c r="G63" i="1" s="1"/>
  <c r="H63" i="1" s="1"/>
  <c r="E53" i="1"/>
  <c r="J84" i="1" s="1"/>
  <c r="K84" i="1" s="1"/>
  <c r="E52" i="1"/>
  <c r="K51" i="1"/>
  <c r="E51" i="1"/>
  <c r="I80" i="1" s="1"/>
  <c r="D47" i="1"/>
  <c r="B47" i="1"/>
  <c r="D46" i="1"/>
  <c r="B46" i="1"/>
  <c r="D45" i="1"/>
  <c r="B45" i="1"/>
  <c r="D44" i="1"/>
  <c r="B44" i="1"/>
  <c r="D43" i="1"/>
  <c r="B43" i="1"/>
  <c r="D42" i="1"/>
  <c r="B42" i="1"/>
  <c r="D41" i="1"/>
  <c r="B41" i="1"/>
  <c r="D40" i="1"/>
  <c r="B40" i="1"/>
  <c r="D39" i="1"/>
  <c r="B39" i="1"/>
  <c r="D38" i="1"/>
  <c r="B38" i="1"/>
  <c r="D37" i="1"/>
  <c r="B37" i="1"/>
  <c r="D36" i="1"/>
  <c r="B36" i="1"/>
  <c r="D35" i="1"/>
  <c r="B35" i="1"/>
  <c r="G34" i="1"/>
  <c r="D34" i="1"/>
  <c r="B34" i="1"/>
  <c r="G33" i="1"/>
  <c r="D33" i="1"/>
  <c r="B33" i="1"/>
  <c r="G32" i="1"/>
  <c r="D32" i="1"/>
  <c r="B32" i="1"/>
  <c r="G31" i="1"/>
  <c r="D31" i="1"/>
  <c r="B31" i="1"/>
  <c r="G30" i="1"/>
  <c r="D30" i="1"/>
  <c r="B30" i="1"/>
  <c r="G29" i="1"/>
  <c r="D29" i="1"/>
  <c r="B29" i="1"/>
  <c r="G28" i="1"/>
  <c r="D28" i="1"/>
  <c r="B28" i="1"/>
  <c r="CH26" i="1"/>
  <c r="I391" i="1"/>
  <c r="K391" i="1" s="1"/>
  <c r="K22" i="1"/>
  <c r="T22" i="1" s="1"/>
  <c r="G22" i="1"/>
  <c r="G47" i="1" s="1"/>
  <c r="C22" i="1"/>
  <c r="K21" i="1"/>
  <c r="T21" i="1" s="1"/>
  <c r="G21" i="1"/>
  <c r="G46" i="1" s="1"/>
  <c r="C21" i="1"/>
  <c r="K20" i="1"/>
  <c r="T20" i="1" s="1"/>
  <c r="G20" i="1"/>
  <c r="G45" i="1" s="1"/>
  <c r="C20" i="1"/>
  <c r="K19" i="1"/>
  <c r="T19" i="1" s="1"/>
  <c r="G19" i="1"/>
  <c r="G44" i="1" s="1"/>
  <c r="C19" i="1"/>
  <c r="K18" i="1"/>
  <c r="T18" i="1" s="1"/>
  <c r="G18" i="1"/>
  <c r="G43" i="1" s="1"/>
  <c r="C18" i="1"/>
  <c r="K17" i="1"/>
  <c r="T17" i="1" s="1"/>
  <c r="G17" i="1"/>
  <c r="G42" i="1" s="1"/>
  <c r="C17" i="1"/>
  <c r="K16" i="1"/>
  <c r="T16" i="1" s="1"/>
  <c r="G16" i="1"/>
  <c r="G41" i="1" s="1"/>
  <c r="C16" i="1"/>
  <c r="K15" i="1"/>
  <c r="T15" i="1" s="1"/>
  <c r="G15" i="1"/>
  <c r="G40" i="1" s="1"/>
  <c r="C15" i="1"/>
  <c r="K14" i="1"/>
  <c r="T14" i="1" s="1"/>
  <c r="G14" i="1"/>
  <c r="G39" i="1" s="1"/>
  <c r="C14" i="1"/>
  <c r="K13" i="1"/>
  <c r="T13" i="1" s="1"/>
  <c r="G13" i="1"/>
  <c r="G38" i="1" s="1"/>
  <c r="C13" i="1"/>
  <c r="K12" i="1"/>
  <c r="T12" i="1" s="1"/>
  <c r="G12" i="1"/>
  <c r="G37" i="1" s="1"/>
  <c r="C12" i="1"/>
  <c r="K11" i="1"/>
  <c r="T11" i="1" s="1"/>
  <c r="G11" i="1"/>
  <c r="G36" i="1" s="1"/>
  <c r="C11" i="1"/>
  <c r="K10" i="1"/>
  <c r="T10" i="1" s="1"/>
  <c r="G10" i="1"/>
  <c r="G35" i="1" s="1"/>
  <c r="C10" i="1"/>
  <c r="K9" i="1"/>
  <c r="T9" i="1" s="1"/>
  <c r="C9" i="1"/>
  <c r="K8" i="1"/>
  <c r="E311" i="1" s="1"/>
  <c r="C8" i="1"/>
  <c r="K7" i="1"/>
  <c r="E255" i="1" s="1"/>
  <c r="K6" i="1"/>
  <c r="E199" i="1" s="1"/>
  <c r="K5" i="1"/>
  <c r="E143" i="1" s="1"/>
  <c r="U4" i="1"/>
  <c r="U5" i="1" s="1"/>
  <c r="U6" i="1" s="1"/>
  <c r="U7" i="1" s="1"/>
  <c r="U8" i="1" s="1"/>
  <c r="U9" i="1" s="1"/>
  <c r="U10" i="1" s="1"/>
  <c r="U11" i="1" s="1"/>
  <c r="U12" i="1" s="1"/>
  <c r="U13" i="1" s="1"/>
  <c r="U14" i="1" s="1"/>
  <c r="U15" i="1" s="1"/>
  <c r="U16" i="1" s="1"/>
  <c r="U17" i="1" s="1"/>
  <c r="U18" i="1" s="1"/>
  <c r="U19" i="1" s="1"/>
  <c r="U20" i="1" s="1"/>
  <c r="U21" i="1" s="1"/>
  <c r="U22" i="1" s="1"/>
  <c r="K4" i="1"/>
  <c r="E99" i="1" s="1"/>
  <c r="K3" i="1"/>
  <c r="T3" i="1" s="1"/>
  <c r="L64" i="1" l="1"/>
  <c r="M64" i="1" s="1"/>
  <c r="L207" i="1"/>
  <c r="M207" i="1" s="1"/>
  <c r="J152" i="1"/>
  <c r="K152" i="1" s="1"/>
  <c r="I159" i="1"/>
  <c r="K159" i="1" s="1"/>
  <c r="G65" i="1"/>
  <c r="H65" i="1" s="1"/>
  <c r="G71" i="1"/>
  <c r="H71" i="1" s="1"/>
  <c r="G84" i="1"/>
  <c r="H84" i="1" s="1"/>
  <c r="L105" i="1"/>
  <c r="M105" i="1" s="1"/>
  <c r="J108" i="1"/>
  <c r="K108" i="1" s="1"/>
  <c r="J114" i="1"/>
  <c r="K114" i="1" s="1"/>
  <c r="L170" i="1"/>
  <c r="M170" i="1" s="1"/>
  <c r="J208" i="1"/>
  <c r="K208" i="1" s="1"/>
  <c r="J214" i="1"/>
  <c r="K214" i="1" s="1"/>
  <c r="L228" i="1"/>
  <c r="M228" i="1" s="1"/>
  <c r="A261" i="1"/>
  <c r="A262" i="1" s="1"/>
  <c r="A263" i="1" s="1"/>
  <c r="A264" i="1" s="1"/>
  <c r="A265" i="1" s="1"/>
  <c r="A266" i="1" s="1"/>
  <c r="A267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J279" i="1"/>
  <c r="J283" i="1"/>
  <c r="K283" i="1" s="1"/>
  <c r="G329" i="1"/>
  <c r="H329" i="1" s="1"/>
  <c r="K388" i="1"/>
  <c r="H390" i="1"/>
  <c r="L390" i="1" s="1"/>
  <c r="M390" i="1" s="1"/>
  <c r="L400" i="1"/>
  <c r="M400" i="1" s="1"/>
  <c r="G80" i="1"/>
  <c r="H80" i="1" s="1"/>
  <c r="J83" i="1"/>
  <c r="K83" i="1" s="1"/>
  <c r="J85" i="1"/>
  <c r="K85" i="1" s="1"/>
  <c r="L85" i="1" s="1"/>
  <c r="M85" i="1" s="1"/>
  <c r="J329" i="1"/>
  <c r="K329" i="1" s="1"/>
  <c r="L329" i="1" s="1"/>
  <c r="M329" i="1" s="1"/>
  <c r="G77" i="1"/>
  <c r="H77" i="1" s="1"/>
  <c r="F72" i="1"/>
  <c r="H72" i="1" s="1"/>
  <c r="G82" i="1"/>
  <c r="H82" i="1" s="1"/>
  <c r="J124" i="1"/>
  <c r="K124" i="1" s="1"/>
  <c r="L124" i="1" s="1"/>
  <c r="J123" i="1"/>
  <c r="L129" i="1"/>
  <c r="M129" i="1" s="1"/>
  <c r="J155" i="1"/>
  <c r="K155" i="1" s="1"/>
  <c r="J223" i="1"/>
  <c r="J127" i="1"/>
  <c r="K127" i="1" s="1"/>
  <c r="L226" i="1"/>
  <c r="M226" i="1" s="1"/>
  <c r="J120" i="1"/>
  <c r="K120" i="1" s="1"/>
  <c r="I67" i="1"/>
  <c r="L79" i="1"/>
  <c r="M79" i="1" s="1"/>
  <c r="J86" i="1"/>
  <c r="K86" i="1" s="1"/>
  <c r="L86" i="1" s="1"/>
  <c r="M86" i="1" s="1"/>
  <c r="F110" i="1"/>
  <c r="G110" i="1" s="1"/>
  <c r="H110" i="1" s="1"/>
  <c r="G125" i="1"/>
  <c r="H125" i="1" s="1"/>
  <c r="G226" i="1"/>
  <c r="H226" i="1" s="1"/>
  <c r="G277" i="1"/>
  <c r="H277" i="1" s="1"/>
  <c r="L278" i="1"/>
  <c r="M278" i="1" s="1"/>
  <c r="G282" i="1"/>
  <c r="H282" i="1" s="1"/>
  <c r="L282" i="1" s="1"/>
  <c r="M282" i="1" s="1"/>
  <c r="L285" i="1"/>
  <c r="M285" i="1" s="1"/>
  <c r="L386" i="1"/>
  <c r="M386" i="1" s="1"/>
  <c r="K389" i="1"/>
  <c r="G397" i="1"/>
  <c r="L169" i="1"/>
  <c r="M169" i="1" s="1"/>
  <c r="L84" i="1"/>
  <c r="M84" i="1" s="1"/>
  <c r="L222" i="1"/>
  <c r="M222" i="1" s="1"/>
  <c r="L263" i="1"/>
  <c r="M263" i="1" s="1"/>
  <c r="L166" i="1"/>
  <c r="M166" i="1" s="1"/>
  <c r="L171" i="1"/>
  <c r="M171" i="1" s="1"/>
  <c r="L122" i="1"/>
  <c r="M122" i="1" s="1"/>
  <c r="T5" i="1"/>
  <c r="L107" i="1"/>
  <c r="M107" i="1" s="1"/>
  <c r="O35" i="1"/>
  <c r="K35" i="1"/>
  <c r="N35" i="1"/>
  <c r="J35" i="1"/>
  <c r="M35" i="1"/>
  <c r="I35" i="1"/>
  <c r="L35" i="1"/>
  <c r="H35" i="1"/>
  <c r="L40" i="1"/>
  <c r="H40" i="1"/>
  <c r="O40" i="1"/>
  <c r="K40" i="1"/>
  <c r="N40" i="1"/>
  <c r="J40" i="1"/>
  <c r="M40" i="1"/>
  <c r="I40" i="1"/>
  <c r="M41" i="1"/>
  <c r="I41" i="1"/>
  <c r="L41" i="1"/>
  <c r="H41" i="1"/>
  <c r="O41" i="1"/>
  <c r="K41" i="1"/>
  <c r="N41" i="1"/>
  <c r="J41" i="1"/>
  <c r="N46" i="1"/>
  <c r="J46" i="1"/>
  <c r="M46" i="1"/>
  <c r="I46" i="1"/>
  <c r="L46" i="1"/>
  <c r="H46" i="1"/>
  <c r="O46" i="1"/>
  <c r="K46" i="1"/>
  <c r="O39" i="1"/>
  <c r="K39" i="1"/>
  <c r="N39" i="1"/>
  <c r="J39" i="1"/>
  <c r="M39" i="1"/>
  <c r="I39" i="1"/>
  <c r="L39" i="1"/>
  <c r="H39" i="1"/>
  <c r="L44" i="1"/>
  <c r="H44" i="1"/>
  <c r="O44" i="1"/>
  <c r="K44" i="1"/>
  <c r="N44" i="1"/>
  <c r="J44" i="1"/>
  <c r="M44" i="1"/>
  <c r="I44" i="1"/>
  <c r="M45" i="1"/>
  <c r="I45" i="1"/>
  <c r="L45" i="1"/>
  <c r="H45" i="1"/>
  <c r="O45" i="1"/>
  <c r="K45" i="1"/>
  <c r="N45" i="1"/>
  <c r="J45" i="1"/>
  <c r="H66" i="1"/>
  <c r="N38" i="1"/>
  <c r="J38" i="1"/>
  <c r="M38" i="1"/>
  <c r="I38" i="1"/>
  <c r="L38" i="1"/>
  <c r="H38" i="1"/>
  <c r="O38" i="1"/>
  <c r="K38" i="1"/>
  <c r="O43" i="1"/>
  <c r="K43" i="1"/>
  <c r="N43" i="1"/>
  <c r="J43" i="1"/>
  <c r="M43" i="1"/>
  <c r="I43" i="1"/>
  <c r="L43" i="1"/>
  <c r="H43" i="1"/>
  <c r="L36" i="1"/>
  <c r="H36" i="1"/>
  <c r="O36" i="1"/>
  <c r="K36" i="1"/>
  <c r="N36" i="1"/>
  <c r="J36" i="1"/>
  <c r="M36" i="1"/>
  <c r="I36" i="1"/>
  <c r="M37" i="1"/>
  <c r="I37" i="1"/>
  <c r="L37" i="1"/>
  <c r="H37" i="1"/>
  <c r="O37" i="1"/>
  <c r="K37" i="1"/>
  <c r="N37" i="1"/>
  <c r="J37" i="1"/>
  <c r="N42" i="1"/>
  <c r="J42" i="1"/>
  <c r="M42" i="1"/>
  <c r="I42" i="1"/>
  <c r="L42" i="1"/>
  <c r="H42" i="1"/>
  <c r="O42" i="1"/>
  <c r="K42" i="1"/>
  <c r="O47" i="1"/>
  <c r="K47" i="1"/>
  <c r="N47" i="1"/>
  <c r="J47" i="1"/>
  <c r="M47" i="1"/>
  <c r="I47" i="1"/>
  <c r="L47" i="1"/>
  <c r="H47" i="1"/>
  <c r="A62" i="1"/>
  <c r="J63" i="1"/>
  <c r="K63" i="1" s="1"/>
  <c r="L63" i="1" s="1"/>
  <c r="M63" i="1" s="1"/>
  <c r="J65" i="1"/>
  <c r="K65" i="1" s="1"/>
  <c r="G68" i="1"/>
  <c r="J71" i="1"/>
  <c r="K71" i="1" s="1"/>
  <c r="L71" i="1" s="1"/>
  <c r="M71" i="1" s="1"/>
  <c r="J80" i="1"/>
  <c r="K80" i="1" s="1"/>
  <c r="L80" i="1" s="1"/>
  <c r="M80" i="1" s="1"/>
  <c r="G83" i="1"/>
  <c r="H83" i="1" s="1"/>
  <c r="L83" i="1" s="1"/>
  <c r="M83" i="1" s="1"/>
  <c r="J117" i="1"/>
  <c r="K117" i="1" s="1"/>
  <c r="G75" i="1"/>
  <c r="H75" i="1" s="1"/>
  <c r="G78" i="1"/>
  <c r="H78" i="1" s="1"/>
  <c r="G118" i="1"/>
  <c r="H118" i="1" s="1"/>
  <c r="L149" i="1"/>
  <c r="M149" i="1" s="1"/>
  <c r="L151" i="1"/>
  <c r="M151" i="1" s="1"/>
  <c r="E56" i="1"/>
  <c r="J81" i="1" s="1"/>
  <c r="K81" i="1" s="1"/>
  <c r="L81" i="1" s="1"/>
  <c r="K70" i="1"/>
  <c r="L70" i="1" s="1"/>
  <c r="M70" i="1" s="1"/>
  <c r="G74" i="1"/>
  <c r="H74" i="1" s="1"/>
  <c r="H111" i="1"/>
  <c r="G112" i="1"/>
  <c r="H112" i="1" s="1"/>
  <c r="A280" i="1"/>
  <c r="A281" i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T4" i="1"/>
  <c r="J280" i="1"/>
  <c r="K280" i="1" s="1"/>
  <c r="L280" i="1" s="1"/>
  <c r="J276" i="1"/>
  <c r="K276" i="1" s="1"/>
  <c r="J220" i="1"/>
  <c r="K220" i="1" s="1"/>
  <c r="J217" i="1"/>
  <c r="K217" i="1" s="1"/>
  <c r="T7" i="1"/>
  <c r="T8" i="1"/>
  <c r="T6" i="1"/>
  <c r="L62" i="1"/>
  <c r="M62" i="1" s="1"/>
  <c r="E365" i="1" s="1"/>
  <c r="F67" i="1"/>
  <c r="G67" i="1" s="1"/>
  <c r="H67" i="1" s="1"/>
  <c r="J68" i="1"/>
  <c r="I72" i="1"/>
  <c r="K72" i="1" s="1"/>
  <c r="L72" i="1" s="1"/>
  <c r="M72" i="1" s="1"/>
  <c r="J82" i="1"/>
  <c r="K82" i="1" s="1"/>
  <c r="H211" i="1"/>
  <c r="G212" i="1"/>
  <c r="H212" i="1" s="1"/>
  <c r="I110" i="1"/>
  <c r="J110" i="1" s="1"/>
  <c r="K110" i="1" s="1"/>
  <c r="L110" i="1" s="1"/>
  <c r="M110" i="1" s="1"/>
  <c r="G114" i="1"/>
  <c r="H114" i="1" s="1"/>
  <c r="L114" i="1" s="1"/>
  <c r="M114" i="1" s="1"/>
  <c r="G117" i="1"/>
  <c r="H117" i="1" s="1"/>
  <c r="G120" i="1"/>
  <c r="H120" i="1" s="1"/>
  <c r="J125" i="1"/>
  <c r="K125" i="1" s="1"/>
  <c r="L125" i="1" s="1"/>
  <c r="M125" i="1" s="1"/>
  <c r="G127" i="1"/>
  <c r="H127" i="1" s="1"/>
  <c r="L127" i="1" s="1"/>
  <c r="M127" i="1" s="1"/>
  <c r="G173" i="1"/>
  <c r="H173" i="1" s="1"/>
  <c r="G164" i="1"/>
  <c r="H164" i="1" s="1"/>
  <c r="J168" i="1"/>
  <c r="K168" i="1" s="1"/>
  <c r="L168" i="1" s="1"/>
  <c r="J167" i="1"/>
  <c r="K167" i="1" s="1"/>
  <c r="L167" i="1" s="1"/>
  <c r="M167" i="1" s="1"/>
  <c r="L190" i="1"/>
  <c r="M190" i="1"/>
  <c r="I154" i="1"/>
  <c r="J154" i="1" s="1"/>
  <c r="K154" i="1" s="1"/>
  <c r="L154" i="1" s="1"/>
  <c r="M154" i="1" s="1"/>
  <c r="J161" i="1"/>
  <c r="K161" i="1" s="1"/>
  <c r="J165" i="1"/>
  <c r="K165" i="1" s="1"/>
  <c r="L172" i="1"/>
  <c r="M172" i="1" s="1"/>
  <c r="J173" i="1"/>
  <c r="K173" i="1" s="1"/>
  <c r="L205" i="1"/>
  <c r="M205" i="1" s="1"/>
  <c r="A105" i="1"/>
  <c r="A106" i="1" s="1"/>
  <c r="A107" i="1" s="1"/>
  <c r="A108" i="1" s="1"/>
  <c r="A109" i="1" s="1"/>
  <c r="A110" i="1" s="1"/>
  <c r="A111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J106" i="1"/>
  <c r="K106" i="1" s="1"/>
  <c r="J111" i="1"/>
  <c r="I115" i="1"/>
  <c r="K115" i="1" s="1"/>
  <c r="L115" i="1" s="1"/>
  <c r="M115" i="1" s="1"/>
  <c r="J118" i="1"/>
  <c r="K118" i="1" s="1"/>
  <c r="L118" i="1" s="1"/>
  <c r="M118" i="1" s="1"/>
  <c r="J121" i="1"/>
  <c r="K121" i="1" s="1"/>
  <c r="I123" i="1"/>
  <c r="K123" i="1" s="1"/>
  <c r="G126" i="1"/>
  <c r="H126" i="1" s="1"/>
  <c r="L126" i="1" s="1"/>
  <c r="M126" i="1" s="1"/>
  <c r="G161" i="1"/>
  <c r="H161" i="1" s="1"/>
  <c r="G158" i="1"/>
  <c r="H158" i="1" s="1"/>
  <c r="A149" i="1"/>
  <c r="A150" i="1" s="1"/>
  <c r="A151" i="1" s="1"/>
  <c r="A152" i="1" s="1"/>
  <c r="A153" i="1" s="1"/>
  <c r="A154" i="1" s="1"/>
  <c r="A155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J150" i="1"/>
  <c r="K150" i="1" s="1"/>
  <c r="J158" i="1"/>
  <c r="K158" i="1" s="1"/>
  <c r="F159" i="1"/>
  <c r="H159" i="1" s="1"/>
  <c r="L159" i="1" s="1"/>
  <c r="M159" i="1" s="1"/>
  <c r="J162" i="1"/>
  <c r="K162" i="1" s="1"/>
  <c r="L162" i="1" s="1"/>
  <c r="M162" i="1" s="1"/>
  <c r="G217" i="1"/>
  <c r="H217" i="1" s="1"/>
  <c r="G106" i="1"/>
  <c r="H106" i="1" s="1"/>
  <c r="H109" i="1" s="1"/>
  <c r="G108" i="1"/>
  <c r="H108" i="1" s="1"/>
  <c r="G121" i="1"/>
  <c r="H121" i="1" s="1"/>
  <c r="G123" i="1"/>
  <c r="H123" i="1" s="1"/>
  <c r="G150" i="1"/>
  <c r="H150" i="1" s="1"/>
  <c r="H153" i="1" s="1"/>
  <c r="G152" i="1"/>
  <c r="H152" i="1" s="1"/>
  <c r="L152" i="1" s="1"/>
  <c r="M152" i="1" s="1"/>
  <c r="G155" i="1"/>
  <c r="J164" i="1"/>
  <c r="K164" i="1" s="1"/>
  <c r="G165" i="1"/>
  <c r="H165" i="1" s="1"/>
  <c r="G268" i="1"/>
  <c r="H268" i="1" s="1"/>
  <c r="H267" i="1"/>
  <c r="A205" i="1"/>
  <c r="A206" i="1" s="1"/>
  <c r="A207" i="1" s="1"/>
  <c r="A208" i="1" s="1"/>
  <c r="A209" i="1" s="1"/>
  <c r="A210" i="1" s="1"/>
  <c r="A211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J206" i="1"/>
  <c r="K206" i="1" s="1"/>
  <c r="F210" i="1"/>
  <c r="G210" i="1" s="1"/>
  <c r="H210" i="1" s="1"/>
  <c r="J211" i="1"/>
  <c r="I215" i="1"/>
  <c r="K215" i="1" s="1"/>
  <c r="L215" i="1" s="1"/>
  <c r="M215" i="1" s="1"/>
  <c r="J218" i="1"/>
  <c r="K218" i="1" s="1"/>
  <c r="J221" i="1"/>
  <c r="K221" i="1" s="1"/>
  <c r="I223" i="1"/>
  <c r="K223" i="1" s="1"/>
  <c r="J225" i="1"/>
  <c r="K225" i="1" s="1"/>
  <c r="G227" i="1"/>
  <c r="H227" i="1" s="1"/>
  <c r="I279" i="1"/>
  <c r="I271" i="1"/>
  <c r="K271" i="1" s="1"/>
  <c r="L271" i="1" s="1"/>
  <c r="M271" i="1" s="1"/>
  <c r="G273" i="1"/>
  <c r="H273" i="1" s="1"/>
  <c r="G270" i="1"/>
  <c r="H270" i="1" s="1"/>
  <c r="G264" i="1"/>
  <c r="H264" i="1" s="1"/>
  <c r="L264" i="1" s="1"/>
  <c r="M264" i="1" s="1"/>
  <c r="G262" i="1"/>
  <c r="H262" i="1" s="1"/>
  <c r="J274" i="1"/>
  <c r="K274" i="1" s="1"/>
  <c r="L274" i="1" s="1"/>
  <c r="M274" i="1" s="1"/>
  <c r="J267" i="1"/>
  <c r="L261" i="1"/>
  <c r="M261" i="1" s="1"/>
  <c r="J262" i="1"/>
  <c r="K262" i="1" s="1"/>
  <c r="J273" i="1"/>
  <c r="K273" i="1" s="1"/>
  <c r="H388" i="1"/>
  <c r="L388" i="1" s="1"/>
  <c r="H34" i="1" s="1"/>
  <c r="G206" i="1"/>
  <c r="H206" i="1" s="1"/>
  <c r="G208" i="1"/>
  <c r="H208" i="1" s="1"/>
  <c r="G218" i="1"/>
  <c r="H218" i="1" s="1"/>
  <c r="G221" i="1"/>
  <c r="H221" i="1" s="1"/>
  <c r="G223" i="1"/>
  <c r="H223" i="1" s="1"/>
  <c r="J224" i="1"/>
  <c r="K224" i="1" s="1"/>
  <c r="L224" i="1" s="1"/>
  <c r="G225" i="1"/>
  <c r="H225" i="1" s="1"/>
  <c r="J227" i="1"/>
  <c r="K227" i="1" s="1"/>
  <c r="L227" i="1" s="1"/>
  <c r="M227" i="1" s="1"/>
  <c r="J270" i="1"/>
  <c r="K270" i="1" s="1"/>
  <c r="K395" i="1"/>
  <c r="I210" i="1"/>
  <c r="J210" i="1" s="1"/>
  <c r="K210" i="1" s="1"/>
  <c r="G214" i="1"/>
  <c r="H214" i="1" s="1"/>
  <c r="G220" i="1"/>
  <c r="H220" i="1" s="1"/>
  <c r="I335" i="1"/>
  <c r="I327" i="1"/>
  <c r="K327" i="1" s="1"/>
  <c r="A317" i="1"/>
  <c r="A318" i="1" s="1"/>
  <c r="A319" i="1" s="1"/>
  <c r="A320" i="1" s="1"/>
  <c r="A321" i="1" s="1"/>
  <c r="A322" i="1" s="1"/>
  <c r="A323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F327" i="1"/>
  <c r="H327" i="1" s="1"/>
  <c r="F266" i="1"/>
  <c r="G266" i="1" s="1"/>
  <c r="H266" i="1" s="1"/>
  <c r="J277" i="1"/>
  <c r="K277" i="1" s="1"/>
  <c r="J281" i="1"/>
  <c r="K281" i="1" s="1"/>
  <c r="L281" i="1" s="1"/>
  <c r="M281" i="1" s="1"/>
  <c r="G283" i="1"/>
  <c r="H283" i="1" s="1"/>
  <c r="L283" i="1" s="1"/>
  <c r="M283" i="1" s="1"/>
  <c r="G339" i="1"/>
  <c r="H339" i="1" s="1"/>
  <c r="J337" i="1"/>
  <c r="K337" i="1" s="1"/>
  <c r="L337" i="1" s="1"/>
  <c r="M337" i="1" s="1"/>
  <c r="J333" i="1"/>
  <c r="K333" i="1" s="1"/>
  <c r="J339" i="1"/>
  <c r="K339" i="1" s="1"/>
  <c r="G337" i="1"/>
  <c r="H337" i="1" s="1"/>
  <c r="J336" i="1"/>
  <c r="K336" i="1" s="1"/>
  <c r="L336" i="1" s="1"/>
  <c r="G335" i="1"/>
  <c r="H335" i="1" s="1"/>
  <c r="G333" i="1"/>
  <c r="H333" i="1" s="1"/>
  <c r="I322" i="1"/>
  <c r="J322" i="1" s="1"/>
  <c r="K322" i="1" s="1"/>
  <c r="J326" i="1"/>
  <c r="K326" i="1" s="1"/>
  <c r="J332" i="1"/>
  <c r="K332" i="1" s="1"/>
  <c r="J338" i="1"/>
  <c r="K338" i="1" s="1"/>
  <c r="L340" i="1"/>
  <c r="M340" i="1" s="1"/>
  <c r="L341" i="1"/>
  <c r="M341" i="1" s="1"/>
  <c r="L385" i="1"/>
  <c r="M385" i="1" s="1"/>
  <c r="L387" i="1"/>
  <c r="M387" i="1" s="1"/>
  <c r="K404" i="1"/>
  <c r="L404" i="1" s="1"/>
  <c r="M404" i="1" s="1"/>
  <c r="J330" i="1"/>
  <c r="K330" i="1" s="1"/>
  <c r="G322" i="1"/>
  <c r="H322" i="1" s="1"/>
  <c r="I266" i="1"/>
  <c r="J266" i="1" s="1"/>
  <c r="K266" i="1" s="1"/>
  <c r="G276" i="1"/>
  <c r="H276" i="1" s="1"/>
  <c r="J323" i="1"/>
  <c r="G326" i="1"/>
  <c r="H326" i="1" s="1"/>
  <c r="G332" i="1"/>
  <c r="H332" i="1" s="1"/>
  <c r="J335" i="1"/>
  <c r="K335" i="1" s="1"/>
  <c r="G338" i="1"/>
  <c r="H338" i="1" s="1"/>
  <c r="G391" i="1"/>
  <c r="H391" i="1" s="1"/>
  <c r="L391" i="1" s="1"/>
  <c r="M391" i="1" s="1"/>
  <c r="G396" i="1"/>
  <c r="G318" i="1"/>
  <c r="H318" i="1" s="1"/>
  <c r="H321" i="1" s="1"/>
  <c r="G320" i="1"/>
  <c r="H320" i="1" s="1"/>
  <c r="G330" i="1"/>
  <c r="H330" i="1" s="1"/>
  <c r="F389" i="1"/>
  <c r="H389" i="1" s="1"/>
  <c r="L389" i="1" s="1"/>
  <c r="M389" i="1" s="1"/>
  <c r="J318" i="1"/>
  <c r="K318" i="1" s="1"/>
  <c r="J320" i="1"/>
  <c r="K320" i="1" s="1"/>
  <c r="L320" i="1" s="1"/>
  <c r="M320" i="1" s="1"/>
  <c r="G323" i="1"/>
  <c r="L208" i="1" l="1"/>
  <c r="M208" i="1" s="1"/>
  <c r="L270" i="1"/>
  <c r="M270" i="1" s="1"/>
  <c r="L120" i="1"/>
  <c r="M120" i="1" s="1"/>
  <c r="K279" i="1"/>
  <c r="L279" i="1" s="1"/>
  <c r="M279" i="1" s="1"/>
  <c r="L221" i="1"/>
  <c r="M221" i="1" s="1"/>
  <c r="L108" i="1"/>
  <c r="M108" i="1" s="1"/>
  <c r="L277" i="1"/>
  <c r="M277" i="1" s="1"/>
  <c r="L214" i="1"/>
  <c r="M214" i="1" s="1"/>
  <c r="L82" i="1"/>
  <c r="M82" i="1" s="1"/>
  <c r="J156" i="1"/>
  <c r="K156" i="1" s="1"/>
  <c r="L65" i="1"/>
  <c r="M65" i="1" s="1"/>
  <c r="L335" i="1"/>
  <c r="M335" i="1" s="1"/>
  <c r="L327" i="1"/>
  <c r="M327" i="1" s="1"/>
  <c r="L123" i="1"/>
  <c r="M123" i="1" s="1"/>
  <c r="H397" i="1"/>
  <c r="J397" i="1"/>
  <c r="K397" i="1" s="1"/>
  <c r="L397" i="1" s="1"/>
  <c r="M397" i="1" s="1"/>
  <c r="L223" i="1"/>
  <c r="M223" i="1" s="1"/>
  <c r="H265" i="1"/>
  <c r="H272" i="1" s="1"/>
  <c r="H209" i="1"/>
  <c r="H216" i="1" s="1"/>
  <c r="L165" i="1"/>
  <c r="M165" i="1" s="1"/>
  <c r="J78" i="1"/>
  <c r="K78" i="1" s="1"/>
  <c r="L78" i="1" s="1"/>
  <c r="M78" i="1" s="1"/>
  <c r="H116" i="1"/>
  <c r="K323" i="1"/>
  <c r="J324" i="1"/>
  <c r="K324" i="1" s="1"/>
  <c r="J212" i="1"/>
  <c r="K212" i="1" s="1"/>
  <c r="L212" i="1" s="1"/>
  <c r="M212" i="1" s="1"/>
  <c r="K211" i="1"/>
  <c r="L211" i="1" s="1"/>
  <c r="M211" i="1" s="1"/>
  <c r="L106" i="1"/>
  <c r="M106" i="1" s="1"/>
  <c r="K109" i="1"/>
  <c r="G69" i="1"/>
  <c r="H69" i="1" s="1"/>
  <c r="H68" i="1"/>
  <c r="K66" i="1"/>
  <c r="J67" i="1"/>
  <c r="K67" i="1" s="1"/>
  <c r="L67" i="1" s="1"/>
  <c r="M67" i="1" s="1"/>
  <c r="L318" i="1"/>
  <c r="M318" i="1" s="1"/>
  <c r="K321" i="1"/>
  <c r="L330" i="1"/>
  <c r="M330" i="1" s="1"/>
  <c r="L332" i="1"/>
  <c r="M332" i="1" s="1"/>
  <c r="L339" i="1"/>
  <c r="M339" i="1" s="1"/>
  <c r="L158" i="1"/>
  <c r="M158" i="1" s="1"/>
  <c r="L161" i="1"/>
  <c r="M161" i="1" s="1"/>
  <c r="J396" i="1"/>
  <c r="K396" i="1" s="1"/>
  <c r="H396" i="1"/>
  <c r="L266" i="1"/>
  <c r="M266" i="1" s="1"/>
  <c r="L326" i="1"/>
  <c r="M326" i="1" s="1"/>
  <c r="L333" i="1"/>
  <c r="M333" i="1" s="1"/>
  <c r="L210" i="1"/>
  <c r="M210" i="1" s="1"/>
  <c r="L273" i="1"/>
  <c r="M273" i="1" s="1"/>
  <c r="J268" i="1"/>
  <c r="K268" i="1" s="1"/>
  <c r="L268" i="1" s="1"/>
  <c r="M268" i="1" s="1"/>
  <c r="K267" i="1"/>
  <c r="L267" i="1" s="1"/>
  <c r="M267" i="1" s="1"/>
  <c r="L218" i="1"/>
  <c r="M218" i="1" s="1"/>
  <c r="L206" i="1"/>
  <c r="M206" i="1" s="1"/>
  <c r="K209" i="1"/>
  <c r="L164" i="1"/>
  <c r="M164" i="1" s="1"/>
  <c r="L150" i="1"/>
  <c r="M150" i="1" s="1"/>
  <c r="K153" i="1"/>
  <c r="L173" i="1"/>
  <c r="M173" i="1" s="1"/>
  <c r="L217" i="1"/>
  <c r="M217" i="1" s="1"/>
  <c r="J77" i="1"/>
  <c r="K77" i="1" s="1"/>
  <c r="J75" i="1"/>
  <c r="K75" i="1" s="1"/>
  <c r="L75" i="1" s="1"/>
  <c r="M75" i="1" s="1"/>
  <c r="L220" i="1"/>
  <c r="M220" i="1" s="1"/>
  <c r="L276" i="1"/>
  <c r="M276" i="1" s="1"/>
  <c r="J74" i="1"/>
  <c r="K74" i="1" s="1"/>
  <c r="L74" i="1" s="1"/>
  <c r="M74" i="1" s="1"/>
  <c r="G324" i="1"/>
  <c r="H324" i="1" s="1"/>
  <c r="H323" i="1"/>
  <c r="H328" i="1" s="1"/>
  <c r="A337" i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36" i="1"/>
  <c r="L395" i="1"/>
  <c r="J34" i="1" s="1"/>
  <c r="K398" i="1"/>
  <c r="M388" i="1"/>
  <c r="I34" i="1" s="1"/>
  <c r="H395" i="1"/>
  <c r="L262" i="1"/>
  <c r="M262" i="1" s="1"/>
  <c r="K265" i="1"/>
  <c r="L225" i="1"/>
  <c r="M225" i="1" s="1"/>
  <c r="A225" i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24" i="1"/>
  <c r="G156" i="1"/>
  <c r="H156" i="1" s="1"/>
  <c r="H155" i="1"/>
  <c r="L155" i="1" s="1"/>
  <c r="M155" i="1" s="1"/>
  <c r="J112" i="1"/>
  <c r="K112" i="1" s="1"/>
  <c r="L112" i="1" s="1"/>
  <c r="K111" i="1"/>
  <c r="L111" i="1" s="1"/>
  <c r="M111" i="1" s="1"/>
  <c r="L338" i="1"/>
  <c r="M338" i="1" s="1"/>
  <c r="L322" i="1"/>
  <c r="M322" i="1" s="1"/>
  <c r="L121" i="1"/>
  <c r="M121" i="1" s="1"/>
  <c r="J69" i="1"/>
  <c r="K69" i="1" s="1"/>
  <c r="K68" i="1"/>
  <c r="L117" i="1"/>
  <c r="M117" i="1" s="1"/>
  <c r="A63" i="1"/>
  <c r="L156" i="1" l="1"/>
  <c r="M156" i="1" s="1"/>
  <c r="H73" i="1"/>
  <c r="L69" i="1"/>
  <c r="M69" i="1" s="1"/>
  <c r="L68" i="1"/>
  <c r="M68" i="1" s="1"/>
  <c r="A64" i="1"/>
  <c r="M395" i="1"/>
  <c r="K34" i="1" s="1"/>
  <c r="H398" i="1"/>
  <c r="K116" i="1"/>
  <c r="L109" i="1"/>
  <c r="M109" i="1" s="1"/>
  <c r="L324" i="1"/>
  <c r="M324" i="1" s="1"/>
  <c r="L323" i="1"/>
  <c r="M323" i="1" s="1"/>
  <c r="H160" i="1"/>
  <c r="K272" i="1"/>
  <c r="L265" i="1"/>
  <c r="M265" i="1" s="1"/>
  <c r="L398" i="1"/>
  <c r="K406" i="1"/>
  <c r="L77" i="1"/>
  <c r="M77" i="1" s="1"/>
  <c r="K216" i="1"/>
  <c r="L209" i="1"/>
  <c r="M209" i="1" s="1"/>
  <c r="L396" i="1"/>
  <c r="M396" i="1" s="1"/>
  <c r="L321" i="1"/>
  <c r="M321" i="1" s="1"/>
  <c r="K328" i="1"/>
  <c r="K73" i="1"/>
  <c r="L66" i="1"/>
  <c r="M66" i="1" s="1"/>
  <c r="H275" i="1"/>
  <c r="H219" i="1"/>
  <c r="H331" i="1"/>
  <c r="H76" i="1"/>
  <c r="K160" i="1"/>
  <c r="L153" i="1"/>
  <c r="M153" i="1" s="1"/>
  <c r="H119" i="1"/>
  <c r="K163" i="1" l="1"/>
  <c r="L160" i="1"/>
  <c r="M398" i="1"/>
  <c r="M34" i="1" s="1"/>
  <c r="H406" i="1"/>
  <c r="L406" i="1" s="1"/>
  <c r="H287" i="1"/>
  <c r="P34" i="1"/>
  <c r="L34" i="1"/>
  <c r="H131" i="1"/>
  <c r="H231" i="1"/>
  <c r="L73" i="1"/>
  <c r="M73" i="1" s="1"/>
  <c r="K76" i="1"/>
  <c r="K275" i="1"/>
  <c r="L272" i="1"/>
  <c r="M272" i="1" s="1"/>
  <c r="M160" i="1"/>
  <c r="H163" i="1"/>
  <c r="H88" i="1"/>
  <c r="H343" i="1"/>
  <c r="L328" i="1"/>
  <c r="K331" i="1"/>
  <c r="K219" i="1"/>
  <c r="L216" i="1"/>
  <c r="M216" i="1" s="1"/>
  <c r="K407" i="1"/>
  <c r="L116" i="1"/>
  <c r="M116" i="1" s="1"/>
  <c r="K119" i="1"/>
  <c r="A65" i="1"/>
  <c r="A66" i="1" l="1"/>
  <c r="L331" i="1"/>
  <c r="M331" i="1" s="1"/>
  <c r="K343" i="1"/>
  <c r="H89" i="1"/>
  <c r="H90" i="1" s="1"/>
  <c r="H91" i="1" s="1"/>
  <c r="L91" i="1" s="1"/>
  <c r="M91" i="1" s="1"/>
  <c r="H232" i="1"/>
  <c r="H233" i="1" s="1"/>
  <c r="H234" i="1" s="1"/>
  <c r="L234" i="1" s="1"/>
  <c r="M234" i="1" s="1"/>
  <c r="H407" i="1"/>
  <c r="L407" i="1" s="1"/>
  <c r="M406" i="1"/>
  <c r="L119" i="1"/>
  <c r="K131" i="1"/>
  <c r="K408" i="1"/>
  <c r="P33" i="1"/>
  <c r="M328" i="1"/>
  <c r="L275" i="1"/>
  <c r="K287" i="1"/>
  <c r="H344" i="1"/>
  <c r="H187" i="1"/>
  <c r="L76" i="1"/>
  <c r="K88" i="1"/>
  <c r="H132" i="1"/>
  <c r="H133" i="1" s="1"/>
  <c r="H134" i="1" s="1"/>
  <c r="L134" i="1" s="1"/>
  <c r="M134" i="1" s="1"/>
  <c r="H288" i="1"/>
  <c r="H289" i="1" s="1"/>
  <c r="H290" i="1" s="1"/>
  <c r="L290" i="1" s="1"/>
  <c r="M290" i="1" s="1"/>
  <c r="L219" i="1"/>
  <c r="K231" i="1"/>
  <c r="L163" i="1"/>
  <c r="P30" i="1" s="1"/>
  <c r="K187" i="1"/>
  <c r="H291" i="1" l="1"/>
  <c r="CB32" i="1"/>
  <c r="P31" i="1"/>
  <c r="M219" i="1"/>
  <c r="H135" i="1"/>
  <c r="CB29" i="1"/>
  <c r="P28" i="1"/>
  <c r="M76" i="1"/>
  <c r="P32" i="1"/>
  <c r="M275" i="1"/>
  <c r="K132" i="1"/>
  <c r="L132" i="1" s="1"/>
  <c r="M132" i="1" s="1"/>
  <c r="L131" i="1"/>
  <c r="M131" i="1" s="1"/>
  <c r="H408" i="1"/>
  <c r="H409" i="1" s="1"/>
  <c r="H92" i="1"/>
  <c r="CB28" i="1"/>
  <c r="K188" i="1"/>
  <c r="K189" i="1" s="1"/>
  <c r="L187" i="1"/>
  <c r="M187" i="1" s="1"/>
  <c r="H188" i="1"/>
  <c r="H189" i="1" s="1"/>
  <c r="H345" i="1"/>
  <c r="H346" i="1" s="1"/>
  <c r="P29" i="1"/>
  <c r="M119" i="1"/>
  <c r="M163" i="1"/>
  <c r="H235" i="1"/>
  <c r="CB31" i="1"/>
  <c r="L231" i="1"/>
  <c r="M231" i="1" s="1"/>
  <c r="K232" i="1"/>
  <c r="L232" i="1" s="1"/>
  <c r="M232" i="1" s="1"/>
  <c r="L88" i="1"/>
  <c r="M88" i="1" s="1"/>
  <c r="K89" i="1"/>
  <c r="L89" i="1" s="1"/>
  <c r="M89" i="1" s="1"/>
  <c r="L287" i="1"/>
  <c r="M287" i="1" s="1"/>
  <c r="K288" i="1"/>
  <c r="L288" i="1" s="1"/>
  <c r="M288" i="1" s="1"/>
  <c r="K410" i="1"/>
  <c r="L408" i="1"/>
  <c r="M407" i="1"/>
  <c r="K344" i="1"/>
  <c r="L344" i="1" s="1"/>
  <c r="M344" i="1" s="1"/>
  <c r="L343" i="1"/>
  <c r="M343" i="1" s="1"/>
  <c r="A67" i="1"/>
  <c r="L346" i="1" l="1"/>
  <c r="M346" i="1" s="1"/>
  <c r="M409" i="1"/>
  <c r="L409" i="1"/>
  <c r="K289" i="1"/>
  <c r="L289" i="1" s="1"/>
  <c r="M289" i="1" s="1"/>
  <c r="CC29" i="1"/>
  <c r="K90" i="1"/>
  <c r="L90" i="1" s="1"/>
  <c r="M90" i="1" s="1"/>
  <c r="K345" i="1"/>
  <c r="L345" i="1" s="1"/>
  <c r="M345" i="1" s="1"/>
  <c r="K233" i="1"/>
  <c r="H347" i="1"/>
  <c r="CB33" i="1"/>
  <c r="CC33" i="1" s="1"/>
  <c r="CC32" i="1"/>
  <c r="CC31" i="1"/>
  <c r="A68" i="1"/>
  <c r="K92" i="1"/>
  <c r="L92" i="1" s="1"/>
  <c r="M92" i="1" s="1"/>
  <c r="H191" i="1"/>
  <c r="CB30" i="1"/>
  <c r="CC30" i="1" s="1"/>
  <c r="L188" i="1"/>
  <c r="M188" i="1" s="1"/>
  <c r="K133" i="1"/>
  <c r="L189" i="1"/>
  <c r="M189" i="1" s="1"/>
  <c r="K191" i="1"/>
  <c r="H410" i="1"/>
  <c r="M408" i="1"/>
  <c r="CB34" i="1"/>
  <c r="CC34" i="1" s="1"/>
  <c r="CC28" i="1"/>
  <c r="K291" i="1" l="1"/>
  <c r="L291" i="1" s="1"/>
  <c r="M291" i="1" s="1"/>
  <c r="K347" i="1"/>
  <c r="L347" i="1" s="1"/>
  <c r="M347" i="1" s="1"/>
  <c r="L191" i="1"/>
  <c r="M191" i="1" s="1"/>
  <c r="L410" i="1"/>
  <c r="N34" i="1" s="1"/>
  <c r="L233" i="1"/>
  <c r="M233" i="1" s="1"/>
  <c r="K235" i="1"/>
  <c r="L235" i="1" s="1"/>
  <c r="M235" i="1" s="1"/>
  <c r="A71" i="1"/>
  <c r="K135" i="1"/>
  <c r="L135" i="1" s="1"/>
  <c r="M135" i="1" s="1"/>
  <c r="L133" i="1"/>
  <c r="M133" i="1" s="1"/>
  <c r="M410" i="1" l="1"/>
  <c r="O34" i="1" s="1"/>
  <c r="A72" i="1"/>
  <c r="A73" i="1" l="1"/>
  <c r="A74" i="1" s="1"/>
  <c r="A75" i="1" s="1"/>
  <c r="A76" i="1" s="1"/>
  <c r="A77" i="1" s="1"/>
  <c r="A78" i="1" s="1"/>
  <c r="A79" i="1" s="1"/>
  <c r="A80" i="1" s="1"/>
  <c r="A82" i="1" l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81" i="1"/>
  <c r="N31" i="1" l="1"/>
  <c r="M30" i="1"/>
  <c r="N33" i="1"/>
  <c r="N29" i="1"/>
  <c r="O33" i="1"/>
  <c r="M32" i="1"/>
  <c r="O29" i="1"/>
  <c r="O31" i="1"/>
  <c r="M28" i="1"/>
  <c r="J29" i="1"/>
  <c r="O30" i="1"/>
  <c r="L33" i="1"/>
  <c r="N32" i="1"/>
  <c r="J32" i="1"/>
  <c r="M33" i="1"/>
  <c r="H29" i="1"/>
  <c r="I32" i="1"/>
  <c r="M29" i="1"/>
  <c r="L32" i="1"/>
  <c r="K29" i="1"/>
  <c r="I33" i="1"/>
  <c r="K30" i="1"/>
  <c r="H28" i="1"/>
  <c r="L31" i="1"/>
  <c r="I28" i="1"/>
  <c r="I31" i="1"/>
  <c r="J33" i="1"/>
  <c r="N28" i="1"/>
  <c r="O32" i="1"/>
  <c r="J28" i="1"/>
  <c r="K33" i="1"/>
  <c r="J31" i="1"/>
  <c r="O28" i="1"/>
  <c r="K32" i="1"/>
  <c r="M31" i="1"/>
  <c r="L28" i="1"/>
  <c r="H32" i="1"/>
  <c r="I30" i="1"/>
  <c r="N30" i="1"/>
  <c r="J30" i="1"/>
  <c r="H30" i="1"/>
  <c r="K28" i="1"/>
  <c r="L30" i="1"/>
  <c r="K31" i="1"/>
  <c r="I29" i="1"/>
  <c r="H31" i="1"/>
  <c r="H33" i="1"/>
  <c r="L29" i="1"/>
</calcChain>
</file>

<file path=xl/comments1.xml><?xml version="1.0" encoding="utf-8"?>
<comments xmlns="http://schemas.openxmlformats.org/spreadsheetml/2006/main">
  <authors>
    <author>Philip Wormwell</author>
  </authors>
  <commentList>
    <comment ref="I64" authorId="0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Fixed tax change</t>
        </r>
      </text>
    </comment>
    <comment ref="I65" authorId="0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ICM + tax change if any</t>
        </r>
      </text>
    </comment>
    <comment ref="F80" authorId="0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Was 0.0007 in OEB model</t>
        </r>
      </text>
    </comment>
    <comment ref="I107" authorId="0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Fixed tax change</t>
        </r>
      </text>
    </comment>
    <comment ref="I108" authorId="0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ICM + tax change if any</t>
        </r>
      </text>
    </comment>
    <comment ref="F123" authorId="0">
      <text>
        <r>
          <rPr>
            <b/>
            <sz val="8"/>
            <color indexed="81"/>
            <rFont val="Tahoma"/>
            <family val="2"/>
          </rPr>
          <t>Philip Wormwell:</t>
        </r>
        <r>
          <rPr>
            <sz val="8"/>
            <color indexed="81"/>
            <rFont val="Tahoma"/>
            <family val="2"/>
          </rPr>
          <t xml:space="preserve">
Was 0.0007 in OEB model</t>
        </r>
      </text>
    </comment>
  </commentList>
</comments>
</file>

<file path=xl/sharedStrings.xml><?xml version="1.0" encoding="utf-8"?>
<sst xmlns="http://schemas.openxmlformats.org/spreadsheetml/2006/main" count="680" uniqueCount="106">
  <si>
    <t>Table 1</t>
  </si>
  <si>
    <r>
      <t xml:space="preserve">RATE CLASSES / CATEGORIES 
</t>
    </r>
    <r>
      <rPr>
        <b/>
        <i/>
        <sz val="9"/>
        <rFont val="Arial"/>
        <family val="2"/>
      </rPr>
      <t>(eg: Residential TOU, Residential Retailer)</t>
    </r>
  </si>
  <si>
    <t>Units</t>
  </si>
  <si>
    <t>RPP?
Non-RPP Retailer?
Non-RPP
Other?</t>
  </si>
  <si>
    <r>
      <t xml:space="preserve">OCEB Applicable?
</t>
    </r>
    <r>
      <rPr>
        <b/>
        <i/>
        <sz val="8"/>
        <color rgb="FFFF0000"/>
        <rFont val="Arial"/>
        <family val="2"/>
      </rPr>
      <t>Prior to Jan 1/16</t>
    </r>
  </si>
  <si>
    <r>
      <t xml:space="preserve">Current 
Loss Factor 
</t>
    </r>
    <r>
      <rPr>
        <b/>
        <sz val="8"/>
        <rFont val="Arial"/>
        <family val="2"/>
      </rPr>
      <t>(eg: 1.0351)</t>
    </r>
  </si>
  <si>
    <t>Proposed Loss Factor</t>
  </si>
  <si>
    <t>Consumption (kWh)</t>
  </si>
  <si>
    <t>Demand kW
(if applicable)</t>
  </si>
  <si>
    <r>
      <rPr>
        <b/>
        <sz val="10"/>
        <rFont val="Arial Black"/>
        <family val="2"/>
      </rPr>
      <t>RTSR</t>
    </r>
    <r>
      <rPr>
        <b/>
        <sz val="10"/>
        <rFont val="Arial"/>
        <family val="2"/>
      </rPr>
      <t xml:space="preserve">
Demand or 
Demand-Interval?</t>
    </r>
  </si>
  <si>
    <t>RESIDENTIAL SERVICE CLASSIFICATION</t>
  </si>
  <si>
    <t>kWh</t>
  </si>
  <si>
    <t>RPP</t>
  </si>
  <si>
    <t>Yes</t>
  </si>
  <si>
    <t>N/A</t>
  </si>
  <si>
    <t>GENERAL SERVICE LESS THAN 50 KW SERVICE CLASSIFICATION</t>
  </si>
  <si>
    <t>GENERAL SERVICE 50 TO 4,999 KW SERVICE CLASSIFICATION</t>
  </si>
  <si>
    <t>kW</t>
  </si>
  <si>
    <t>Non-RPP (Other)</t>
  </si>
  <si>
    <t>No</t>
  </si>
  <si>
    <t>DEMAND</t>
  </si>
  <si>
    <t>UNMETERED SCATTERED LOAD SERVICE CLASSIFICATION</t>
  </si>
  <si>
    <t>STREET LIGHTING SERVICE CLASSIFICATION</t>
  </si>
  <si>
    <t>10th Percentile</t>
  </si>
  <si>
    <t>Non-RPP (Retailer)</t>
  </si>
  <si>
    <t>Add additional scenarios if required</t>
  </si>
  <si>
    <t>Table 2</t>
  </si>
  <si>
    <t>Sub-Total</t>
  </si>
  <si>
    <t>Total</t>
  </si>
  <si>
    <t>Special (see OEB IR 4e)</t>
  </si>
  <si>
    <t>Global Adjustment Rate Rider</t>
  </si>
  <si>
    <t>Two Year</t>
  </si>
  <si>
    <t>One Year</t>
  </si>
  <si>
    <t>A</t>
  </si>
  <si>
    <t>B</t>
  </si>
  <si>
    <t>C</t>
  </si>
  <si>
    <t>A + B + C</t>
  </si>
  <si>
    <t>Change in C / Current Total exc. OCEB</t>
  </si>
  <si>
    <t>$</t>
  </si>
  <si>
    <t>%</t>
  </si>
  <si>
    <t xml:space="preserve">C </t>
  </si>
  <si>
    <t>Current exc OCEB</t>
  </si>
  <si>
    <t>Customer Class:</t>
  </si>
  <si>
    <t>X</t>
  </si>
  <si>
    <t>RPP / Non-RPP:</t>
  </si>
  <si>
    <t>Consumption</t>
  </si>
  <si>
    <t>Demand</t>
  </si>
  <si>
    <t>Current Loss Factor</t>
  </si>
  <si>
    <t>Proposed/Approved Loss Factor</t>
  </si>
  <si>
    <t>Ontario Clean Energy Benefit Applied?</t>
  </si>
  <si>
    <t>Current Board-Approved</t>
  </si>
  <si>
    <t>Proposed</t>
  </si>
  <si>
    <t>Impact</t>
  </si>
  <si>
    <t>Rate</t>
  </si>
  <si>
    <t>Volume</t>
  </si>
  <si>
    <t>Charge</t>
  </si>
  <si>
    <t>$ Change</t>
  </si>
  <si>
    <t>% Change</t>
  </si>
  <si>
    <t>($)</t>
  </si>
  <si>
    <t>Monthly Service Charge</t>
  </si>
  <si>
    <t>Distribution Volumetric Rate</t>
  </si>
  <si>
    <t>Fixed Rate Riders</t>
  </si>
  <si>
    <t>Volumetric Rate Riders</t>
  </si>
  <si>
    <t>ST_A</t>
  </si>
  <si>
    <t>Sub-Total A (excluding pass through)</t>
  </si>
  <si>
    <t>Line Losses on Cost of Power</t>
  </si>
  <si>
    <t>GA Rate Rider</t>
  </si>
  <si>
    <t>Low Voltage Service Charge</t>
  </si>
  <si>
    <t>Smart Meter Entity Charge (if applicable)</t>
  </si>
  <si>
    <t>ST_B</t>
  </si>
  <si>
    <t>Sub-Total B - Distribution (includes Sub-Total A)</t>
  </si>
  <si>
    <t>RTSR - Network</t>
  </si>
  <si>
    <t>RTSR - Connection and/or Line and Transformation Connection</t>
  </si>
  <si>
    <t>ST_C</t>
  </si>
  <si>
    <t>Sub-Total C - Delivery (including Sub-Total B)</t>
  </si>
  <si>
    <t>Wholesale Market Service Charge (WMSC)</t>
  </si>
  <si>
    <t>Rural and Remote Rate Protection (RRRP)</t>
  </si>
  <si>
    <t>Standard Supply Service Charge</t>
  </si>
  <si>
    <t>Debt Retirement Charge (DRC)</t>
  </si>
  <si>
    <t xml:space="preserve">Ontario Electricity Support Program 
(OESP) </t>
  </si>
  <si>
    <t>TOU - Off Peak</t>
  </si>
  <si>
    <t>TOU - Mid Peak</t>
  </si>
  <si>
    <t>TOU - On Peak</t>
  </si>
  <si>
    <t>Non-RPP Retailer Avg. Price</t>
  </si>
  <si>
    <t>Average IESO Wholesale Market Price</t>
  </si>
  <si>
    <t>Total Bill on TOU (before Taxes)</t>
  </si>
  <si>
    <t>HST</t>
  </si>
  <si>
    <r>
      <t xml:space="preserve">Total Bill </t>
    </r>
    <r>
      <rPr>
        <sz val="10"/>
        <rFont val="Arial"/>
        <family val="2"/>
      </rPr>
      <t>(including HST)</t>
    </r>
  </si>
  <si>
    <r>
      <t xml:space="preserve">Ontario Clean Energy Benefit </t>
    </r>
    <r>
      <rPr>
        <b/>
        <i/>
        <vertAlign val="superscript"/>
        <sz val="10"/>
        <rFont val="Arial"/>
        <family val="2"/>
      </rPr>
      <t>1</t>
    </r>
  </si>
  <si>
    <t>RPP_TOTAL</t>
  </si>
  <si>
    <t>Total Bill on TOU</t>
  </si>
  <si>
    <t>GA Rate Rider             number of years</t>
  </si>
  <si>
    <t>Total Bill on Non-RPP Avg. Price</t>
  </si>
  <si>
    <t>Non-RPP (Retailer)_TOTAL</t>
  </si>
  <si>
    <t>Total Bill on Average IESO Wholesale Market Price</t>
  </si>
  <si>
    <t>Non-RPP (Other)_TOTAL</t>
  </si>
  <si>
    <t>Non-RPP Retailer</t>
  </si>
  <si>
    <t xml:space="preserve">PLEASE REFER TO FILE: </t>
  </si>
  <si>
    <t>Non RPP Res 10th Percentile Impact.xlsx</t>
  </si>
  <si>
    <t>SHOWN BELOW</t>
  </si>
  <si>
    <t>Combined 1576 Rate Rider</t>
  </si>
  <si>
    <t>Per Mth</t>
  </si>
  <si>
    <t>Combined 1576 rate rider (2 years)</t>
  </si>
  <si>
    <r>
      <t>Total Deferral/Variance Account Rate Riders</t>
    </r>
    <r>
      <rPr>
        <b/>
        <sz val="10"/>
        <color theme="8" tint="-0.249977111117893"/>
        <rFont val="Arial"/>
        <family val="2"/>
      </rPr>
      <t xml:space="preserve"> exc 1589 (exc 1576 in 2016)</t>
    </r>
  </si>
  <si>
    <t>Total Bill (before Taxes)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</si>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</sst>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7" formatCode="&quot;$&quot;#,##0.00_);\(&quot;$&quot;#,##0.00\)"/>
    <numFmt numFmtId="44" formatCode="_(&quot;$&quot;* #,##0.00_);_(&quot;$&quot;* \(#,##0.00\);_(&quot;$&quot;* &quot;-&quot;??_);_(@_)"/>
    <numFmt numFmtId="164" formatCode="_-* #,##0.00_-;\-* #,##0.00_-;_-* &quot;-&quot;??_-;_-@_-"/>
    <numFmt numFmtId="165" formatCode="_-* #,##0_-;\-* #,##0_-;_-* &quot;-&quot;??_-;_-@_-"/>
    <numFmt numFmtId="166" formatCode="0.0000"/>
    <numFmt numFmtId="167" formatCode="_(&quot;$&quot;* #,##0.0000_);_(&quot;$&quot;* \(#,##0.0000\);_(&quot;$&quot;* &quot;-&quot;??_);_(@_)"/>
    <numFmt numFmtId="168" formatCode="_-&quot;$&quot;* #,##0.00_-;\-&quot;$&quot;* #,##0.00_-;_-&quot;$&quot;* &quot;-&quot;??_-;_-@_-"/>
    <numFmt numFmtId="169" formatCode="0.0%"/>
    <numFmt numFmtId="170" formatCode="_-&quot;$&quot;* #,##0.0000_-;\-&quot;$&quot;* #,##0.0000_-;_-&quot;$&quot;* &quot;-&quot;??_-;_-@_-"/>
    <numFmt numFmtId="171" formatCode="&quot;$&quot;#,##0.0000_);\(&quot;$&quot;#,##0.0000\)"/>
  </numFmts>
  <fonts count="2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i/>
      <sz val="9"/>
      <name val="Arial"/>
      <family val="2"/>
    </font>
    <font>
      <b/>
      <i/>
      <sz val="8"/>
      <color rgb="FFFF0000"/>
      <name val="Arial"/>
      <family val="2"/>
    </font>
    <font>
      <b/>
      <sz val="8"/>
      <name val="Arial"/>
      <family val="2"/>
    </font>
    <font>
      <b/>
      <sz val="10"/>
      <name val="Arial Black"/>
      <family val="2"/>
    </font>
    <font>
      <sz val="10"/>
      <color theme="0"/>
      <name val="Arial"/>
      <family val="2"/>
    </font>
    <font>
      <u/>
      <sz val="10"/>
      <color indexed="12"/>
      <name val="Arial"/>
      <family val="2"/>
    </font>
    <font>
      <b/>
      <sz val="10"/>
      <color rgb="FFFF0000"/>
      <name val="Arial Black"/>
      <family val="2"/>
    </font>
    <font>
      <i/>
      <sz val="10"/>
      <name val="Arial"/>
      <family val="2"/>
    </font>
    <font>
      <b/>
      <u/>
      <sz val="10"/>
      <name val="Arial"/>
      <family val="2"/>
    </font>
    <font>
      <b/>
      <sz val="10"/>
      <color rgb="FFFF0000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theme="3"/>
      <name val="Arial"/>
      <family val="2"/>
    </font>
    <font>
      <b/>
      <sz val="10"/>
      <color theme="8" tint="-0.249977111117893"/>
      <name val="Arial"/>
      <family val="2"/>
    </font>
    <font>
      <b/>
      <sz val="10"/>
      <color theme="3" tint="-0.249977111117893"/>
      <name val="Arial"/>
      <family val="2"/>
    </font>
    <font>
      <b/>
      <i/>
      <sz val="10"/>
      <name val="Arial"/>
      <family val="2"/>
    </font>
    <font>
      <b/>
      <i/>
      <vertAlign val="superscript"/>
      <sz val="10"/>
      <name val="Arial"/>
      <family val="2"/>
    </font>
    <font>
      <sz val="10"/>
      <color rgb="FFFF000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11"/>
      <name val="Calibri"/>
      <family val="2"/>
      <scheme val="minor"/>
    </font>
    <font>
      <u/>
      <sz val="1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511703848384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9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164" fontId="3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  <xf numFmtId="168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242">
    <xf numFmtId="0" fontId="0" fillId="0" borderId="0" xfId="0"/>
    <xf numFmtId="0" fontId="3" fillId="0" borderId="0" xfId="4" applyProtection="1"/>
    <xf numFmtId="0" fontId="4" fillId="0" borderId="0" xfId="4" applyFont="1" applyProtection="1"/>
    <xf numFmtId="0" fontId="3" fillId="0" borderId="0" xfId="4" applyProtection="1">
      <protection locked="0"/>
    </xf>
    <xf numFmtId="0" fontId="5" fillId="0" borderId="4" xfId="4" applyFont="1" applyBorder="1" applyAlignment="1" applyProtection="1">
      <alignment horizontal="center" vertical="center" wrapText="1"/>
    </xf>
    <xf numFmtId="0" fontId="5" fillId="3" borderId="4" xfId="4" applyFont="1" applyFill="1" applyBorder="1" applyAlignment="1" applyProtection="1">
      <alignment horizontal="center" vertical="center" wrapText="1"/>
    </xf>
    <xf numFmtId="0" fontId="10" fillId="4" borderId="0" xfId="4" applyFont="1" applyFill="1" applyProtection="1"/>
    <xf numFmtId="0" fontId="3" fillId="4" borderId="1" xfId="4" applyFont="1" applyFill="1" applyBorder="1" applyAlignment="1" applyProtection="1">
      <alignment vertical="top"/>
      <protection locked="0"/>
    </xf>
    <xf numFmtId="0" fontId="3" fillId="4" borderId="2" xfId="4" applyFont="1" applyFill="1" applyBorder="1" applyAlignment="1" applyProtection="1">
      <alignment vertical="top"/>
      <protection locked="0"/>
    </xf>
    <xf numFmtId="0" fontId="3" fillId="4" borderId="3" xfId="4" applyFont="1" applyFill="1" applyBorder="1" applyAlignment="1" applyProtection="1">
      <alignment vertical="top"/>
      <protection locked="0"/>
    </xf>
    <xf numFmtId="0" fontId="5" fillId="4" borderId="4" xfId="4" applyFont="1" applyFill="1" applyBorder="1" applyAlignment="1" applyProtection="1">
      <alignment horizontal="center" vertical="center"/>
      <protection locked="0"/>
    </xf>
    <xf numFmtId="0" fontId="3" fillId="5" borderId="4" xfId="4" applyFill="1" applyBorder="1" applyAlignment="1" applyProtection="1">
      <alignment horizontal="center" vertical="center" wrapText="1"/>
      <protection locked="0"/>
    </xf>
    <xf numFmtId="0" fontId="3" fillId="5" borderId="4" xfId="4" applyFill="1" applyBorder="1" applyAlignment="1" applyProtection="1">
      <alignment horizontal="center" vertical="center"/>
      <protection locked="0"/>
    </xf>
    <xf numFmtId="0" fontId="3" fillId="6" borderId="4" xfId="4" applyFill="1" applyBorder="1" applyAlignment="1" applyProtection="1">
      <alignment horizontal="center" vertical="center"/>
      <protection locked="0"/>
    </xf>
    <xf numFmtId="0" fontId="3" fillId="4" borderId="4" xfId="4" applyFill="1" applyBorder="1" applyAlignment="1" applyProtection="1">
      <alignment horizontal="center" vertical="center"/>
    </xf>
    <xf numFmtId="165" fontId="0" fillId="0" borderId="4" xfId="5" applyNumberFormat="1" applyFont="1" applyBorder="1" applyAlignment="1" applyProtection="1">
      <alignment horizontal="center" vertical="center"/>
      <protection locked="0"/>
    </xf>
    <xf numFmtId="0" fontId="12" fillId="0" borderId="4" xfId="6" applyFont="1" applyFill="1" applyBorder="1" applyAlignment="1" applyProtection="1">
      <alignment horizontal="center" vertical="center"/>
      <protection locked="0"/>
    </xf>
    <xf numFmtId="166" fontId="3" fillId="0" borderId="0" xfId="4" applyNumberFormat="1" applyProtection="1"/>
    <xf numFmtId="0" fontId="3" fillId="7" borderId="1" xfId="4" applyFont="1" applyFill="1" applyBorder="1" applyAlignment="1" applyProtection="1">
      <alignment vertical="top"/>
      <protection locked="0"/>
    </xf>
    <xf numFmtId="0" fontId="3" fillId="7" borderId="2" xfId="4" applyFont="1" applyFill="1" applyBorder="1" applyAlignment="1" applyProtection="1">
      <alignment vertical="top"/>
      <protection locked="0"/>
    </xf>
    <xf numFmtId="0" fontId="3" fillId="7" borderId="3" xfId="4" applyFont="1" applyFill="1" applyBorder="1" applyAlignment="1" applyProtection="1">
      <alignment vertical="top"/>
      <protection locked="0"/>
    </xf>
    <xf numFmtId="0" fontId="13" fillId="7" borderId="1" xfId="4" applyFont="1" applyFill="1" applyBorder="1" applyAlignment="1" applyProtection="1">
      <alignment vertical="top"/>
      <protection locked="0"/>
    </xf>
    <xf numFmtId="0" fontId="5" fillId="12" borderId="4" xfId="4" applyFont="1" applyFill="1" applyBorder="1" applyAlignment="1" applyProtection="1">
      <alignment horizontal="center" vertical="center"/>
    </xf>
    <xf numFmtId="0" fontId="5" fillId="12" borderId="4" xfId="4" applyFont="1" applyFill="1" applyBorder="1" applyAlignment="1" applyProtection="1">
      <alignment horizontal="center" vertical="center" wrapText="1"/>
    </xf>
    <xf numFmtId="0" fontId="3" fillId="0" borderId="4" xfId="4" applyBorder="1" applyAlignment="1" applyProtection="1">
      <alignment horizontal="center" vertical="center"/>
    </xf>
    <xf numFmtId="168" fontId="0" fillId="6" borderId="4" xfId="7" applyFont="1" applyFill="1" applyBorder="1" applyAlignment="1" applyProtection="1">
      <alignment horizontal="center" vertical="center"/>
    </xf>
    <xf numFmtId="10" fontId="0" fillId="6" borderId="4" xfId="8" applyNumberFormat="1" applyFont="1" applyFill="1" applyBorder="1" applyAlignment="1" applyProtection="1">
      <alignment horizontal="center" vertical="center"/>
    </xf>
    <xf numFmtId="168" fontId="0" fillId="0" borderId="4" xfId="7" applyFont="1" applyBorder="1" applyAlignment="1" applyProtection="1">
      <alignment horizontal="center" vertical="center"/>
    </xf>
    <xf numFmtId="169" fontId="0" fillId="0" borderId="4" xfId="8" applyNumberFormat="1" applyFont="1" applyBorder="1" applyAlignment="1" applyProtection="1">
      <alignment horizontal="center" vertical="center"/>
    </xf>
    <xf numFmtId="0" fontId="3" fillId="13" borderId="0" xfId="4" applyFill="1" applyProtection="1">
      <protection locked="0"/>
    </xf>
    <xf numFmtId="0" fontId="5" fillId="0" borderId="0" xfId="4" applyFont="1" applyAlignment="1" applyProtection="1">
      <alignment horizontal="right" vertical="center"/>
      <protection locked="0"/>
    </xf>
    <xf numFmtId="0" fontId="16" fillId="4" borderId="0" xfId="4" applyFont="1" applyFill="1" applyBorder="1" applyAlignment="1" applyProtection="1">
      <alignment vertical="top"/>
      <protection locked="0"/>
    </xf>
    <xf numFmtId="165" fontId="5" fillId="4" borderId="4" xfId="5" applyNumberFormat="1" applyFont="1" applyFill="1" applyBorder="1" applyAlignment="1" applyProtection="1">
      <alignment horizontal="center" vertical="center"/>
      <protection locked="0"/>
    </xf>
    <xf numFmtId="0" fontId="5" fillId="0" borderId="0" xfId="4" applyFont="1" applyProtection="1">
      <protection locked="0"/>
    </xf>
    <xf numFmtId="0" fontId="3" fillId="0" borderId="0" xfId="4" applyFont="1" applyProtection="1">
      <protection locked="0"/>
    </xf>
    <xf numFmtId="0" fontId="4" fillId="4" borderId="0" xfId="4" applyFont="1" applyFill="1" applyAlignment="1" applyProtection="1">
      <alignment vertical="center"/>
      <protection locked="0"/>
    </xf>
    <xf numFmtId="0" fontId="5" fillId="0" borderId="0" xfId="4" applyFont="1" applyAlignment="1" applyProtection="1">
      <alignment horizontal="left"/>
      <protection locked="0"/>
    </xf>
    <xf numFmtId="0" fontId="5" fillId="0" borderId="0" xfId="4" applyFont="1" applyAlignment="1" applyProtection="1">
      <alignment horizontal="center"/>
      <protection locked="0"/>
    </xf>
    <xf numFmtId="0" fontId="4" fillId="0" borderId="0" xfId="4" applyFont="1" applyAlignment="1" applyProtection="1">
      <alignment horizontal="center"/>
      <protection locked="0"/>
    </xf>
    <xf numFmtId="166" fontId="5" fillId="4" borderId="4" xfId="8" applyNumberFormat="1" applyFont="1" applyFill="1" applyBorder="1" applyProtection="1">
      <protection locked="0"/>
    </xf>
    <xf numFmtId="0" fontId="5" fillId="0" borderId="4" xfId="4" applyFont="1" applyBorder="1" applyAlignment="1" applyProtection="1">
      <alignment horizontal="center"/>
      <protection locked="0"/>
    </xf>
    <xf numFmtId="0" fontId="5" fillId="0" borderId="0" xfId="4" applyFont="1" applyAlignment="1" applyProtection="1">
      <protection locked="0"/>
    </xf>
    <xf numFmtId="0" fontId="5" fillId="0" borderId="25" xfId="4" applyFont="1" applyBorder="1" applyAlignment="1" applyProtection="1">
      <alignment horizontal="center"/>
      <protection locked="0"/>
    </xf>
    <xf numFmtId="0" fontId="5" fillId="0" borderId="13" xfId="4" applyFont="1" applyBorder="1" applyAlignment="1" applyProtection="1">
      <alignment horizontal="center"/>
      <protection locked="0"/>
    </xf>
    <xf numFmtId="0" fontId="5" fillId="0" borderId="25" xfId="4" applyFont="1" applyFill="1" applyBorder="1" applyAlignment="1" applyProtection="1">
      <alignment horizontal="center"/>
      <protection locked="0"/>
    </xf>
    <xf numFmtId="0" fontId="5" fillId="0" borderId="7" xfId="4" applyFont="1" applyFill="1" applyBorder="1" applyAlignment="1" applyProtection="1">
      <alignment horizontal="center"/>
      <protection locked="0"/>
    </xf>
    <xf numFmtId="0" fontId="5" fillId="0" borderId="13" xfId="4" applyFont="1" applyFill="1" applyBorder="1" applyAlignment="1" applyProtection="1">
      <alignment horizontal="center"/>
      <protection locked="0"/>
    </xf>
    <xf numFmtId="0" fontId="5" fillId="0" borderId="24" xfId="4" quotePrefix="1" applyFont="1" applyBorder="1" applyAlignment="1" applyProtection="1">
      <alignment horizontal="center"/>
      <protection locked="0"/>
    </xf>
    <xf numFmtId="0" fontId="5" fillId="0" borderId="19" xfId="4" quotePrefix="1" applyFont="1" applyBorder="1" applyAlignment="1" applyProtection="1">
      <alignment horizontal="center"/>
      <protection locked="0"/>
    </xf>
    <xf numFmtId="0" fontId="5" fillId="0" borderId="24" xfId="4" quotePrefix="1" applyFont="1" applyFill="1" applyBorder="1" applyAlignment="1" applyProtection="1">
      <alignment horizontal="center"/>
      <protection locked="0"/>
    </xf>
    <xf numFmtId="0" fontId="5" fillId="0" borderId="19" xfId="4" quotePrefix="1" applyFont="1" applyFill="1" applyBorder="1" applyAlignment="1" applyProtection="1">
      <alignment horizontal="center"/>
      <protection locked="0"/>
    </xf>
    <xf numFmtId="0" fontId="10" fillId="4" borderId="0" xfId="4" applyFont="1" applyFill="1" applyProtection="1">
      <protection locked="0"/>
    </xf>
    <xf numFmtId="0" fontId="3" fillId="0" borderId="0" xfId="4" applyBorder="1" applyAlignment="1" applyProtection="1">
      <alignment vertical="top"/>
    </xf>
    <xf numFmtId="0" fontId="3" fillId="4" borderId="0" xfId="4" applyFill="1" applyAlignment="1" applyProtection="1">
      <alignment vertical="top"/>
      <protection locked="0"/>
    </xf>
    <xf numFmtId="168" fontId="5" fillId="4" borderId="26" xfId="7" applyNumberFormat="1" applyFont="1" applyFill="1" applyBorder="1" applyAlignment="1" applyProtection="1">
      <alignment horizontal="left" vertical="center"/>
      <protection locked="0"/>
    </xf>
    <xf numFmtId="0" fontId="3" fillId="0" borderId="26" xfId="4" applyFont="1" applyFill="1" applyBorder="1" applyAlignment="1" applyProtection="1">
      <alignment vertical="center"/>
      <protection locked="0"/>
    </xf>
    <xf numFmtId="168" fontId="17" fillId="0" borderId="13" xfId="7" applyFont="1" applyBorder="1" applyAlignment="1" applyProtection="1">
      <alignment vertical="center"/>
      <protection locked="0"/>
    </xf>
    <xf numFmtId="168" fontId="18" fillId="0" borderId="26" xfId="7" applyNumberFormat="1" applyFont="1" applyFill="1" applyBorder="1" applyAlignment="1" applyProtection="1">
      <alignment horizontal="left" vertical="center"/>
      <protection locked="0"/>
    </xf>
    <xf numFmtId="0" fontId="3" fillId="0" borderId="13" xfId="4" applyFont="1" applyFill="1" applyBorder="1" applyAlignment="1" applyProtection="1">
      <alignment vertical="center"/>
      <protection locked="0"/>
    </xf>
    <xf numFmtId="168" fontId="17" fillId="0" borderId="13" xfId="7" applyFont="1" applyFill="1" applyBorder="1" applyAlignment="1" applyProtection="1">
      <alignment vertical="center"/>
      <protection locked="0"/>
    </xf>
    <xf numFmtId="168" fontId="3" fillId="0" borderId="26" xfId="4" applyNumberFormat="1" applyFont="1" applyBorder="1" applyAlignment="1" applyProtection="1">
      <alignment vertical="center"/>
      <protection locked="0"/>
    </xf>
    <xf numFmtId="10" fontId="17" fillId="0" borderId="13" xfId="8" applyNumberFormat="1" applyFont="1" applyBorder="1" applyAlignment="1" applyProtection="1">
      <alignment vertical="center"/>
      <protection locked="0"/>
    </xf>
    <xf numFmtId="170" fontId="5" fillId="4" borderId="26" xfId="7" applyNumberFormat="1" applyFont="1" applyFill="1" applyBorder="1" applyAlignment="1" applyProtection="1">
      <alignment horizontal="left" vertical="center"/>
      <protection locked="0"/>
    </xf>
    <xf numFmtId="170" fontId="18" fillId="0" borderId="26" xfId="7" applyNumberFormat="1" applyFont="1" applyFill="1" applyBorder="1" applyAlignment="1" applyProtection="1">
      <alignment horizontal="left" vertical="center"/>
      <protection locked="0"/>
    </xf>
    <xf numFmtId="0" fontId="3" fillId="0" borderId="0" xfId="4" applyFill="1" applyBorder="1" applyAlignment="1" applyProtection="1">
      <alignment vertical="top"/>
    </xf>
    <xf numFmtId="0" fontId="3" fillId="0" borderId="18" xfId="4" applyBorder="1" applyAlignment="1" applyProtection="1">
      <alignment vertical="top"/>
    </xf>
    <xf numFmtId="0" fontId="3" fillId="0" borderId="0" xfId="4" applyFont="1" applyFill="1" applyProtection="1">
      <protection locked="0"/>
    </xf>
    <xf numFmtId="0" fontId="5" fillId="12" borderId="1" xfId="4" applyFont="1" applyFill="1" applyBorder="1" applyAlignment="1" applyProtection="1">
      <alignment vertical="top"/>
      <protection locked="0"/>
    </xf>
    <xf numFmtId="0" fontId="3" fillId="12" borderId="2" xfId="4" applyFill="1" applyBorder="1" applyAlignment="1" applyProtection="1">
      <alignment vertical="top"/>
      <protection locked="0"/>
    </xf>
    <xf numFmtId="170" fontId="5" fillId="12" borderId="4" xfId="7" applyNumberFormat="1" applyFont="1" applyFill="1" applyBorder="1" applyAlignment="1" applyProtection="1">
      <alignment horizontal="left" vertical="center"/>
      <protection locked="0"/>
    </xf>
    <xf numFmtId="0" fontId="3" fillId="12" borderId="4" xfId="4" applyFont="1" applyFill="1" applyBorder="1" applyAlignment="1" applyProtection="1">
      <alignment vertical="center"/>
      <protection locked="0"/>
    </xf>
    <xf numFmtId="168" fontId="17" fillId="12" borderId="3" xfId="7" applyFont="1" applyFill="1" applyBorder="1" applyAlignment="1" applyProtection="1">
      <alignment vertical="center"/>
      <protection locked="0"/>
    </xf>
    <xf numFmtId="170" fontId="18" fillId="12" borderId="4" xfId="7" applyNumberFormat="1" applyFont="1" applyFill="1" applyBorder="1" applyAlignment="1" applyProtection="1">
      <alignment horizontal="left" vertical="center"/>
      <protection locked="0"/>
    </xf>
    <xf numFmtId="0" fontId="3" fillId="12" borderId="3" xfId="4" applyFont="1" applyFill="1" applyBorder="1" applyAlignment="1" applyProtection="1">
      <alignment vertical="center"/>
      <protection locked="0"/>
    </xf>
    <xf numFmtId="168" fontId="5" fillId="12" borderId="4" xfId="4" applyNumberFormat="1" applyFont="1" applyFill="1" applyBorder="1" applyAlignment="1" applyProtection="1">
      <alignment vertical="center"/>
      <protection locked="0"/>
    </xf>
    <xf numFmtId="10" fontId="5" fillId="12" borderId="3" xfId="8" applyNumberFormat="1" applyFont="1" applyFill="1" applyBorder="1" applyAlignment="1" applyProtection="1">
      <alignment vertical="center"/>
      <protection locked="0"/>
    </xf>
    <xf numFmtId="0" fontId="3" fillId="0" borderId="0" xfId="4" applyFont="1" applyFill="1" applyAlignment="1" applyProtection="1">
      <alignment vertical="top" wrapText="1"/>
    </xf>
    <xf numFmtId="165" fontId="3" fillId="14" borderId="26" xfId="5" applyNumberFormat="1" applyFont="1" applyFill="1" applyBorder="1" applyAlignment="1" applyProtection="1">
      <alignment vertical="center"/>
      <protection locked="0"/>
    </xf>
    <xf numFmtId="170" fontId="18" fillId="4" borderId="26" xfId="7" applyNumberFormat="1" applyFont="1" applyFill="1" applyBorder="1" applyAlignment="1" applyProtection="1">
      <alignment horizontal="left" vertical="center"/>
      <protection locked="0"/>
    </xf>
    <xf numFmtId="165" fontId="3" fillId="0" borderId="26" xfId="5" applyNumberFormat="1" applyFont="1" applyFill="1" applyBorder="1" applyAlignment="1" applyProtection="1">
      <alignment vertical="center"/>
      <protection locked="0"/>
    </xf>
    <xf numFmtId="0" fontId="19" fillId="9" borderId="0" xfId="4" applyFont="1" applyFill="1" applyAlignment="1" applyProtection="1">
      <alignment vertical="top" wrapText="1"/>
    </xf>
    <xf numFmtId="0" fontId="3" fillId="9" borderId="0" xfId="4" applyFill="1" applyAlignment="1" applyProtection="1">
      <alignment vertical="top"/>
      <protection locked="0"/>
    </xf>
    <xf numFmtId="170" fontId="5" fillId="9" borderId="26" xfId="7" applyNumberFormat="1" applyFont="1" applyFill="1" applyBorder="1" applyAlignment="1" applyProtection="1">
      <alignment horizontal="left" vertical="center"/>
      <protection locked="0"/>
    </xf>
    <xf numFmtId="165" fontId="3" fillId="9" borderId="26" xfId="5" applyNumberFormat="1" applyFont="1" applyFill="1" applyBorder="1" applyAlignment="1" applyProtection="1">
      <alignment vertical="center"/>
      <protection locked="0"/>
    </xf>
    <xf numFmtId="168" fontId="17" fillId="9" borderId="13" xfId="7" applyFont="1" applyFill="1" applyBorder="1" applyAlignment="1" applyProtection="1">
      <alignment vertical="center"/>
      <protection locked="0"/>
    </xf>
    <xf numFmtId="170" fontId="18" fillId="9" borderId="26" xfId="7" applyNumberFormat="1" applyFont="1" applyFill="1" applyBorder="1" applyAlignment="1" applyProtection="1">
      <alignment horizontal="left" vertical="center"/>
      <protection locked="0"/>
    </xf>
    <xf numFmtId="0" fontId="3" fillId="0" borderId="0" xfId="4" applyFont="1" applyFill="1" applyAlignment="1" applyProtection="1">
      <alignment vertical="top" wrapText="1"/>
      <protection locked="0"/>
    </xf>
    <xf numFmtId="0" fontId="3" fillId="10" borderId="0" xfId="4" applyFill="1" applyAlignment="1" applyProtection="1">
      <alignment vertical="top"/>
      <protection locked="0"/>
    </xf>
    <xf numFmtId="170" fontId="5" fillId="10" borderId="26" xfId="7" applyNumberFormat="1" applyFont="1" applyFill="1" applyBorder="1" applyAlignment="1" applyProtection="1">
      <alignment horizontal="left" vertical="center"/>
      <protection locked="0"/>
    </xf>
    <xf numFmtId="165" fontId="3" fillId="10" borderId="26" xfId="5" applyNumberFormat="1" applyFont="1" applyFill="1" applyBorder="1" applyAlignment="1" applyProtection="1">
      <alignment vertical="center"/>
      <protection locked="0"/>
    </xf>
    <xf numFmtId="168" fontId="17" fillId="10" borderId="13" xfId="7" applyFont="1" applyFill="1" applyBorder="1" applyAlignment="1" applyProtection="1">
      <alignment vertical="center"/>
      <protection locked="0"/>
    </xf>
    <xf numFmtId="0" fontId="3" fillId="0" borderId="0" xfId="4" applyFont="1" applyAlignment="1" applyProtection="1">
      <alignment vertical="top"/>
    </xf>
    <xf numFmtId="0" fontId="5" fillId="12" borderId="1" xfId="4" applyFont="1" applyFill="1" applyBorder="1" applyAlignment="1" applyProtection="1">
      <alignment vertical="top" wrapText="1"/>
      <protection locked="0"/>
    </xf>
    <xf numFmtId="0" fontId="3" fillId="12" borderId="2" xfId="4" applyFill="1" applyBorder="1" applyProtection="1">
      <protection locked="0"/>
    </xf>
    <xf numFmtId="0" fontId="5" fillId="12" borderId="4" xfId="4" applyFont="1" applyFill="1" applyBorder="1" applyAlignment="1" applyProtection="1">
      <alignment horizontal="left" vertical="center"/>
      <protection locked="0"/>
    </xf>
    <xf numFmtId="168" fontId="5" fillId="12" borderId="3" xfId="4" applyNumberFormat="1" applyFont="1" applyFill="1" applyBorder="1" applyAlignment="1" applyProtection="1">
      <alignment vertical="center"/>
      <protection locked="0"/>
    </xf>
    <xf numFmtId="0" fontId="18" fillId="12" borderId="4" xfId="4" applyFont="1" applyFill="1" applyBorder="1" applyAlignment="1" applyProtection="1">
      <alignment horizontal="left" vertical="center"/>
      <protection locked="0"/>
    </xf>
    <xf numFmtId="0" fontId="3" fillId="0" borderId="0" xfId="4" applyAlignment="1" applyProtection="1">
      <alignment vertical="center"/>
    </xf>
    <xf numFmtId="0" fontId="3" fillId="0" borderId="18" xfId="4" applyBorder="1" applyAlignment="1" applyProtection="1">
      <alignment vertical="center" wrapText="1"/>
    </xf>
    <xf numFmtId="0" fontId="5" fillId="12" borderId="3" xfId="4" applyFont="1" applyFill="1" applyBorder="1" applyAlignment="1" applyProtection="1">
      <alignment vertical="center"/>
      <protection locked="0"/>
    </xf>
    <xf numFmtId="0" fontId="3" fillId="0" borderId="0" xfId="4" applyAlignment="1" applyProtection="1">
      <alignment vertical="top" wrapText="1"/>
      <protection locked="0"/>
    </xf>
    <xf numFmtId="168" fontId="3" fillId="0" borderId="13" xfId="7" applyFont="1" applyBorder="1" applyAlignment="1" applyProtection="1">
      <alignment vertical="center"/>
      <protection locked="0"/>
    </xf>
    <xf numFmtId="170" fontId="18" fillId="3" borderId="26" xfId="7" applyNumberFormat="1" applyFont="1" applyFill="1" applyBorder="1" applyAlignment="1" applyProtection="1">
      <alignment horizontal="left" vertical="center"/>
      <protection locked="0"/>
    </xf>
    <xf numFmtId="0" fontId="3" fillId="0" borderId="0" xfId="4" applyAlignment="1" applyProtection="1">
      <alignment vertical="top"/>
      <protection locked="0"/>
    </xf>
    <xf numFmtId="168" fontId="18" fillId="4" borderId="26" xfId="7" applyNumberFormat="1" applyFont="1" applyFill="1" applyBorder="1" applyAlignment="1" applyProtection="1">
      <alignment horizontal="left" vertical="center"/>
      <protection locked="0"/>
    </xf>
    <xf numFmtId="170" fontId="20" fillId="4" borderId="26" xfId="7" applyNumberFormat="1" applyFont="1" applyFill="1" applyBorder="1" applyAlignment="1" applyProtection="1">
      <alignment horizontal="left" vertical="center"/>
      <protection locked="0"/>
    </xf>
    <xf numFmtId="168" fontId="5" fillId="10" borderId="26" xfId="4" applyNumberFormat="1" applyFont="1" applyFill="1" applyBorder="1" applyAlignment="1" applyProtection="1">
      <alignment horizontal="left" vertical="center"/>
      <protection locked="0"/>
    </xf>
    <xf numFmtId="168" fontId="3" fillId="10" borderId="26" xfId="4" applyNumberFormat="1" applyFont="1" applyFill="1" applyBorder="1" applyAlignment="1" applyProtection="1">
      <alignment vertical="center"/>
      <protection locked="0"/>
    </xf>
    <xf numFmtId="0" fontId="3" fillId="0" borderId="0" xfId="4" applyFill="1" applyProtection="1">
      <protection locked="0"/>
    </xf>
    <xf numFmtId="0" fontId="3" fillId="0" borderId="0" xfId="4" applyFont="1" applyAlignment="1" applyProtection="1">
      <alignment vertical="top"/>
      <protection locked="0"/>
    </xf>
    <xf numFmtId="170" fontId="5" fillId="0" borderId="26" xfId="7" applyNumberFormat="1" applyFont="1" applyFill="1" applyBorder="1" applyAlignment="1" applyProtection="1">
      <alignment horizontal="left" vertical="center"/>
      <protection locked="0"/>
    </xf>
    <xf numFmtId="165" fontId="3" fillId="4" borderId="26" xfId="5" applyNumberFormat="1" applyFont="1" applyFill="1" applyBorder="1" applyAlignment="1" applyProtection="1">
      <alignment vertical="center"/>
      <protection locked="0"/>
    </xf>
    <xf numFmtId="170" fontId="5" fillId="6" borderId="26" xfId="7" applyNumberFormat="1" applyFont="1" applyFill="1" applyBorder="1" applyAlignment="1" applyProtection="1">
      <alignment horizontal="left" vertical="center"/>
      <protection locked="0"/>
    </xf>
    <xf numFmtId="170" fontId="18" fillId="6" borderId="26" xfId="7" applyNumberFormat="1" applyFont="1" applyFill="1" applyBorder="1" applyAlignment="1" applyProtection="1">
      <alignment horizontal="left" vertical="center"/>
      <protection locked="0"/>
    </xf>
    <xf numFmtId="0" fontId="3" fillId="15" borderId="27" xfId="4" applyFont="1" applyFill="1" applyBorder="1" applyProtection="1">
      <protection locked="0"/>
    </xf>
    <xf numFmtId="0" fontId="3" fillId="15" borderId="28" xfId="4" applyFill="1" applyBorder="1" applyAlignment="1" applyProtection="1">
      <alignment vertical="top"/>
      <protection locked="0"/>
    </xf>
    <xf numFmtId="170" fontId="3" fillId="15" borderId="29" xfId="7" applyNumberFormat="1" applyFont="1" applyFill="1" applyBorder="1" applyAlignment="1" applyProtection="1">
      <alignment vertical="top"/>
      <protection locked="0"/>
    </xf>
    <xf numFmtId="0" fontId="3" fillId="15" borderId="30" xfId="4" applyFont="1" applyFill="1" applyBorder="1" applyAlignment="1" applyProtection="1">
      <alignment vertical="center"/>
      <protection locked="0"/>
    </xf>
    <xf numFmtId="168" fontId="3" fillId="15" borderId="28" xfId="7" applyFont="1" applyFill="1" applyBorder="1" applyAlignment="1" applyProtection="1">
      <alignment vertical="center"/>
      <protection locked="0"/>
    </xf>
    <xf numFmtId="0" fontId="3" fillId="15" borderId="29" xfId="4" applyFont="1" applyFill="1" applyBorder="1" applyAlignment="1" applyProtection="1">
      <alignment vertical="center"/>
      <protection locked="0"/>
    </xf>
    <xf numFmtId="168" fontId="3" fillId="15" borderId="29" xfId="4" applyNumberFormat="1" applyFont="1" applyFill="1" applyBorder="1" applyAlignment="1" applyProtection="1">
      <alignment vertical="center"/>
      <protection locked="0"/>
    </xf>
    <xf numFmtId="10" fontId="3" fillId="15" borderId="31" xfId="8" applyNumberFormat="1" applyFont="1" applyFill="1" applyBorder="1" applyAlignment="1" applyProtection="1">
      <alignment vertical="center"/>
      <protection locked="0"/>
    </xf>
    <xf numFmtId="0" fontId="5" fillId="0" borderId="0" xfId="4" applyFont="1" applyFill="1" applyAlignment="1" applyProtection="1">
      <alignment vertical="top"/>
      <protection locked="0"/>
    </xf>
    <xf numFmtId="9" fontId="3" fillId="0" borderId="26" xfId="4" applyNumberFormat="1" applyFont="1" applyFill="1" applyBorder="1" applyAlignment="1" applyProtection="1">
      <alignment vertical="top"/>
      <protection locked="0"/>
    </xf>
    <xf numFmtId="9" fontId="3" fillId="0" borderId="0" xfId="4" applyNumberFormat="1" applyFont="1" applyFill="1" applyBorder="1" applyAlignment="1" applyProtection="1">
      <alignment vertical="center"/>
      <protection locked="0"/>
    </xf>
    <xf numFmtId="168" fontId="5" fillId="0" borderId="12" xfId="4" applyNumberFormat="1" applyFont="1" applyFill="1" applyBorder="1" applyAlignment="1" applyProtection="1">
      <alignment vertical="center"/>
      <protection locked="0"/>
    </xf>
    <xf numFmtId="9" fontId="5" fillId="0" borderId="26" xfId="4" applyNumberFormat="1" applyFont="1" applyFill="1" applyBorder="1" applyAlignment="1" applyProtection="1">
      <alignment vertical="center"/>
      <protection locked="0"/>
    </xf>
    <xf numFmtId="168" fontId="5" fillId="0" borderId="26" xfId="4" applyNumberFormat="1" applyFont="1" applyFill="1" applyBorder="1" applyAlignment="1" applyProtection="1">
      <alignment vertical="center"/>
      <protection locked="0"/>
    </xf>
    <xf numFmtId="10" fontId="5" fillId="0" borderId="13" xfId="8" applyNumberFormat="1" applyFont="1" applyFill="1" applyBorder="1" applyAlignment="1" applyProtection="1">
      <alignment vertical="center"/>
      <protection locked="0"/>
    </xf>
    <xf numFmtId="0" fontId="3" fillId="0" borderId="0" xfId="4" applyFont="1" applyFill="1" applyAlignment="1" applyProtection="1">
      <alignment horizontal="left" vertical="top" indent="1"/>
      <protection locked="0"/>
    </xf>
    <xf numFmtId="0" fontId="3" fillId="0" borderId="0" xfId="4" applyFont="1" applyFill="1" applyBorder="1" applyAlignment="1" applyProtection="1">
      <alignment vertical="center"/>
      <protection locked="0"/>
    </xf>
    <xf numFmtId="168" fontId="3" fillId="0" borderId="12" xfId="4" applyNumberFormat="1" applyFont="1" applyFill="1" applyBorder="1" applyAlignment="1" applyProtection="1">
      <alignment vertical="center"/>
      <protection locked="0"/>
    </xf>
    <xf numFmtId="9" fontId="3" fillId="0" borderId="26" xfId="4" applyNumberFormat="1" applyFont="1" applyFill="1" applyBorder="1" applyAlignment="1" applyProtection="1">
      <alignment vertical="center"/>
      <protection locked="0"/>
    </xf>
    <xf numFmtId="168" fontId="3" fillId="0" borderId="26" xfId="4" applyNumberFormat="1" applyFont="1" applyFill="1" applyBorder="1" applyAlignment="1" applyProtection="1">
      <alignment vertical="center"/>
      <protection locked="0"/>
    </xf>
    <xf numFmtId="10" fontId="3" fillId="0" borderId="13" xfId="8" applyNumberFormat="1" applyFont="1" applyFill="1" applyBorder="1" applyAlignment="1" applyProtection="1">
      <alignment vertical="center"/>
      <protection locked="0"/>
    </xf>
    <xf numFmtId="0" fontId="5" fillId="0" borderId="0" xfId="4" applyFont="1" applyAlignment="1" applyProtection="1">
      <alignment horizontal="left" vertical="top" wrapText="1" indent="1"/>
      <protection locked="0"/>
    </xf>
    <xf numFmtId="0" fontId="3" fillId="0" borderId="26" xfId="4" applyFont="1" applyFill="1" applyBorder="1" applyAlignment="1" applyProtection="1">
      <alignment vertical="top"/>
      <protection locked="0"/>
    </xf>
    <xf numFmtId="168" fontId="23" fillId="0" borderId="12" xfId="4" applyNumberFormat="1" applyFont="1" applyFill="1" applyBorder="1" applyAlignment="1" applyProtection="1">
      <alignment vertical="center"/>
      <protection locked="0"/>
    </xf>
    <xf numFmtId="0" fontId="3" fillId="16" borderId="24" xfId="4" applyFont="1" applyFill="1" applyBorder="1" applyAlignment="1" applyProtection="1">
      <alignment vertical="top"/>
      <protection locked="0"/>
    </xf>
    <xf numFmtId="0" fontId="3" fillId="16" borderId="18" xfId="4" applyFont="1" applyFill="1" applyBorder="1" applyAlignment="1" applyProtection="1">
      <alignment vertical="center"/>
      <protection locked="0"/>
    </xf>
    <xf numFmtId="168" fontId="5" fillId="16" borderId="17" xfId="4" applyNumberFormat="1" applyFont="1" applyFill="1" applyBorder="1" applyAlignment="1" applyProtection="1">
      <alignment vertical="center"/>
      <protection locked="0"/>
    </xf>
    <xf numFmtId="0" fontId="5" fillId="16" borderId="24" xfId="4" applyFont="1" applyFill="1" applyBorder="1" applyAlignment="1" applyProtection="1">
      <alignment vertical="center"/>
      <protection locked="0"/>
    </xf>
    <xf numFmtId="168" fontId="5" fillId="16" borderId="24" xfId="4" applyNumberFormat="1" applyFont="1" applyFill="1" applyBorder="1" applyAlignment="1" applyProtection="1">
      <alignment vertical="center"/>
      <protection locked="0"/>
    </xf>
    <xf numFmtId="10" fontId="5" fillId="16" borderId="19" xfId="8" applyNumberFormat="1" applyFont="1" applyFill="1" applyBorder="1" applyAlignment="1" applyProtection="1">
      <alignment vertical="center"/>
      <protection locked="0"/>
    </xf>
    <xf numFmtId="0" fontId="5" fillId="0" borderId="7" xfId="4" applyFont="1" applyBorder="1" applyAlignment="1" applyProtection="1">
      <alignment horizontal="center"/>
      <protection locked="0"/>
    </xf>
    <xf numFmtId="168" fontId="3" fillId="9" borderId="26" xfId="4" applyNumberFormat="1" applyFont="1" applyFill="1" applyBorder="1" applyAlignment="1" applyProtection="1">
      <alignment vertical="center"/>
      <protection locked="0"/>
    </xf>
    <xf numFmtId="10" fontId="17" fillId="9" borderId="13" xfId="8" applyNumberFormat="1" applyFont="1" applyFill="1" applyBorder="1" applyAlignment="1" applyProtection="1">
      <alignment vertical="center"/>
      <protection locked="0"/>
    </xf>
    <xf numFmtId="0" fontId="3" fillId="3" borderId="0" xfId="4" applyFill="1" applyAlignment="1" applyProtection="1">
      <alignment vertical="top"/>
      <protection locked="0"/>
    </xf>
    <xf numFmtId="170" fontId="17" fillId="9" borderId="13" xfId="7" applyNumberFormat="1" applyFont="1" applyFill="1" applyBorder="1" applyAlignment="1" applyProtection="1">
      <alignment vertical="center"/>
      <protection locked="0"/>
    </xf>
    <xf numFmtId="170" fontId="17" fillId="3" borderId="13" xfId="7" applyNumberFormat="1" applyFont="1" applyFill="1" applyBorder="1" applyAlignment="1" applyProtection="1">
      <alignment vertical="center"/>
      <protection locked="0"/>
    </xf>
    <xf numFmtId="170" fontId="3" fillId="15" borderId="30" xfId="7" applyNumberFormat="1" applyFont="1" applyFill="1" applyBorder="1" applyAlignment="1" applyProtection="1">
      <alignment vertical="top"/>
      <protection locked="0"/>
    </xf>
    <xf numFmtId="0" fontId="3" fillId="15" borderId="28" xfId="4" applyFont="1" applyFill="1" applyBorder="1" applyAlignment="1" applyProtection="1">
      <alignment vertical="center"/>
      <protection locked="0"/>
    </xf>
    <xf numFmtId="168" fontId="3" fillId="15" borderId="33" xfId="7" applyFont="1" applyFill="1" applyBorder="1" applyAlignment="1" applyProtection="1">
      <alignment vertical="center"/>
      <protection locked="0"/>
    </xf>
    <xf numFmtId="168" fontId="3" fillId="15" borderId="30" xfId="4" applyNumberFormat="1" applyFont="1" applyFill="1" applyBorder="1" applyAlignment="1" applyProtection="1">
      <alignment vertical="center"/>
      <protection locked="0"/>
    </xf>
    <xf numFmtId="0" fontId="3" fillId="16" borderId="26" xfId="4" applyFont="1" applyFill="1" applyBorder="1" applyAlignment="1" applyProtection="1">
      <alignment vertical="top"/>
      <protection locked="0"/>
    </xf>
    <xf numFmtId="0" fontId="3" fillId="16" borderId="0" xfId="4" applyFont="1" applyFill="1" applyBorder="1" applyAlignment="1" applyProtection="1">
      <alignment vertical="center"/>
      <protection locked="0"/>
    </xf>
    <xf numFmtId="168" fontId="5" fillId="16" borderId="12" xfId="4" applyNumberFormat="1" applyFont="1" applyFill="1" applyBorder="1" applyAlignment="1" applyProtection="1">
      <alignment vertical="center"/>
      <protection locked="0"/>
    </xf>
    <xf numFmtId="0" fontId="5" fillId="16" borderId="26" xfId="4" applyFont="1" applyFill="1" applyBorder="1" applyAlignment="1" applyProtection="1">
      <alignment vertical="center"/>
      <protection locked="0"/>
    </xf>
    <xf numFmtId="168" fontId="5" fillId="16" borderId="26" xfId="4" applyNumberFormat="1" applyFont="1" applyFill="1" applyBorder="1" applyAlignment="1" applyProtection="1">
      <alignment vertical="center"/>
      <protection locked="0"/>
    </xf>
    <xf numFmtId="10" fontId="5" fillId="16" borderId="13" xfId="8" applyNumberFormat="1" applyFont="1" applyFill="1" applyBorder="1" applyAlignment="1" applyProtection="1">
      <alignment vertical="center"/>
      <protection locked="0"/>
    </xf>
    <xf numFmtId="170" fontId="3" fillId="15" borderId="30" xfId="7" applyNumberFormat="1" applyFill="1" applyBorder="1" applyAlignment="1" applyProtection="1">
      <alignment vertical="top"/>
      <protection locked="0"/>
    </xf>
    <xf numFmtId="0" fontId="3" fillId="15" borderId="28" xfId="4" applyFill="1" applyBorder="1" applyAlignment="1" applyProtection="1">
      <alignment vertical="center"/>
      <protection locked="0"/>
    </xf>
    <xf numFmtId="168" fontId="3" fillId="15" borderId="33" xfId="7" applyFill="1" applyBorder="1" applyAlignment="1" applyProtection="1">
      <alignment vertical="center"/>
      <protection locked="0"/>
    </xf>
    <xf numFmtId="0" fontId="3" fillId="15" borderId="30" xfId="4" applyFill="1" applyBorder="1" applyAlignment="1" applyProtection="1">
      <alignment vertical="center"/>
      <protection locked="0"/>
    </xf>
    <xf numFmtId="168" fontId="3" fillId="15" borderId="30" xfId="4" applyNumberFormat="1" applyFill="1" applyBorder="1" applyAlignment="1" applyProtection="1">
      <alignment vertical="center"/>
      <protection locked="0"/>
    </xf>
    <xf numFmtId="10" fontId="3" fillId="15" borderId="31" xfId="8" applyNumberFormat="1" applyFill="1" applyBorder="1" applyAlignment="1" applyProtection="1">
      <alignment vertical="center"/>
      <protection locked="0"/>
    </xf>
    <xf numFmtId="9" fontId="17" fillId="0" borderId="13" xfId="8" applyNumberFormat="1" applyFont="1" applyBorder="1" applyAlignment="1" applyProtection="1">
      <alignment vertical="center"/>
      <protection locked="0"/>
    </xf>
    <xf numFmtId="164" fontId="5" fillId="0" borderId="4" xfId="5" applyNumberFormat="1" applyFont="1" applyFill="1" applyBorder="1" applyAlignment="1" applyProtection="1">
      <alignment horizontal="center" vertical="center"/>
      <protection locked="0"/>
    </xf>
    <xf numFmtId="164" fontId="3" fillId="0" borderId="26" xfId="5" applyNumberFormat="1" applyFont="1" applyFill="1" applyBorder="1" applyAlignment="1" applyProtection="1">
      <alignment vertical="center"/>
      <protection locked="0"/>
    </xf>
    <xf numFmtId="164" fontId="3" fillId="14" borderId="26" xfId="5" applyNumberFormat="1" applyFont="1" applyFill="1" applyBorder="1" applyAlignment="1" applyProtection="1">
      <alignment vertical="center"/>
      <protection locked="0"/>
    </xf>
    <xf numFmtId="0" fontId="3" fillId="3" borderId="0" xfId="4" applyFill="1" applyProtection="1">
      <protection locked="0"/>
    </xf>
    <xf numFmtId="165" fontId="5" fillId="3" borderId="4" xfId="5" applyNumberFormat="1" applyFont="1" applyFill="1" applyBorder="1" applyAlignment="1" applyProtection="1">
      <alignment horizontal="center" vertical="center"/>
      <protection locked="0"/>
    </xf>
    <xf numFmtId="165" fontId="5" fillId="17" borderId="4" xfId="5" applyNumberFormat="1" applyFont="1" applyFill="1" applyBorder="1" applyAlignment="1" applyProtection="1">
      <alignment horizontal="center" vertical="center"/>
      <protection locked="0"/>
    </xf>
    <xf numFmtId="0" fontId="3" fillId="0" borderId="0" xfId="4" applyBorder="1" applyAlignment="1" applyProtection="1">
      <alignment vertical="top"/>
      <protection locked="0"/>
    </xf>
    <xf numFmtId="165" fontId="3" fillId="0" borderId="26" xfId="4" applyNumberFormat="1" applyFont="1" applyFill="1" applyBorder="1" applyAlignment="1" applyProtection="1">
      <alignment vertical="center"/>
      <protection locked="0"/>
    </xf>
    <xf numFmtId="165" fontId="3" fillId="0" borderId="13" xfId="4" applyNumberFormat="1" applyFont="1" applyFill="1" applyBorder="1" applyAlignment="1" applyProtection="1">
      <alignment vertical="center"/>
      <protection locked="0"/>
    </xf>
    <xf numFmtId="0" fontId="3" fillId="0" borderId="0" xfId="4" applyFill="1" applyBorder="1" applyAlignment="1" applyProtection="1">
      <alignment vertical="top"/>
      <protection locked="0"/>
    </xf>
    <xf numFmtId="0" fontId="3" fillId="0" borderId="18" xfId="4" applyBorder="1" applyAlignment="1" applyProtection="1">
      <alignment vertical="top"/>
      <protection locked="0"/>
    </xf>
    <xf numFmtId="0" fontId="3" fillId="0" borderId="0" xfId="4" applyAlignment="1" applyProtection="1">
      <alignment vertical="center"/>
      <protection locked="0"/>
    </xf>
    <xf numFmtId="0" fontId="3" fillId="0" borderId="18" xfId="4" applyBorder="1" applyAlignment="1" applyProtection="1">
      <alignment vertical="center" wrapText="1"/>
      <protection locked="0"/>
    </xf>
    <xf numFmtId="169" fontId="0" fillId="0" borderId="0" xfId="2" applyNumberFormat="1" applyFont="1"/>
    <xf numFmtId="170" fontId="5" fillId="17" borderId="26" xfId="7" applyNumberFormat="1" applyFont="1" applyFill="1" applyBorder="1" applyAlignment="1" applyProtection="1">
      <alignment horizontal="left" vertical="center"/>
      <protection locked="0"/>
    </xf>
    <xf numFmtId="0" fontId="26" fillId="2" borderId="14" xfId="3" applyFont="1" applyBorder="1" applyAlignment="1" applyProtection="1">
      <alignment horizontal="left" vertical="center" wrapText="1"/>
    </xf>
    <xf numFmtId="0" fontId="26" fillId="2" borderId="0" xfId="3" applyFont="1" applyBorder="1" applyAlignment="1" applyProtection="1">
      <alignment horizontal="center" vertical="center"/>
    </xf>
    <xf numFmtId="167" fontId="26" fillId="2" borderId="15" xfId="3" applyNumberFormat="1" applyFont="1" applyBorder="1" applyAlignment="1" applyProtection="1">
      <alignment vertical="center"/>
    </xf>
    <xf numFmtId="0" fontId="26" fillId="2" borderId="20" xfId="3" applyFont="1" applyBorder="1" applyAlignment="1" applyProtection="1">
      <alignment horizontal="left" vertical="center" wrapText="1"/>
    </xf>
    <xf numFmtId="0" fontId="26" fillId="2" borderId="21" xfId="3" applyFont="1" applyBorder="1" applyAlignment="1" applyProtection="1">
      <alignment horizontal="center" vertical="center"/>
    </xf>
    <xf numFmtId="167" fontId="26" fillId="2" borderId="22" xfId="3" applyNumberFormat="1" applyFont="1" applyBorder="1" applyAlignment="1" applyProtection="1">
      <alignment vertical="center"/>
    </xf>
    <xf numFmtId="0" fontId="14" fillId="8" borderId="11" xfId="4" applyFont="1" applyFill="1" applyBorder="1" applyAlignment="1" applyProtection="1">
      <alignment vertical="center"/>
    </xf>
    <xf numFmtId="167" fontId="3" fillId="8" borderId="16" xfId="1" applyNumberFormat="1" applyFont="1" applyFill="1" applyBorder="1" applyAlignment="1" applyProtection="1">
      <alignment vertical="center"/>
    </xf>
    <xf numFmtId="167" fontId="3" fillId="8" borderId="23" xfId="1" applyNumberFormat="1" applyFont="1" applyFill="1" applyBorder="1" applyAlignment="1" applyProtection="1">
      <alignment vertical="center"/>
    </xf>
    <xf numFmtId="0" fontId="27" fillId="2" borderId="8" xfId="3" applyFont="1" applyBorder="1" applyAlignment="1" applyProtection="1">
      <alignment vertical="center"/>
    </xf>
    <xf numFmtId="0" fontId="27" fillId="2" borderId="9" xfId="3" applyFont="1" applyBorder="1" applyAlignment="1" applyProtection="1">
      <alignment vertical="center"/>
    </xf>
    <xf numFmtId="0" fontId="27" fillId="2" borderId="10" xfId="3" applyFont="1" applyBorder="1" applyAlignment="1" applyProtection="1">
      <alignment vertical="center" wrapText="1"/>
    </xf>
    <xf numFmtId="7" fontId="26" fillId="2" borderId="15" xfId="3" applyNumberFormat="1" applyFont="1" applyBorder="1" applyAlignment="1" applyProtection="1">
      <alignment vertical="center"/>
    </xf>
    <xf numFmtId="171" fontId="26" fillId="2" borderId="15" xfId="3" applyNumberFormat="1" applyFont="1" applyBorder="1" applyAlignment="1" applyProtection="1">
      <alignment vertical="center"/>
    </xf>
    <xf numFmtId="171" fontId="26" fillId="2" borderId="22" xfId="3" applyNumberFormat="1" applyFont="1" applyBorder="1" applyAlignment="1" applyProtection="1">
      <alignment vertical="center"/>
    </xf>
    <xf numFmtId="164" fontId="3" fillId="9" borderId="26" xfId="5" applyNumberFormat="1" applyFont="1" applyFill="1" applyBorder="1" applyAlignment="1" applyProtection="1">
      <alignment vertical="center"/>
      <protection locked="0"/>
    </xf>
    <xf numFmtId="0" fontId="2" fillId="9" borderId="0" xfId="3" applyFill="1" applyProtection="1">
      <protection locked="0"/>
    </xf>
    <xf numFmtId="0" fontId="3" fillId="9" borderId="0" xfId="4" applyFill="1" applyProtection="1">
      <protection locked="0"/>
    </xf>
    <xf numFmtId="0" fontId="5" fillId="0" borderId="1" xfId="4" applyFont="1" applyBorder="1" applyAlignment="1" applyProtection="1">
      <alignment horizontal="center"/>
      <protection locked="0"/>
    </xf>
    <xf numFmtId="0" fontId="5" fillId="0" borderId="3" xfId="4" applyFont="1" applyBorder="1" applyAlignment="1" applyProtection="1">
      <alignment horizontal="center"/>
      <protection locked="0"/>
    </xf>
    <xf numFmtId="0" fontId="5" fillId="4" borderId="0" xfId="4" applyFont="1" applyFill="1" applyAlignment="1" applyProtection="1">
      <alignment horizontal="center" wrapText="1"/>
      <protection locked="0"/>
    </xf>
    <xf numFmtId="0" fontId="3" fillId="4" borderId="0" xfId="4" applyFill="1" applyAlignment="1" applyProtection="1">
      <alignment horizontal="center" wrapText="1"/>
      <protection locked="0"/>
    </xf>
    <xf numFmtId="0" fontId="5" fillId="0" borderId="26" xfId="4" applyFont="1" applyFill="1" applyBorder="1" applyAlignment="1" applyProtection="1">
      <alignment horizontal="center" wrapText="1"/>
      <protection locked="0"/>
    </xf>
    <xf numFmtId="0" fontId="3" fillId="0" borderId="24" xfId="4" applyBorder="1" applyAlignment="1" applyProtection="1">
      <alignment wrapText="1"/>
      <protection locked="0"/>
    </xf>
    <xf numFmtId="0" fontId="5" fillId="0" borderId="13" xfId="4" applyFont="1" applyFill="1" applyBorder="1" applyAlignment="1" applyProtection="1">
      <alignment horizontal="center" wrapText="1"/>
      <protection locked="0"/>
    </xf>
    <xf numFmtId="0" fontId="3" fillId="0" borderId="19" xfId="4" applyBorder="1" applyAlignment="1" applyProtection="1">
      <alignment wrapText="1"/>
      <protection locked="0"/>
    </xf>
    <xf numFmtId="0" fontId="21" fillId="0" borderId="0" xfId="4" applyFont="1" applyAlignment="1" applyProtection="1">
      <alignment horizontal="left" vertical="top" wrapText="1" indent="1"/>
      <protection locked="0"/>
    </xf>
    <xf numFmtId="0" fontId="5" fillId="16" borderId="0" xfId="4" applyFont="1" applyFill="1" applyAlignment="1" applyProtection="1">
      <alignment horizontal="left" vertical="top" wrapText="1"/>
      <protection locked="0"/>
    </xf>
    <xf numFmtId="0" fontId="15" fillId="4" borderId="4" xfId="4" applyFont="1" applyFill="1" applyBorder="1" applyAlignment="1" applyProtection="1">
      <alignment horizontal="left" vertical="top"/>
      <protection locked="0"/>
    </xf>
    <xf numFmtId="0" fontId="5" fillId="3" borderId="24" xfId="4" applyFont="1" applyFill="1" applyBorder="1" applyAlignment="1" applyProtection="1">
      <alignment horizontal="left" vertical="top"/>
      <protection locked="0"/>
    </xf>
    <xf numFmtId="0" fontId="5" fillId="4" borderId="24" xfId="4" applyFont="1" applyFill="1" applyBorder="1" applyAlignment="1" applyProtection="1">
      <alignment horizontal="left" vertical="top"/>
      <protection locked="0"/>
    </xf>
    <xf numFmtId="0" fontId="5" fillId="0" borderId="2" xfId="4" applyFont="1" applyBorder="1" applyAlignment="1" applyProtection="1">
      <alignment horizontal="center"/>
      <protection locked="0"/>
    </xf>
    <xf numFmtId="0" fontId="21" fillId="0" borderId="13" xfId="4" applyFont="1" applyBorder="1" applyAlignment="1" applyProtection="1">
      <alignment horizontal="left" vertical="top" wrapText="1" indent="1"/>
      <protection locked="0"/>
    </xf>
    <xf numFmtId="0" fontId="5" fillId="16" borderId="21" xfId="4" applyFont="1" applyFill="1" applyBorder="1" applyAlignment="1" applyProtection="1">
      <alignment horizontal="left" vertical="top" wrapText="1"/>
      <protection locked="0"/>
    </xf>
    <xf numFmtId="0" fontId="5" fillId="16" borderId="32" xfId="4" applyFont="1" applyFill="1" applyBorder="1" applyAlignment="1" applyProtection="1">
      <alignment horizontal="left" vertical="top" wrapText="1"/>
      <protection locked="0"/>
    </xf>
    <xf numFmtId="0" fontId="3" fillId="4" borderId="4" xfId="4" applyFont="1" applyFill="1" applyBorder="1" applyAlignment="1" applyProtection="1">
      <alignment horizontal="left" vertical="top"/>
    </xf>
    <xf numFmtId="0" fontId="3" fillId="4" borderId="4" xfId="4" applyFill="1" applyBorder="1" applyAlignment="1" applyProtection="1">
      <alignment horizontal="left" vertical="top"/>
    </xf>
    <xf numFmtId="0" fontId="5" fillId="0" borderId="1" xfId="4" applyFont="1" applyFill="1" applyBorder="1" applyAlignment="1" applyProtection="1">
      <alignment horizontal="center"/>
      <protection locked="0"/>
    </xf>
    <xf numFmtId="0" fontId="5" fillId="0" borderId="2" xfId="4" applyFont="1" applyFill="1" applyBorder="1" applyAlignment="1" applyProtection="1">
      <alignment horizontal="center"/>
      <protection locked="0"/>
    </xf>
    <xf numFmtId="0" fontId="5" fillId="0" borderId="3" xfId="4" applyFont="1" applyFill="1" applyBorder="1" applyAlignment="1" applyProtection="1">
      <alignment horizontal="center"/>
      <protection locked="0"/>
    </xf>
    <xf numFmtId="0" fontId="3" fillId="4" borderId="4" xfId="4" applyFont="1" applyFill="1" applyBorder="1" applyAlignment="1" applyProtection="1">
      <alignment horizontal="left" vertical="top" wrapText="1"/>
    </xf>
    <xf numFmtId="0" fontId="3" fillId="4" borderId="4" xfId="4" applyFill="1" applyBorder="1" applyAlignment="1" applyProtection="1">
      <alignment horizontal="left" vertical="top" wrapText="1"/>
    </xf>
    <xf numFmtId="0" fontId="3" fillId="11" borderId="1" xfId="4" applyFill="1" applyBorder="1" applyAlignment="1" applyProtection="1">
      <alignment horizontal="center" vertical="center" wrapText="1"/>
    </xf>
    <xf numFmtId="0" fontId="3" fillId="11" borderId="2" xfId="4" applyFill="1" applyBorder="1" applyAlignment="1" applyProtection="1">
      <alignment horizontal="center" vertical="center" wrapText="1"/>
    </xf>
    <xf numFmtId="0" fontId="3" fillId="11" borderId="3" xfId="4" applyFill="1" applyBorder="1" applyAlignment="1" applyProtection="1">
      <alignment horizontal="center" vertical="center" wrapText="1"/>
    </xf>
    <xf numFmtId="0" fontId="5" fillId="0" borderId="5" xfId="4" applyFont="1" applyBorder="1" applyAlignment="1" applyProtection="1">
      <alignment horizontal="left" vertical="center" wrapText="1"/>
    </xf>
    <xf numFmtId="0" fontId="5" fillId="0" borderId="6" xfId="4" applyFont="1" applyBorder="1" applyAlignment="1" applyProtection="1">
      <alignment horizontal="left" vertical="center"/>
    </xf>
    <xf numFmtId="0" fontId="5" fillId="0" borderId="7" xfId="4" applyFont="1" applyBorder="1" applyAlignment="1" applyProtection="1">
      <alignment horizontal="left" vertical="center"/>
    </xf>
    <xf numFmtId="0" fontId="5" fillId="0" borderId="12" xfId="4" applyFont="1" applyBorder="1" applyAlignment="1" applyProtection="1">
      <alignment horizontal="left" vertical="center"/>
    </xf>
    <xf numFmtId="0" fontId="5" fillId="0" borderId="0" xfId="4" applyFont="1" applyBorder="1" applyAlignment="1" applyProtection="1">
      <alignment horizontal="left" vertical="center"/>
    </xf>
    <xf numFmtId="0" fontId="5" fillId="0" borderId="13" xfId="4" applyFont="1" applyBorder="1" applyAlignment="1" applyProtection="1">
      <alignment horizontal="left" vertical="center"/>
    </xf>
    <xf numFmtId="0" fontId="5" fillId="0" borderId="17" xfId="4" applyFont="1" applyBorder="1" applyAlignment="1" applyProtection="1">
      <alignment horizontal="left" vertical="center"/>
    </xf>
    <xf numFmtId="0" fontId="5" fillId="0" borderId="18" xfId="4" applyFont="1" applyBorder="1" applyAlignment="1" applyProtection="1">
      <alignment horizontal="left" vertical="center"/>
    </xf>
    <xf numFmtId="0" fontId="5" fillId="0" borderId="19" xfId="4" applyFont="1" applyBorder="1" applyAlignment="1" applyProtection="1">
      <alignment horizontal="left" vertical="center"/>
    </xf>
    <xf numFmtId="0" fontId="5" fillId="0" borderId="4" xfId="4" applyFont="1" applyBorder="1" applyAlignment="1" applyProtection="1">
      <alignment horizontal="center" vertical="center"/>
    </xf>
    <xf numFmtId="0" fontId="5" fillId="8" borderId="4" xfId="4" applyFont="1" applyFill="1" applyBorder="1" applyAlignment="1" applyProtection="1">
      <alignment horizontal="center" vertical="center"/>
    </xf>
    <xf numFmtId="0" fontId="5" fillId="8" borderId="1" xfId="4" applyFont="1" applyFill="1" applyBorder="1" applyAlignment="1" applyProtection="1">
      <alignment horizontal="center" vertical="center"/>
    </xf>
    <xf numFmtId="0" fontId="5" fillId="8" borderId="2" xfId="4" applyFont="1" applyFill="1" applyBorder="1" applyAlignment="1" applyProtection="1">
      <alignment horizontal="center" vertical="center"/>
    </xf>
    <xf numFmtId="0" fontId="5" fillId="8" borderId="3" xfId="4" applyFont="1" applyFill="1" applyBorder="1" applyAlignment="1" applyProtection="1">
      <alignment horizontal="center" vertical="center"/>
    </xf>
    <xf numFmtId="0" fontId="5" fillId="10" borderId="4" xfId="4" applyFont="1" applyFill="1" applyBorder="1" applyAlignment="1" applyProtection="1">
      <alignment horizontal="center" vertical="center"/>
    </xf>
  </cellXfs>
  <cellStyles count="9">
    <cellStyle name="Comma 4" xfId="5"/>
    <cellStyle name="Currency" xfId="1" builtinId="4"/>
    <cellStyle name="Currency 2" xfId="7"/>
    <cellStyle name="Good" xfId="3" builtinId="26"/>
    <cellStyle name="Hyperlink" xfId="6" builtinId="8"/>
    <cellStyle name="Normal" xfId="0" builtinId="0"/>
    <cellStyle name="Normal 2" xfId="4"/>
    <cellStyle name="Percent" xfId="2" builtinId="5"/>
    <cellStyle name="Percent 2" xfId="8"/>
  </cellStyles>
  <dxfs count="9">
    <dxf>
      <font>
        <strike val="0"/>
        <color theme="1"/>
      </font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  <dxf>
      <fill>
        <patternFill>
          <bgColor theme="6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OEB/IR%204_NOTL_2016_IRM_RateGen_Model_20150928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589%20adj_Calculator_Reply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1576%20adj_Calculator_Reply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. Information Sheet"/>
      <sheetName val="Sheet1"/>
      <sheetName val="2. Current Tariff Schedule"/>
      <sheetName val="2016 List"/>
      <sheetName val="3. 2015 Continuity Schedule"/>
      <sheetName val="4. Billing Det. for Def-Var"/>
      <sheetName val="2.1.5 RetailerConsumptionData"/>
      <sheetName val="2.1.5 DistributrConsumptionData"/>
      <sheetName val="2.1.5 TotalConsumptionData"/>
      <sheetName val="212_Total_Connection_RollUp"/>
      <sheetName val="5. Allocating Def-Var Balances"/>
      <sheetName val="6. Calculation of Def-Var RR"/>
      <sheetName val="7. STS - Tax Change"/>
      <sheetName val="8. Shared Tax - Rate Rider"/>
      <sheetName val="9. RTSR Current Rates"/>
      <sheetName val="10. RTSR - UTRs &amp; Sub-Tx"/>
      <sheetName val="11. RTSR - Historical Wholesale"/>
      <sheetName val="12. RTSR - Current Wholesale"/>
      <sheetName val="13. RTSR - Forecast Wholesale"/>
      <sheetName val="14. RTSR Rates to Forecast"/>
      <sheetName val="15. Rev2Cost_GDPIPI"/>
      <sheetName val="16. Additional Rates"/>
      <sheetName val="17. Final Tariff Schedule"/>
      <sheetName val="18. Bill Impacts"/>
      <sheetName val="18. HIDDEN"/>
      <sheetName val="18. Bill Impacts hidden"/>
      <sheetName val="2.1.7 Filing"/>
      <sheetName val="2015 Database"/>
      <sheetName val="lists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6">
          <cell r="A16" t="str">
            <v>Rate Class</v>
          </cell>
          <cell r="B16" t="str">
            <v>Unit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>
        <row r="19">
          <cell r="M19">
            <v>6.3151407882309583E-3</v>
          </cell>
        </row>
        <row r="20">
          <cell r="M20">
            <v>6.3151407882309583E-3</v>
          </cell>
        </row>
        <row r="21">
          <cell r="M21">
            <v>2.4888316270008159</v>
          </cell>
        </row>
        <row r="22">
          <cell r="M22">
            <v>0</v>
          </cell>
        </row>
        <row r="23">
          <cell r="M23">
            <v>2.2624296411083544</v>
          </cell>
        </row>
      </sheetData>
      <sheetData sheetId="1"/>
      <sheetData sheetId="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tinuity"/>
      <sheetName val="PPE Difference"/>
      <sheetName val="Rider Original"/>
      <sheetName val="Rider One Year"/>
      <sheetName val="Rider 3 years Fixed Res"/>
      <sheetName val="Rider One Year Fixed Res"/>
      <sheetName val="NOTL Reply 2  years Fixed Res"/>
    </sheetNames>
    <sheetDataSet>
      <sheetData sheetId="0"/>
      <sheetData sheetId="1"/>
      <sheetData sheetId="2"/>
      <sheetData sheetId="3"/>
      <sheetData sheetId="4"/>
      <sheetData sheetId="5"/>
      <sheetData sheetId="6">
        <row r="53">
          <cell r="M53">
            <v>-1.56</v>
          </cell>
        </row>
        <row r="54">
          <cell r="M54">
            <v>-2.0183759213232783E-3</v>
          </cell>
        </row>
        <row r="55">
          <cell r="M55">
            <v>-0.78512499932245561</v>
          </cell>
        </row>
        <row r="56">
          <cell r="M56">
            <v>-2.0183759213232783E-3</v>
          </cell>
        </row>
        <row r="57">
          <cell r="M57">
            <v>-0.72523463289141077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CM411"/>
  <sheetViews>
    <sheetView tabSelected="1" topLeftCell="C22" workbookViewId="0">
      <selection activeCell="CD39" sqref="CD39"/>
    </sheetView>
  </sheetViews>
  <sheetFormatPr defaultRowHeight="12.75" x14ac:dyDescent="0.2"/>
  <cols>
    <col min="1" max="1" width="15.28515625" style="3" hidden="1" customWidth="1"/>
    <col min="2" max="2" width="9.140625" style="3" hidden="1" customWidth="1"/>
    <col min="3" max="3" width="3.28515625" style="3" customWidth="1"/>
    <col min="4" max="4" width="35.7109375" style="3" customWidth="1"/>
    <col min="5" max="5" width="13.140625" style="3" customWidth="1"/>
    <col min="6" max="6" width="12.28515625" style="3" customWidth="1"/>
    <col min="7" max="7" width="11.5703125" style="3" customWidth="1"/>
    <col min="8" max="8" width="11.28515625" style="3" customWidth="1"/>
    <col min="9" max="9" width="12.140625" style="3" customWidth="1"/>
    <col min="10" max="10" width="11.28515625" style="3" bestFit="1" customWidth="1"/>
    <col min="11" max="11" width="10.140625" style="3" customWidth="1"/>
    <col min="12" max="12" width="11.5703125" style="3" customWidth="1"/>
    <col min="13" max="13" width="8.85546875" style="3" customWidth="1"/>
    <col min="14" max="14" width="11" style="3" bestFit="1" customWidth="1"/>
    <col min="15" max="15" width="7.140625" style="3" bestFit="1" customWidth="1"/>
    <col min="16" max="16" width="8.7109375" style="3" bestFit="1" customWidth="1"/>
    <col min="17" max="17" width="11.28515625" style="3" hidden="1" customWidth="1"/>
    <col min="18" max="79" width="9.140625" style="3" hidden="1" customWidth="1"/>
    <col min="80" max="80" width="11.28515625" style="3" customWidth="1"/>
    <col min="81" max="81" width="9.140625" style="3" customWidth="1"/>
    <col min="82" max="82" width="12" style="3" customWidth="1"/>
    <col min="83" max="83" width="28.42578125" style="3" bestFit="1" customWidth="1"/>
    <col min="84" max="87" width="9.140625" style="3"/>
    <col min="88" max="88" width="28.42578125" style="3" bestFit="1" customWidth="1"/>
    <col min="89" max="89" width="8" style="3" bestFit="1" customWidth="1"/>
    <col min="90" max="90" width="10.7109375" style="3" bestFit="1" customWidth="1"/>
    <col min="91" max="91" width="9.42578125" style="3" bestFit="1" customWidth="1"/>
    <col min="92" max="16384" width="9.140625" style="3"/>
  </cols>
  <sheetData>
    <row r="1" spans="2:45" s="1" customFormat="1" x14ac:dyDescent="0.2">
      <c r="C1" s="80"/>
      <c r="D1" s="147" t="s">
        <v>0</v>
      </c>
      <c r="E1" s="148"/>
      <c r="F1" s="83"/>
      <c r="G1" s="84"/>
      <c r="H1" s="149"/>
      <c r="I1" s="83"/>
      <c r="J1" s="84"/>
      <c r="K1" s="145"/>
      <c r="L1" s="146"/>
      <c r="R1" s="3"/>
      <c r="S1" s="3"/>
      <c r="T1" s="3"/>
      <c r="U1" s="3"/>
      <c r="V1" s="3"/>
    </row>
    <row r="2" spans="2:45" s="1" customFormat="1" ht="63.75" x14ac:dyDescent="0.2">
      <c r="C2" s="80"/>
      <c r="D2" s="147" t="s">
        <v>1</v>
      </c>
      <c r="E2" s="88"/>
      <c r="F2" s="89"/>
      <c r="G2" s="90" t="s">
        <v>2</v>
      </c>
      <c r="H2" s="102" t="s">
        <v>3</v>
      </c>
      <c r="I2" s="83" t="s">
        <v>4</v>
      </c>
      <c r="J2" s="84" t="s">
        <v>5</v>
      </c>
      <c r="K2" s="145" t="s">
        <v>6</v>
      </c>
      <c r="L2" s="146" t="s">
        <v>7</v>
      </c>
      <c r="M2" s="4" t="s">
        <v>8</v>
      </c>
      <c r="N2" s="5" t="s">
        <v>9</v>
      </c>
      <c r="R2" s="3"/>
      <c r="S2" s="3"/>
      <c r="T2" s="3"/>
      <c r="U2" s="3"/>
      <c r="V2" s="3"/>
    </row>
    <row r="3" spans="2:45" s="1" customFormat="1" ht="15" x14ac:dyDescent="0.2">
      <c r="B3" s="1">
        <v>1</v>
      </c>
      <c r="C3" s="6">
        <v>1</v>
      </c>
      <c r="D3" s="7" t="s">
        <v>10</v>
      </c>
      <c r="E3" s="8"/>
      <c r="F3" s="9"/>
      <c r="G3" s="10" t="s">
        <v>11</v>
      </c>
      <c r="H3" s="11" t="s">
        <v>12</v>
      </c>
      <c r="I3" s="12" t="s">
        <v>13</v>
      </c>
      <c r="J3" s="13">
        <v>1.0379</v>
      </c>
      <c r="K3" s="14">
        <f t="shared" ref="K3:K22" si="0">IF(ISBLANK(J3),"", J3)</f>
        <v>1.0379</v>
      </c>
      <c r="L3" s="15">
        <v>800</v>
      </c>
      <c r="M3" s="15"/>
      <c r="N3" s="16" t="s">
        <v>14</v>
      </c>
      <c r="R3" s="3"/>
      <c r="S3" s="3"/>
      <c r="T3" s="3">
        <f>SUM(J3:M3)</f>
        <v>802.07579999999996</v>
      </c>
      <c r="U3" s="3">
        <v>78</v>
      </c>
      <c r="V3" s="3"/>
      <c r="AS3" s="1">
        <v>1</v>
      </c>
    </row>
    <row r="4" spans="2:45" s="1" customFormat="1" ht="15" x14ac:dyDescent="0.2">
      <c r="B4" s="1">
        <v>2</v>
      </c>
      <c r="C4" s="6">
        <v>2</v>
      </c>
      <c r="D4" s="7" t="s">
        <v>15</v>
      </c>
      <c r="E4" s="8"/>
      <c r="F4" s="9"/>
      <c r="G4" s="10" t="s">
        <v>11</v>
      </c>
      <c r="H4" s="11" t="s">
        <v>12</v>
      </c>
      <c r="I4" s="12" t="s">
        <v>13</v>
      </c>
      <c r="J4" s="13">
        <v>1.0379</v>
      </c>
      <c r="K4" s="14">
        <f t="shared" si="0"/>
        <v>1.0379</v>
      </c>
      <c r="L4" s="15">
        <v>2000</v>
      </c>
      <c r="M4" s="15"/>
      <c r="N4" s="16" t="s">
        <v>14</v>
      </c>
      <c r="O4" s="17"/>
      <c r="R4" s="3"/>
      <c r="S4" s="3"/>
      <c r="T4" s="3">
        <f t="shared" ref="T4:T22" si="1">SUM(J4:M4)</f>
        <v>2002.0758000000001</v>
      </c>
      <c r="U4" s="3">
        <f>U3+68</f>
        <v>146</v>
      </c>
      <c r="V4" s="3"/>
      <c r="AS4" s="1">
        <v>2</v>
      </c>
    </row>
    <row r="5" spans="2:45" s="1" customFormat="1" ht="25.5" x14ac:dyDescent="0.2">
      <c r="B5" s="1">
        <v>3</v>
      </c>
      <c r="C5" s="6">
        <v>3</v>
      </c>
      <c r="D5" s="7" t="s">
        <v>16</v>
      </c>
      <c r="E5" s="8"/>
      <c r="F5" s="9"/>
      <c r="G5" s="10" t="s">
        <v>17</v>
      </c>
      <c r="H5" s="11" t="s">
        <v>18</v>
      </c>
      <c r="I5" s="12" t="s">
        <v>19</v>
      </c>
      <c r="J5" s="13">
        <v>1.0379</v>
      </c>
      <c r="K5" s="14">
        <f t="shared" si="0"/>
        <v>1.0379</v>
      </c>
      <c r="L5" s="15">
        <v>56000</v>
      </c>
      <c r="M5" s="15">
        <v>150</v>
      </c>
      <c r="N5" s="16" t="s">
        <v>20</v>
      </c>
      <c r="O5" s="17"/>
      <c r="R5" s="3"/>
      <c r="S5" s="3"/>
      <c r="T5" s="3">
        <f t="shared" si="1"/>
        <v>56152.075799999999</v>
      </c>
      <c r="U5" s="3">
        <f t="shared" ref="U5:U22" si="2">U4+68</f>
        <v>214</v>
      </c>
      <c r="V5" s="3"/>
      <c r="AS5" s="1">
        <v>3</v>
      </c>
    </row>
    <row r="6" spans="2:45" s="1" customFormat="1" ht="15" x14ac:dyDescent="0.2">
      <c r="B6" s="1">
        <v>4</v>
      </c>
      <c r="C6" s="6">
        <v>4</v>
      </c>
      <c r="D6" s="7" t="s">
        <v>21</v>
      </c>
      <c r="E6" s="8"/>
      <c r="F6" s="9"/>
      <c r="G6" s="10" t="s">
        <v>11</v>
      </c>
      <c r="H6" s="11" t="s">
        <v>12</v>
      </c>
      <c r="I6" s="12" t="s">
        <v>13</v>
      </c>
      <c r="J6" s="13">
        <v>1.0379</v>
      </c>
      <c r="K6" s="14">
        <f t="shared" si="0"/>
        <v>1.0379</v>
      </c>
      <c r="L6" s="15">
        <v>900</v>
      </c>
      <c r="M6" s="15"/>
      <c r="N6" s="16" t="s">
        <v>14</v>
      </c>
      <c r="O6" s="17"/>
      <c r="R6" s="3"/>
      <c r="S6" s="3"/>
      <c r="T6" s="3">
        <f t="shared" si="1"/>
        <v>902.07579999999996</v>
      </c>
      <c r="U6" s="3">
        <f t="shared" si="2"/>
        <v>282</v>
      </c>
      <c r="V6" s="3"/>
      <c r="AS6" s="1">
        <v>4</v>
      </c>
    </row>
    <row r="7" spans="2:45" s="1" customFormat="1" ht="15" x14ac:dyDescent="0.2">
      <c r="B7" s="1">
        <v>5</v>
      </c>
      <c r="C7" s="6">
        <v>5</v>
      </c>
      <c r="D7" s="7" t="s">
        <v>22</v>
      </c>
      <c r="E7" s="8"/>
      <c r="F7" s="9"/>
      <c r="G7" s="10" t="s">
        <v>17</v>
      </c>
      <c r="H7" s="11" t="s">
        <v>12</v>
      </c>
      <c r="I7" s="12" t="s">
        <v>13</v>
      </c>
      <c r="J7" s="13">
        <v>1.0379</v>
      </c>
      <c r="K7" s="14">
        <f t="shared" si="0"/>
        <v>1.0379</v>
      </c>
      <c r="L7" s="15">
        <v>50</v>
      </c>
      <c r="M7" s="15">
        <v>0.14000000000000001</v>
      </c>
      <c r="N7" s="16" t="s">
        <v>20</v>
      </c>
      <c r="O7" s="17"/>
      <c r="R7" s="3"/>
      <c r="S7" s="3"/>
      <c r="T7" s="3">
        <f t="shared" si="1"/>
        <v>52.215800000000002</v>
      </c>
      <c r="U7" s="3">
        <f t="shared" si="2"/>
        <v>350</v>
      </c>
      <c r="V7" s="3"/>
      <c r="AS7" s="1">
        <v>5</v>
      </c>
    </row>
    <row r="8" spans="2:45" s="1" customFormat="1" ht="15" x14ac:dyDescent="0.2">
      <c r="B8" s="1">
        <v>6</v>
      </c>
      <c r="C8" s="6">
        <f>IF(ISERROR(VLOOKUP(D8, D3:AS22, 42, FALSE)),"", VLOOKUP(D8, D3:AS22, 42, FALSE))</f>
        <v>1</v>
      </c>
      <c r="D8" s="18" t="s">
        <v>10</v>
      </c>
      <c r="E8" s="19" t="s">
        <v>23</v>
      </c>
      <c r="F8" s="20"/>
      <c r="G8" s="10" t="s">
        <v>11</v>
      </c>
      <c r="H8" s="11" t="s">
        <v>12</v>
      </c>
      <c r="I8" s="12" t="s">
        <v>13</v>
      </c>
      <c r="J8" s="13">
        <v>1.0379</v>
      </c>
      <c r="K8" s="14">
        <f t="shared" si="0"/>
        <v>1.0379</v>
      </c>
      <c r="L8" s="15">
        <v>288</v>
      </c>
      <c r="M8" s="15"/>
      <c r="N8" s="16" t="s">
        <v>14</v>
      </c>
      <c r="O8" s="17"/>
      <c r="R8" s="3"/>
      <c r="S8" s="3"/>
      <c r="T8" s="3">
        <f t="shared" si="1"/>
        <v>290.07580000000002</v>
      </c>
      <c r="U8" s="3">
        <f t="shared" si="2"/>
        <v>418</v>
      </c>
      <c r="V8" s="3"/>
      <c r="AS8" s="1">
        <v>6</v>
      </c>
    </row>
    <row r="9" spans="2:45" s="1" customFormat="1" ht="25.5" x14ac:dyDescent="0.2">
      <c r="B9" s="1">
        <v>7</v>
      </c>
      <c r="C9" s="6">
        <f>IF(ISERROR(VLOOKUP(D9, D3:AS22, 42, FALSE)),"", VLOOKUP(D9, D3:AS22, 42, FALSE))</f>
        <v>1</v>
      </c>
      <c r="D9" s="18" t="s">
        <v>10</v>
      </c>
      <c r="E9" s="19" t="s">
        <v>23</v>
      </c>
      <c r="F9" s="20"/>
      <c r="G9" s="10" t="s">
        <v>11</v>
      </c>
      <c r="H9" s="11" t="s">
        <v>24</v>
      </c>
      <c r="I9" s="12" t="s">
        <v>13</v>
      </c>
      <c r="J9" s="13">
        <v>1.0379</v>
      </c>
      <c r="K9" s="14">
        <f t="shared" si="0"/>
        <v>1.0379</v>
      </c>
      <c r="L9" s="15">
        <v>365</v>
      </c>
      <c r="M9" s="15"/>
      <c r="N9" s="16" t="s">
        <v>14</v>
      </c>
      <c r="R9" s="3"/>
      <c r="S9" s="3"/>
      <c r="T9" s="3">
        <f t="shared" si="1"/>
        <v>367.07580000000002</v>
      </c>
      <c r="U9" s="3">
        <f t="shared" si="2"/>
        <v>486</v>
      </c>
      <c r="V9" s="3"/>
      <c r="AS9" s="1">
        <v>7</v>
      </c>
    </row>
    <row r="10" spans="2:45" s="1" customFormat="1" ht="15" x14ac:dyDescent="0.2">
      <c r="B10" s="1">
        <v>8</v>
      </c>
      <c r="C10" s="6">
        <f>IF(ISERROR(VLOOKUP(D10, D3:AS22, 42, FALSE)),"", VLOOKUP(D10, D3:AS22, 42, FALSE))</f>
        <v>8</v>
      </c>
      <c r="D10" s="21" t="s">
        <v>25</v>
      </c>
      <c r="E10" s="19"/>
      <c r="F10" s="20"/>
      <c r="G10" s="10" t="str">
        <f>IF(ISERROR(VLOOKUP(D10, '[1]4. Billing Det. for Def-Var'!$A$16:$B$16, 2, FALSE)),"", VLOOKUP(D10,'[1]4. Billing Det. for Def-Var'!$A$16:$B$16, 2, FALSE))</f>
        <v/>
      </c>
      <c r="H10" s="12"/>
      <c r="I10" s="12"/>
      <c r="J10" s="13"/>
      <c r="K10" s="14" t="str">
        <f t="shared" si="0"/>
        <v/>
      </c>
      <c r="L10" s="15"/>
      <c r="M10" s="15"/>
      <c r="N10" s="16"/>
      <c r="R10" s="3"/>
      <c r="S10" s="3"/>
      <c r="T10" s="3">
        <f t="shared" si="1"/>
        <v>0</v>
      </c>
      <c r="U10" s="3">
        <f t="shared" si="2"/>
        <v>554</v>
      </c>
      <c r="V10" s="3"/>
      <c r="AS10" s="1">
        <v>8</v>
      </c>
    </row>
    <row r="11" spans="2:45" s="1" customFormat="1" ht="15" x14ac:dyDescent="0.2">
      <c r="B11" s="1">
        <v>9</v>
      </c>
      <c r="C11" s="6">
        <f>IF(ISERROR(VLOOKUP(D11, D3:AS22, 42, FALSE)),"", VLOOKUP(D11, D3:AS22, 42, FALSE))</f>
        <v>8</v>
      </c>
      <c r="D11" s="21" t="s">
        <v>25</v>
      </c>
      <c r="E11" s="19"/>
      <c r="F11" s="20"/>
      <c r="G11" s="10" t="str">
        <f>IF(ISERROR(VLOOKUP(D11, '[1]4. Billing Det. for Def-Var'!$A$16:$B$16, 2, FALSE)),"", VLOOKUP(D11,'[1]4. Billing Det. for Def-Var'!$A$16:$B$16, 2, FALSE))</f>
        <v/>
      </c>
      <c r="H11" s="12"/>
      <c r="I11" s="12"/>
      <c r="J11" s="13"/>
      <c r="K11" s="14" t="str">
        <f t="shared" si="0"/>
        <v/>
      </c>
      <c r="L11" s="15"/>
      <c r="M11" s="15"/>
      <c r="N11" s="16"/>
      <c r="R11" s="3"/>
      <c r="S11" s="3"/>
      <c r="T11" s="3">
        <f t="shared" si="1"/>
        <v>0</v>
      </c>
      <c r="U11" s="3">
        <f t="shared" si="2"/>
        <v>622</v>
      </c>
      <c r="V11" s="3"/>
      <c r="AS11" s="1">
        <v>9</v>
      </c>
    </row>
    <row r="12" spans="2:45" s="1" customFormat="1" ht="15" x14ac:dyDescent="0.2">
      <c r="B12" s="1">
        <v>10</v>
      </c>
      <c r="C12" s="6">
        <f>IF(ISERROR(VLOOKUP(D12, D3:AS22, 42, FALSE)),"", VLOOKUP(D12, D3:AS22, 42, FALSE))</f>
        <v>8</v>
      </c>
      <c r="D12" s="21" t="s">
        <v>25</v>
      </c>
      <c r="E12" s="19"/>
      <c r="F12" s="20"/>
      <c r="G12" s="10" t="str">
        <f>IF(ISERROR(VLOOKUP(D12, '[1]4. Billing Det. for Def-Var'!$A$16:$B$16, 2, FALSE)),"", VLOOKUP(D12,'[1]4. Billing Det. for Def-Var'!$A$16:$B$16, 2, FALSE))</f>
        <v/>
      </c>
      <c r="H12" s="12"/>
      <c r="I12" s="12"/>
      <c r="J12" s="13"/>
      <c r="K12" s="14" t="str">
        <f t="shared" si="0"/>
        <v/>
      </c>
      <c r="L12" s="15"/>
      <c r="M12" s="15"/>
      <c r="N12" s="16"/>
      <c r="R12" s="3"/>
      <c r="S12" s="3"/>
      <c r="T12" s="3">
        <f t="shared" si="1"/>
        <v>0</v>
      </c>
      <c r="U12" s="3">
        <f t="shared" si="2"/>
        <v>690</v>
      </c>
      <c r="V12" s="3"/>
      <c r="AS12" s="1">
        <v>10</v>
      </c>
    </row>
    <row r="13" spans="2:45" s="1" customFormat="1" ht="15" x14ac:dyDescent="0.2">
      <c r="B13" s="1">
        <v>11</v>
      </c>
      <c r="C13" s="6">
        <f>IF(ISERROR(VLOOKUP(D13, D3:AS22, 42, FALSE)),"", VLOOKUP(D13, D3:AS22, 42, FALSE))</f>
        <v>8</v>
      </c>
      <c r="D13" s="21" t="s">
        <v>25</v>
      </c>
      <c r="E13" s="19"/>
      <c r="F13" s="20"/>
      <c r="G13" s="10" t="str">
        <f>IF(ISERROR(VLOOKUP(D13, '[1]4. Billing Det. for Def-Var'!$A$16:$B$16, 2, FALSE)),"", VLOOKUP(D13,'[1]4. Billing Det. for Def-Var'!$A$16:$B$16, 2, FALSE))</f>
        <v/>
      </c>
      <c r="H13" s="12"/>
      <c r="I13" s="12"/>
      <c r="J13" s="13"/>
      <c r="K13" s="14" t="str">
        <f t="shared" si="0"/>
        <v/>
      </c>
      <c r="L13" s="15"/>
      <c r="M13" s="15"/>
      <c r="N13" s="16"/>
      <c r="R13" s="3"/>
      <c r="S13" s="3"/>
      <c r="T13" s="3">
        <f t="shared" si="1"/>
        <v>0</v>
      </c>
      <c r="U13" s="3">
        <f t="shared" si="2"/>
        <v>758</v>
      </c>
      <c r="V13" s="3"/>
    </row>
    <row r="14" spans="2:45" s="1" customFormat="1" ht="15" x14ac:dyDescent="0.2">
      <c r="B14" s="1">
        <v>12</v>
      </c>
      <c r="C14" s="6">
        <f>IF(ISERROR(VLOOKUP(D14, D3:AS22, 42, FALSE)),"", VLOOKUP(D14, D3:AS22, 42, FALSE))</f>
        <v>8</v>
      </c>
      <c r="D14" s="21" t="s">
        <v>25</v>
      </c>
      <c r="E14" s="19"/>
      <c r="F14" s="20"/>
      <c r="G14" s="10" t="str">
        <f>IF(ISERROR(VLOOKUP(D14, '[1]4. Billing Det. for Def-Var'!$A$16:$B$16, 2, FALSE)),"", VLOOKUP(D14,'[1]4. Billing Det. for Def-Var'!$A$16:$B$16, 2, FALSE))</f>
        <v/>
      </c>
      <c r="H14" s="12"/>
      <c r="I14" s="12"/>
      <c r="J14" s="13"/>
      <c r="K14" s="14" t="str">
        <f t="shared" si="0"/>
        <v/>
      </c>
      <c r="L14" s="15"/>
      <c r="M14" s="15"/>
      <c r="N14" s="16"/>
      <c r="R14" s="3"/>
      <c r="S14" s="3"/>
      <c r="T14" s="3">
        <f t="shared" si="1"/>
        <v>0</v>
      </c>
      <c r="U14" s="3">
        <f t="shared" si="2"/>
        <v>826</v>
      </c>
      <c r="V14" s="3"/>
    </row>
    <row r="15" spans="2:45" s="1" customFormat="1" ht="15" x14ac:dyDescent="0.2">
      <c r="B15" s="1">
        <v>13</v>
      </c>
      <c r="C15" s="6">
        <f>IF(ISERROR(VLOOKUP(D15, D3:AS22, 42, FALSE)),"", VLOOKUP(D15, D3:AS22, 42, FALSE))</f>
        <v>8</v>
      </c>
      <c r="D15" s="21" t="s">
        <v>25</v>
      </c>
      <c r="E15" s="19"/>
      <c r="F15" s="20"/>
      <c r="G15" s="10" t="str">
        <f>IF(ISERROR(VLOOKUP(D15, '[1]4. Billing Det. for Def-Var'!$A$16:$B$16, 2, FALSE)),"", VLOOKUP(D15,'[1]4. Billing Det. for Def-Var'!$A$16:$B$16, 2, FALSE))</f>
        <v/>
      </c>
      <c r="H15" s="12"/>
      <c r="I15" s="12"/>
      <c r="J15" s="13"/>
      <c r="K15" s="14" t="str">
        <f t="shared" si="0"/>
        <v/>
      </c>
      <c r="L15" s="15"/>
      <c r="M15" s="15"/>
      <c r="N15" s="16"/>
      <c r="R15" s="3"/>
      <c r="S15" s="3"/>
      <c r="T15" s="3">
        <f t="shared" si="1"/>
        <v>0</v>
      </c>
      <c r="U15" s="3">
        <f t="shared" si="2"/>
        <v>894</v>
      </c>
      <c r="V15" s="3"/>
    </row>
    <row r="16" spans="2:45" s="1" customFormat="1" ht="15" x14ac:dyDescent="0.2">
      <c r="B16" s="1">
        <v>14</v>
      </c>
      <c r="C16" s="6">
        <f>IF(ISERROR(VLOOKUP(D16, D3:AS22, 42, FALSE)),"", VLOOKUP(D16, D3:AS22, 42, FALSE))</f>
        <v>8</v>
      </c>
      <c r="D16" s="21" t="s">
        <v>25</v>
      </c>
      <c r="E16" s="19"/>
      <c r="F16" s="20"/>
      <c r="G16" s="10" t="str">
        <f>IF(ISERROR(VLOOKUP(D16, '[1]4. Billing Det. for Def-Var'!$A$16:$B$16, 2, FALSE)),"", VLOOKUP(D16,'[1]4. Billing Det. for Def-Var'!$A$16:$B$16, 2, FALSE))</f>
        <v/>
      </c>
      <c r="H16" s="12"/>
      <c r="I16" s="12"/>
      <c r="J16" s="13"/>
      <c r="K16" s="14" t="str">
        <f t="shared" si="0"/>
        <v/>
      </c>
      <c r="L16" s="15"/>
      <c r="M16" s="15"/>
      <c r="N16" s="16"/>
      <c r="R16" s="3"/>
      <c r="S16" s="3"/>
      <c r="T16" s="3">
        <f t="shared" si="1"/>
        <v>0</v>
      </c>
      <c r="U16" s="3">
        <f t="shared" si="2"/>
        <v>962</v>
      </c>
      <c r="V16" s="3"/>
    </row>
    <row r="17" spans="2:91" s="1" customFormat="1" ht="15" x14ac:dyDescent="0.2">
      <c r="B17" s="1">
        <v>15</v>
      </c>
      <c r="C17" s="6">
        <f>IF(ISERROR(VLOOKUP(D17, D3:AS22, 42, FALSE)),"", VLOOKUP(D17, D3:AS22, 42, FALSE))</f>
        <v>8</v>
      </c>
      <c r="D17" s="21" t="s">
        <v>25</v>
      </c>
      <c r="E17" s="19"/>
      <c r="F17" s="20"/>
      <c r="G17" s="10" t="str">
        <f>IF(ISERROR(VLOOKUP(D17, '[1]4. Billing Det. for Def-Var'!$A$16:$B$16, 2, FALSE)),"", VLOOKUP(D17,'[1]4. Billing Det. for Def-Var'!$A$16:$B$16, 2, FALSE))</f>
        <v/>
      </c>
      <c r="H17" s="12"/>
      <c r="I17" s="12"/>
      <c r="J17" s="13"/>
      <c r="K17" s="14" t="str">
        <f t="shared" si="0"/>
        <v/>
      </c>
      <c r="L17" s="15"/>
      <c r="M17" s="15"/>
      <c r="N17" s="16"/>
      <c r="R17" s="3"/>
      <c r="S17" s="3"/>
      <c r="T17" s="3">
        <f t="shared" si="1"/>
        <v>0</v>
      </c>
      <c r="U17" s="3">
        <f t="shared" si="2"/>
        <v>1030</v>
      </c>
      <c r="V17" s="3"/>
    </row>
    <row r="18" spans="2:91" s="1" customFormat="1" ht="15" x14ac:dyDescent="0.2">
      <c r="B18" s="1">
        <v>16</v>
      </c>
      <c r="C18" s="6">
        <f>IF(ISERROR(VLOOKUP(D18, D3:AS22, 42, FALSE)),"", VLOOKUP(D18, D3:AS22, 42, FALSE))</f>
        <v>8</v>
      </c>
      <c r="D18" s="21" t="s">
        <v>25</v>
      </c>
      <c r="E18" s="19"/>
      <c r="F18" s="20"/>
      <c r="G18" s="10" t="str">
        <f>IF(ISERROR(VLOOKUP(D18, '[1]4. Billing Det. for Def-Var'!$A$16:$B$16, 2, FALSE)),"", VLOOKUP(D18,'[1]4. Billing Det. for Def-Var'!$A$16:$B$16, 2, FALSE))</f>
        <v/>
      </c>
      <c r="H18" s="12"/>
      <c r="I18" s="12"/>
      <c r="J18" s="13"/>
      <c r="K18" s="14" t="str">
        <f t="shared" si="0"/>
        <v/>
      </c>
      <c r="L18" s="15"/>
      <c r="M18" s="15"/>
      <c r="N18" s="16"/>
      <c r="R18" s="3"/>
      <c r="S18" s="3"/>
      <c r="T18" s="3">
        <f t="shared" si="1"/>
        <v>0</v>
      </c>
      <c r="U18" s="3">
        <f t="shared" si="2"/>
        <v>1098</v>
      </c>
      <c r="V18" s="3"/>
    </row>
    <row r="19" spans="2:91" s="1" customFormat="1" ht="15" x14ac:dyDescent="0.2">
      <c r="B19" s="1">
        <v>17</v>
      </c>
      <c r="C19" s="6">
        <f>IF(ISERROR(VLOOKUP(D19, D3:AS22, 42, FALSE)),"", VLOOKUP(D19, D3:AS22, 42, FALSE))</f>
        <v>8</v>
      </c>
      <c r="D19" s="21" t="s">
        <v>25</v>
      </c>
      <c r="E19" s="19"/>
      <c r="F19" s="20"/>
      <c r="G19" s="10" t="str">
        <f>IF(ISERROR(VLOOKUP(D19, '[1]4. Billing Det. for Def-Var'!$A$16:$B$16, 2, FALSE)),"", VLOOKUP(D19,'[1]4. Billing Det. for Def-Var'!$A$16:$B$16, 2, FALSE))</f>
        <v/>
      </c>
      <c r="H19" s="12"/>
      <c r="I19" s="12"/>
      <c r="J19" s="13"/>
      <c r="K19" s="14" t="str">
        <f t="shared" si="0"/>
        <v/>
      </c>
      <c r="L19" s="15"/>
      <c r="M19" s="15"/>
      <c r="N19" s="16"/>
      <c r="R19" s="3"/>
      <c r="S19" s="3"/>
      <c r="T19" s="3">
        <f t="shared" si="1"/>
        <v>0</v>
      </c>
      <c r="U19" s="3">
        <f t="shared" si="2"/>
        <v>1166</v>
      </c>
      <c r="V19" s="3"/>
    </row>
    <row r="20" spans="2:91" s="1" customFormat="1" ht="15" x14ac:dyDescent="0.2">
      <c r="B20" s="1">
        <v>18</v>
      </c>
      <c r="C20" s="6">
        <f>IF(ISERROR(VLOOKUP(D20, D3:AS22, 42, FALSE)),"", VLOOKUP(D20, D3:AS22, 42, FALSE))</f>
        <v>8</v>
      </c>
      <c r="D20" s="21" t="s">
        <v>25</v>
      </c>
      <c r="E20" s="19"/>
      <c r="F20" s="20"/>
      <c r="G20" s="10" t="str">
        <f>IF(ISERROR(VLOOKUP(D20, '[1]4. Billing Det. for Def-Var'!$A$16:$B$16, 2, FALSE)),"", VLOOKUP(D20,'[1]4. Billing Det. for Def-Var'!$A$16:$B$16, 2, FALSE))</f>
        <v/>
      </c>
      <c r="H20" s="12"/>
      <c r="I20" s="12"/>
      <c r="J20" s="13"/>
      <c r="K20" s="14" t="str">
        <f t="shared" si="0"/>
        <v/>
      </c>
      <c r="L20" s="15"/>
      <c r="M20" s="15"/>
      <c r="N20" s="16"/>
      <c r="R20" s="3"/>
      <c r="S20" s="3"/>
      <c r="T20" s="3">
        <f t="shared" si="1"/>
        <v>0</v>
      </c>
      <c r="U20" s="3">
        <f t="shared" si="2"/>
        <v>1234</v>
      </c>
      <c r="V20" s="3"/>
    </row>
    <row r="21" spans="2:91" s="1" customFormat="1" ht="15" x14ac:dyDescent="0.2">
      <c r="B21" s="1">
        <v>19</v>
      </c>
      <c r="C21" s="6">
        <f>IF(ISERROR(VLOOKUP(D21, D3:AS22, 42, FALSE)),"", VLOOKUP(D21, D3:AS22, 42, FALSE))</f>
        <v>8</v>
      </c>
      <c r="D21" s="21" t="s">
        <v>25</v>
      </c>
      <c r="E21" s="19"/>
      <c r="F21" s="20"/>
      <c r="G21" s="10" t="str">
        <f>IF(ISERROR(VLOOKUP(D21, '[1]4. Billing Det. for Def-Var'!$A$16:$B$16, 2, FALSE)),"", VLOOKUP(D21,'[1]4. Billing Det. for Def-Var'!$A$16:$B$16, 2, FALSE))</f>
        <v/>
      </c>
      <c r="H21" s="12"/>
      <c r="I21" s="12"/>
      <c r="J21" s="13"/>
      <c r="K21" s="14" t="str">
        <f t="shared" si="0"/>
        <v/>
      </c>
      <c r="L21" s="15"/>
      <c r="M21" s="15"/>
      <c r="N21" s="16"/>
      <c r="R21" s="3"/>
      <c r="S21" s="3"/>
      <c r="T21" s="3">
        <f t="shared" si="1"/>
        <v>0</v>
      </c>
      <c r="U21" s="3">
        <f t="shared" si="2"/>
        <v>1302</v>
      </c>
      <c r="V21" s="3"/>
    </row>
    <row r="22" spans="2:91" s="1" customFormat="1" ht="15" x14ac:dyDescent="0.2">
      <c r="B22" s="1">
        <v>20</v>
      </c>
      <c r="C22" s="6">
        <f>IF(ISERROR(VLOOKUP(D22, D3:AS22, 42, FALSE)),"", VLOOKUP(D22, D3:AS22, 42, FALSE))</f>
        <v>8</v>
      </c>
      <c r="D22" s="21" t="s">
        <v>25</v>
      </c>
      <c r="E22" s="19"/>
      <c r="F22" s="20"/>
      <c r="G22" s="10" t="str">
        <f>IF(ISERROR(VLOOKUP(D22, '[1]4. Billing Det. for Def-Var'!$A$16:$B$16, 2, FALSE)),"", VLOOKUP(D22,'[1]4. Billing Det. for Def-Var'!$A$16:$B$16, 2, FALSE))</f>
        <v/>
      </c>
      <c r="H22" s="12"/>
      <c r="I22" s="12"/>
      <c r="J22" s="13"/>
      <c r="K22" s="14" t="str">
        <f t="shared" si="0"/>
        <v/>
      </c>
      <c r="L22" s="15"/>
      <c r="M22" s="15"/>
      <c r="N22" s="16"/>
      <c r="R22" s="3"/>
      <c r="S22" s="3"/>
      <c r="T22" s="3">
        <f t="shared" si="1"/>
        <v>0</v>
      </c>
      <c r="U22" s="3">
        <f t="shared" si="2"/>
        <v>1370</v>
      </c>
      <c r="V22" s="3"/>
    </row>
    <row r="23" spans="2:91" s="1" customFormat="1" x14ac:dyDescent="0.2">
      <c r="R23" s="3"/>
      <c r="S23" s="3"/>
      <c r="T23" s="3"/>
      <c r="U23" s="3"/>
      <c r="V23" s="3"/>
    </row>
    <row r="24" spans="2:91" s="1" customFormat="1" ht="16.5" thickBot="1" x14ac:dyDescent="0.3">
      <c r="D24" s="2" t="s">
        <v>26</v>
      </c>
      <c r="R24" s="3"/>
      <c r="S24" s="3"/>
      <c r="T24" s="3"/>
      <c r="U24" s="3"/>
      <c r="V24" s="3"/>
    </row>
    <row r="25" spans="2:91" s="1" customFormat="1" ht="15" x14ac:dyDescent="0.25">
      <c r="D25" s="227" t="s">
        <v>1</v>
      </c>
      <c r="E25" s="228"/>
      <c r="F25" s="229"/>
      <c r="G25" s="236" t="s">
        <v>2</v>
      </c>
      <c r="H25" s="237" t="s">
        <v>27</v>
      </c>
      <c r="I25" s="237"/>
      <c r="J25" s="237"/>
      <c r="K25" s="237"/>
      <c r="L25" s="237"/>
      <c r="M25" s="237"/>
      <c r="N25" s="237" t="s">
        <v>28</v>
      </c>
      <c r="O25" s="237"/>
      <c r="P25" s="238" t="s">
        <v>29</v>
      </c>
      <c r="Q25" s="239"/>
      <c r="R25" s="239"/>
      <c r="S25" s="239"/>
      <c r="T25" s="239"/>
      <c r="U25" s="239"/>
      <c r="V25" s="239"/>
      <c r="W25" s="239"/>
      <c r="X25" s="239"/>
      <c r="Y25" s="239"/>
      <c r="Z25" s="239"/>
      <c r="AA25" s="239"/>
      <c r="AB25" s="239"/>
      <c r="AC25" s="239"/>
      <c r="AD25" s="239"/>
      <c r="AE25" s="239"/>
      <c r="AF25" s="239"/>
      <c r="AG25" s="239"/>
      <c r="AH25" s="239"/>
      <c r="AI25" s="239"/>
      <c r="AJ25" s="239"/>
      <c r="AK25" s="239"/>
      <c r="AL25" s="239"/>
      <c r="AM25" s="239"/>
      <c r="AN25" s="239"/>
      <c r="AO25" s="239"/>
      <c r="AP25" s="239"/>
      <c r="AQ25" s="239"/>
      <c r="AR25" s="239"/>
      <c r="AS25" s="239"/>
      <c r="AT25" s="239"/>
      <c r="AU25" s="239"/>
      <c r="AV25" s="239"/>
      <c r="AW25" s="239"/>
      <c r="AX25" s="239"/>
      <c r="AY25" s="239"/>
      <c r="AZ25" s="239"/>
      <c r="BA25" s="239"/>
      <c r="BB25" s="239"/>
      <c r="BC25" s="239"/>
      <c r="BD25" s="239"/>
      <c r="BE25" s="239"/>
      <c r="BF25" s="239"/>
      <c r="BG25" s="239"/>
      <c r="BH25" s="239"/>
      <c r="BI25" s="239"/>
      <c r="BJ25" s="239"/>
      <c r="BK25" s="239"/>
      <c r="BL25" s="239"/>
      <c r="BM25" s="239"/>
      <c r="BN25" s="239"/>
      <c r="BO25" s="239"/>
      <c r="BP25" s="239"/>
      <c r="BQ25" s="239"/>
      <c r="BR25" s="239"/>
      <c r="BS25" s="239"/>
      <c r="BT25" s="239"/>
      <c r="BU25" s="239"/>
      <c r="BV25" s="239"/>
      <c r="BW25" s="239"/>
      <c r="BX25" s="239"/>
      <c r="BY25" s="239"/>
      <c r="BZ25" s="239"/>
      <c r="CA25" s="239"/>
      <c r="CB25" s="239"/>
      <c r="CC25" s="240"/>
      <c r="CE25" s="191" t="s">
        <v>30</v>
      </c>
      <c r="CF25" s="192"/>
      <c r="CG25" s="193" t="s">
        <v>31</v>
      </c>
      <c r="CH25" s="188" t="s">
        <v>32</v>
      </c>
      <c r="CJ25" s="191" t="s">
        <v>100</v>
      </c>
      <c r="CK25" s="192"/>
      <c r="CL25" s="193" t="s">
        <v>31</v>
      </c>
      <c r="CM25"/>
    </row>
    <row r="26" spans="2:91" s="1" customFormat="1" ht="30" x14ac:dyDescent="0.25">
      <c r="D26" s="230"/>
      <c r="E26" s="231"/>
      <c r="F26" s="232"/>
      <c r="G26" s="236"/>
      <c r="H26" s="241" t="s">
        <v>33</v>
      </c>
      <c r="I26" s="241"/>
      <c r="J26" s="241" t="s">
        <v>34</v>
      </c>
      <c r="K26" s="241"/>
      <c r="L26" s="241" t="s">
        <v>35</v>
      </c>
      <c r="M26" s="241"/>
      <c r="N26" s="241" t="s">
        <v>36</v>
      </c>
      <c r="O26" s="241"/>
      <c r="P26" s="224" t="s">
        <v>37</v>
      </c>
      <c r="Q26" s="225"/>
      <c r="R26" s="225"/>
      <c r="S26" s="225"/>
      <c r="T26" s="225"/>
      <c r="U26" s="225"/>
      <c r="V26" s="225"/>
      <c r="W26" s="225"/>
      <c r="X26" s="225"/>
      <c r="Y26" s="225"/>
      <c r="Z26" s="225"/>
      <c r="AA26" s="225"/>
      <c r="AB26" s="225"/>
      <c r="AC26" s="225"/>
      <c r="AD26" s="225"/>
      <c r="AE26" s="225"/>
      <c r="AF26" s="225"/>
      <c r="AG26" s="225"/>
      <c r="AH26" s="225"/>
      <c r="AI26" s="225"/>
      <c r="AJ26" s="225"/>
      <c r="AK26" s="225"/>
      <c r="AL26" s="225"/>
      <c r="AM26" s="225"/>
      <c r="AN26" s="225"/>
      <c r="AO26" s="225"/>
      <c r="AP26" s="225"/>
      <c r="AQ26" s="225"/>
      <c r="AR26" s="225"/>
      <c r="AS26" s="225"/>
      <c r="AT26" s="225"/>
      <c r="AU26" s="225"/>
      <c r="AV26" s="225"/>
      <c r="AW26" s="225"/>
      <c r="AX26" s="225"/>
      <c r="AY26" s="225"/>
      <c r="AZ26" s="225"/>
      <c r="BA26" s="225"/>
      <c r="BB26" s="225"/>
      <c r="BC26" s="225"/>
      <c r="BD26" s="225"/>
      <c r="BE26" s="225"/>
      <c r="BF26" s="225"/>
      <c r="BG26" s="225"/>
      <c r="BH26" s="225"/>
      <c r="BI26" s="225"/>
      <c r="BJ26" s="225"/>
      <c r="BK26" s="225"/>
      <c r="BL26" s="225"/>
      <c r="BM26" s="225"/>
      <c r="BN26" s="225"/>
      <c r="BO26" s="225"/>
      <c r="BP26" s="225"/>
      <c r="BQ26" s="225"/>
      <c r="BR26" s="225"/>
      <c r="BS26" s="225"/>
      <c r="BT26" s="225"/>
      <c r="BU26" s="225"/>
      <c r="BV26" s="225"/>
      <c r="BW26" s="225"/>
      <c r="BX26" s="225"/>
      <c r="BY26" s="225"/>
      <c r="BZ26" s="225"/>
      <c r="CA26" s="225"/>
      <c r="CB26" s="225"/>
      <c r="CC26" s="226"/>
      <c r="CE26" s="182" t="s">
        <v>10</v>
      </c>
      <c r="CF26" s="183" t="s">
        <v>11</v>
      </c>
      <c r="CG26" s="184">
        <f>[2]Sheet1!$M19</f>
        <v>6.3151407882309583E-3</v>
      </c>
      <c r="CH26" s="189">
        <f>ROUND(0.0126302815764619,4)</f>
        <v>1.26E-2</v>
      </c>
      <c r="CJ26" s="182" t="s">
        <v>10</v>
      </c>
      <c r="CK26" s="183" t="s">
        <v>101</v>
      </c>
      <c r="CL26" s="194">
        <f>'[3]NOTL Reply 2  years Fixed Res'!$M53</f>
        <v>-1.56</v>
      </c>
      <c r="CM26"/>
    </row>
    <row r="27" spans="2:91" s="1" customFormat="1" ht="45" x14ac:dyDescent="0.25">
      <c r="D27" s="233"/>
      <c r="E27" s="234"/>
      <c r="F27" s="235"/>
      <c r="G27" s="236"/>
      <c r="H27" s="22" t="s">
        <v>38</v>
      </c>
      <c r="I27" s="22" t="s">
        <v>39</v>
      </c>
      <c r="J27" s="22" t="s">
        <v>38</v>
      </c>
      <c r="K27" s="22" t="s">
        <v>39</v>
      </c>
      <c r="L27" s="22" t="s">
        <v>38</v>
      </c>
      <c r="M27" s="22" t="s">
        <v>39</v>
      </c>
      <c r="N27" s="22" t="s">
        <v>38</v>
      </c>
      <c r="O27" s="22" t="s">
        <v>39</v>
      </c>
      <c r="P27" s="22" t="s">
        <v>40</v>
      </c>
      <c r="Q27" s="22"/>
      <c r="R27" s="22"/>
      <c r="S27" s="22"/>
      <c r="T27" s="22"/>
      <c r="U27" s="22"/>
      <c r="V27" s="22"/>
      <c r="W27" s="22"/>
      <c r="X27" s="22"/>
      <c r="Y27" s="22"/>
      <c r="Z27" s="22"/>
      <c r="AA27" s="22"/>
      <c r="AB27" s="22"/>
      <c r="AC27" s="22"/>
      <c r="AD27" s="22"/>
      <c r="AE27" s="22"/>
      <c r="AF27" s="22"/>
      <c r="AG27" s="22"/>
      <c r="AH27" s="22"/>
      <c r="AI27" s="22"/>
      <c r="AJ27" s="22"/>
      <c r="AK27" s="22"/>
      <c r="AL27" s="22"/>
      <c r="AM27" s="22"/>
      <c r="AN27" s="22"/>
      <c r="AO27" s="22"/>
      <c r="AP27" s="22"/>
      <c r="AQ27" s="22"/>
      <c r="AR27" s="22"/>
      <c r="AS27" s="22"/>
      <c r="AT27" s="22"/>
      <c r="AU27" s="22"/>
      <c r="AV27" s="22"/>
      <c r="AW27" s="22"/>
      <c r="AX27" s="22"/>
      <c r="AY27" s="22"/>
      <c r="AZ27" s="22"/>
      <c r="BA27" s="22"/>
      <c r="BB27" s="22"/>
      <c r="BC27" s="22"/>
      <c r="BD27" s="22"/>
      <c r="BE27" s="22"/>
      <c r="BF27" s="22"/>
      <c r="BG27" s="22"/>
      <c r="BH27" s="22"/>
      <c r="BI27" s="22"/>
      <c r="BJ27" s="22"/>
      <c r="BK27" s="22"/>
      <c r="BL27" s="22"/>
      <c r="BM27" s="22"/>
      <c r="BN27" s="22"/>
      <c r="BO27" s="22"/>
      <c r="BP27" s="22"/>
      <c r="BQ27" s="22"/>
      <c r="BR27" s="22"/>
      <c r="BS27" s="22"/>
      <c r="BT27" s="22"/>
      <c r="BU27" s="22"/>
      <c r="BV27" s="22"/>
      <c r="BW27" s="22"/>
      <c r="BX27" s="22"/>
      <c r="BY27" s="22"/>
      <c r="BZ27" s="22"/>
      <c r="CA27" s="22"/>
      <c r="CB27" s="23" t="s">
        <v>41</v>
      </c>
      <c r="CC27" s="22" t="s">
        <v>39</v>
      </c>
      <c r="CE27" s="182" t="s">
        <v>15</v>
      </c>
      <c r="CF27" s="183" t="s">
        <v>11</v>
      </c>
      <c r="CG27" s="184">
        <f>[2]Sheet1!$M20</f>
        <v>6.3151407882309583E-3</v>
      </c>
      <c r="CH27" s="189">
        <v>1.2630281576461917E-2</v>
      </c>
      <c r="CJ27" s="182" t="s">
        <v>15</v>
      </c>
      <c r="CK27" s="183" t="s">
        <v>11</v>
      </c>
      <c r="CL27" s="195">
        <f>'[3]NOTL Reply 2  years Fixed Res'!$M54</f>
        <v>-2.0183759213232783E-3</v>
      </c>
      <c r="CM27"/>
    </row>
    <row r="28" spans="2:91" s="1" customFormat="1" ht="30" x14ac:dyDescent="0.25">
      <c r="B28" s="1" t="str">
        <f>H3</f>
        <v>RPP</v>
      </c>
      <c r="C28" s="1">
        <v>1</v>
      </c>
      <c r="D28" s="222" t="str">
        <f>IF(ISBLANK(D3), "", IF(D3 = "Add additional scenarios if required", "", IF(N3="YES", D3 &amp; " - " &amp; H3 &amp; " - Interval Customers", D3 &amp; " - " &amp;H3)))</f>
        <v>RESIDENTIAL SERVICE CLASSIFICATION - RPP</v>
      </c>
      <c r="E28" s="223"/>
      <c r="F28" s="223"/>
      <c r="G28" s="24" t="str">
        <f t="shared" ref="G28:G42" si="3">IF(ISBLANK(G3), "", G3)</f>
        <v>kWh</v>
      </c>
      <c r="H28" s="25">
        <f t="shared" ref="H28:H33" si="4">IF(LEN($G28)&gt;1, (SUMPRODUCT(--($C$51:$C$928=$B3), --($A$51:$A$928=$D3), --($B$51:$B$928="ST_A"), $L$51:$L$928)), "")</f>
        <v>0.43999999999999417</v>
      </c>
      <c r="I28" s="26">
        <f t="shared" ref="I28:I33" si="5">IF(LEN($G28)&gt;1, (SUMPRODUCT(--($C$51:$C$928=$B3), --($A$51:$A$928=$D3), --($B$51:$B$928="ST_A"), $M$51:$M$928)), "")</f>
        <v>1.5188125647221062E-2</v>
      </c>
      <c r="J28" s="25">
        <f t="shared" ref="J28:J33" si="6">IF(LEN($G28)&gt;1, (SUMPRODUCT(--($C$51:$C$928=$B3),--($A$51:$A$928=$D3), --($B$51:$B$928="ST_B"), $L$51:$L$928)), "")</f>
        <v>-3.3600000000000065</v>
      </c>
      <c r="K28" s="26">
        <f t="shared" ref="K28:K33" si="7">IF(LEN($G28)&gt;1, (SUMPRODUCT(--($C$51:$C$928=$B3),--($A$51:$A$928=$D3), --($B$51:$B$928="ST_B"), $M$51:$M$928)), "")</f>
        <v>-0.10429313761583819</v>
      </c>
      <c r="L28" s="25">
        <f t="shared" ref="L28:L33" si="8">IF(LEN($G28)&gt;1, (SUMPRODUCT(--($C$51:$C$928=$B3),--($A$51:$A$928=$D3), --($B$51:$B$928="ST_C"), $L$51:$L$928)), "")</f>
        <v>-3.3599999999999994</v>
      </c>
      <c r="M28" s="26">
        <f t="shared" ref="M28:M33" si="9">IF(LEN($G28)&gt;1, (SUMPRODUCT(--($C$51:$C$928=$B3),--($A$51:$A$928=$D3), --($B$51:$B$928="ST_C"), $M$51:$M$928)), "")</f>
        <v>-8.4656586324744335E-2</v>
      </c>
      <c r="N28" s="25">
        <f t="shared" ref="N28:N33" si="10">IF(LEN($G28)&gt;1, (SUMPRODUCT(--($C$51:$C$928=$B3),--($A$51:$A$928=$D3), --($B$51:$B$928=$B28&amp;"_TOTAL"), $L$51:$L$928)), "")</f>
        <v>5.0666784799999789</v>
      </c>
      <c r="O28" s="26">
        <f t="shared" ref="O28:O33" si="11">IF(LEN($G28)&gt;1, (SUMPRODUCT(--($C$51:$C$928=$B3),--($A$51:$A$928=$D3), --($B$51:$B$928=$B28&amp;"_TOTAL"), $M$51:$M$928)), "")</f>
        <v>3.7745518102147248E-2</v>
      </c>
      <c r="P28" s="25">
        <f>L76</f>
        <v>-3.3599999999999994</v>
      </c>
      <c r="R28" s="3"/>
      <c r="S28" s="3"/>
      <c r="T28" s="3"/>
      <c r="U28" s="3"/>
      <c r="V28" s="3"/>
      <c r="CB28" s="25">
        <f>H90</f>
        <v>149.14258534400003</v>
      </c>
      <c r="CC28" s="26">
        <f t="shared" ref="CC28:CC34" si="12">P28/CB28</f>
        <v>-2.2528776688764646E-2</v>
      </c>
      <c r="CE28" s="182" t="s">
        <v>16</v>
      </c>
      <c r="CF28" s="183" t="s">
        <v>17</v>
      </c>
      <c r="CG28" s="184">
        <f>[2]Sheet1!$M21</f>
        <v>2.4888316270008159</v>
      </c>
      <c r="CH28" s="189">
        <v>4.9776632540016319</v>
      </c>
      <c r="CJ28" s="182" t="s">
        <v>16</v>
      </c>
      <c r="CK28" s="183" t="s">
        <v>17</v>
      </c>
      <c r="CL28" s="195">
        <f>'[3]NOTL Reply 2  years Fixed Res'!$M55</f>
        <v>-0.78512499932245561</v>
      </c>
      <c r="CM28"/>
    </row>
    <row r="29" spans="2:91" s="1" customFormat="1" ht="30" x14ac:dyDescent="0.25">
      <c r="B29" s="1" t="str">
        <f t="shared" ref="B29:B47" si="13">H4</f>
        <v>RPP</v>
      </c>
      <c r="C29" s="1">
        <v>2</v>
      </c>
      <c r="D29" s="222" t="str">
        <f t="shared" ref="D29:D47" si="14">IF(ISBLANK(D4), "", IF(D4 = "Add additional scenarios if required", "", IF(N4="YES", D4 &amp; " - " &amp; H4 &amp; " - Interval Customers", D4 &amp; " - " &amp;H4)))</f>
        <v>GENERAL SERVICE LESS THAN 50 KW SERVICE CLASSIFICATION - RPP</v>
      </c>
      <c r="E29" s="223"/>
      <c r="F29" s="223"/>
      <c r="G29" s="24" t="str">
        <f t="shared" si="3"/>
        <v>kWh</v>
      </c>
      <c r="H29" s="25">
        <f t="shared" si="4"/>
        <v>0.89000000000000057</v>
      </c>
      <c r="I29" s="26">
        <f t="shared" si="5"/>
        <v>1.4181007010834936E-2</v>
      </c>
      <c r="J29" s="25">
        <f t="shared" si="6"/>
        <v>-8.7467518426465745</v>
      </c>
      <c r="K29" s="26">
        <f t="shared" si="7"/>
        <v>-0.12550544159290813</v>
      </c>
      <c r="L29" s="25">
        <f t="shared" si="8"/>
        <v>-8.7467518426465745</v>
      </c>
      <c r="M29" s="26">
        <f t="shared" si="9"/>
        <v>-0.10062834552604027</v>
      </c>
      <c r="N29" s="25">
        <f t="shared" si="10"/>
        <v>26.669866617809419</v>
      </c>
      <c r="O29" s="26">
        <f t="shared" si="11"/>
        <v>8.2651064508191929E-2</v>
      </c>
      <c r="P29" s="25">
        <f>L119</f>
        <v>-8.7467518426465745</v>
      </c>
      <c r="R29" s="3"/>
      <c r="S29" s="3"/>
      <c r="T29" s="3"/>
      <c r="U29" s="3"/>
      <c r="V29" s="3"/>
      <c r="CB29" s="25">
        <f>H133</f>
        <v>358.53025556000006</v>
      </c>
      <c r="CC29" s="26">
        <f t="shared" si="12"/>
        <v>-2.4396133121275185E-2</v>
      </c>
      <c r="CE29" s="182" t="s">
        <v>21</v>
      </c>
      <c r="CF29" s="183" t="s">
        <v>11</v>
      </c>
      <c r="CG29" s="184">
        <f>[2]Sheet1!$M22</f>
        <v>0</v>
      </c>
      <c r="CH29" s="189">
        <v>0</v>
      </c>
      <c r="CJ29" s="182" t="s">
        <v>21</v>
      </c>
      <c r="CK29" s="183" t="s">
        <v>11</v>
      </c>
      <c r="CL29" s="195">
        <f>'[3]NOTL Reply 2  years Fixed Res'!$M56</f>
        <v>-2.0183759213232783E-3</v>
      </c>
      <c r="CM29"/>
    </row>
    <row r="30" spans="2:91" s="1" customFormat="1" ht="30.75" thickBot="1" x14ac:dyDescent="0.3">
      <c r="B30" s="1" t="str">
        <f t="shared" si="13"/>
        <v>Non-RPP (Other)</v>
      </c>
      <c r="C30" s="1">
        <v>3</v>
      </c>
      <c r="D30" s="222" t="str">
        <f t="shared" si="14"/>
        <v>GENERAL SERVICE 50 TO 4,999 KW SERVICE CLASSIFICATION - Non-RPP (Other)</v>
      </c>
      <c r="E30" s="223"/>
      <c r="F30" s="223"/>
      <c r="G30" s="24" t="str">
        <f t="shared" si="3"/>
        <v>kW</v>
      </c>
      <c r="H30" s="25">
        <f t="shared" si="4"/>
        <v>10.5300000000002</v>
      </c>
      <c r="I30" s="26">
        <f t="shared" si="5"/>
        <v>1.64122226638303E-2</v>
      </c>
      <c r="J30" s="25">
        <f t="shared" si="6"/>
        <v>503.43999415175421</v>
      </c>
      <c r="K30" s="26">
        <f t="shared" si="7"/>
        <v>2.556571166726358</v>
      </c>
      <c r="L30" s="25">
        <f t="shared" si="8"/>
        <v>499.35999415175411</v>
      </c>
      <c r="M30" s="26">
        <f t="shared" si="9"/>
        <v>0.7200005683064129</v>
      </c>
      <c r="N30" s="25">
        <f t="shared" si="10"/>
        <v>511.7341437914838</v>
      </c>
      <c r="O30" s="26">
        <f t="shared" si="11"/>
        <v>6.5047888326165176E-2</v>
      </c>
      <c r="P30" s="25">
        <f>L163</f>
        <v>499.35999415175411</v>
      </c>
      <c r="R30" s="3"/>
      <c r="S30" s="3"/>
      <c r="T30" s="3"/>
      <c r="U30" s="3"/>
      <c r="V30" s="3"/>
      <c r="CB30" s="25">
        <f>H189</f>
        <v>7867.0369931999994</v>
      </c>
      <c r="CC30" s="26">
        <f t="shared" si="12"/>
        <v>6.3474977247899564E-2</v>
      </c>
      <c r="CE30" s="185" t="s">
        <v>22</v>
      </c>
      <c r="CF30" s="186" t="s">
        <v>17</v>
      </c>
      <c r="CG30" s="187">
        <f>[2]Sheet1!$M23</f>
        <v>2.2624296411083544</v>
      </c>
      <c r="CH30" s="190">
        <v>4.5248592822167089</v>
      </c>
      <c r="CJ30" s="185" t="s">
        <v>22</v>
      </c>
      <c r="CK30" s="186" t="s">
        <v>17</v>
      </c>
      <c r="CL30" s="196">
        <f>'[3]NOTL Reply 2  years Fixed Res'!$M57</f>
        <v>-0.72523463289141077</v>
      </c>
      <c r="CM30"/>
    </row>
    <row r="31" spans="2:91" s="1" customFormat="1" ht="15" x14ac:dyDescent="0.2">
      <c r="B31" s="1" t="str">
        <f t="shared" si="13"/>
        <v>RPP</v>
      </c>
      <c r="C31" s="1">
        <v>4</v>
      </c>
      <c r="D31" s="222" t="str">
        <f t="shared" si="14"/>
        <v>UNMETERED SCATTERED LOAD SERVICE CLASSIFICATION - RPP</v>
      </c>
      <c r="E31" s="223"/>
      <c r="F31" s="223"/>
      <c r="G31" s="24" t="str">
        <f t="shared" si="3"/>
        <v>kWh</v>
      </c>
      <c r="H31" s="25">
        <f t="shared" si="4"/>
        <v>0.44000000000000128</v>
      </c>
      <c r="I31" s="26">
        <f t="shared" si="5"/>
        <v>1.6761904761904815E-2</v>
      </c>
      <c r="J31" s="25">
        <f t="shared" si="6"/>
        <v>-4.7965383291909518</v>
      </c>
      <c r="K31" s="26">
        <f t="shared" si="7"/>
        <v>-0.16082816084363238</v>
      </c>
      <c r="L31" s="25">
        <f t="shared" si="8"/>
        <v>-4.7965383291909518</v>
      </c>
      <c r="M31" s="26">
        <f t="shared" si="9"/>
        <v>-0.12764522161026504</v>
      </c>
      <c r="N31" s="25">
        <f t="shared" si="10"/>
        <v>10.87657497801419</v>
      </c>
      <c r="O31" s="26">
        <f t="shared" si="11"/>
        <v>7.5649124009929514E-2</v>
      </c>
      <c r="P31" s="25">
        <f>L219</f>
        <v>-4.7965383291909518</v>
      </c>
      <c r="R31" s="3"/>
      <c r="S31" s="3"/>
      <c r="T31" s="3"/>
      <c r="U31" s="3"/>
      <c r="V31" s="3"/>
      <c r="CB31" s="25">
        <f>H233</f>
        <v>159.75661500199999</v>
      </c>
      <c r="CC31" s="26">
        <f t="shared" si="12"/>
        <v>-3.0024035806785865E-2</v>
      </c>
    </row>
    <row r="32" spans="2:91" s="1" customFormat="1" ht="15" x14ac:dyDescent="0.2">
      <c r="B32" s="1" t="str">
        <f t="shared" si="13"/>
        <v>RPP</v>
      </c>
      <c r="C32" s="1">
        <v>5</v>
      </c>
      <c r="D32" s="222" t="str">
        <f t="shared" si="14"/>
        <v>STREET LIGHTING SERVICE CLASSIFICATION - RPP</v>
      </c>
      <c r="E32" s="223"/>
      <c r="F32" s="223"/>
      <c r="G32" s="24" t="str">
        <f t="shared" si="3"/>
        <v>kW</v>
      </c>
      <c r="H32" s="25">
        <f t="shared" si="4"/>
        <v>0.2112860000000012</v>
      </c>
      <c r="I32" s="26">
        <f t="shared" si="5"/>
        <v>1.8155511529556793E-2</v>
      </c>
      <c r="J32" s="25">
        <f t="shared" si="6"/>
        <v>-3.6840848604796861E-2</v>
      </c>
      <c r="K32" s="26">
        <f t="shared" si="7"/>
        <v>-3.1247562162999101E-3</v>
      </c>
      <c r="L32" s="25">
        <f t="shared" si="8"/>
        <v>-3.9654848604795845E-2</v>
      </c>
      <c r="M32" s="26">
        <f t="shared" si="9"/>
        <v>-3.2662383345031607E-3</v>
      </c>
      <c r="N32" s="25">
        <f t="shared" si="10"/>
        <v>2.022782426076585</v>
      </c>
      <c r="O32" s="26">
        <f t="shared" si="11"/>
        <v>0.10962220812309161</v>
      </c>
      <c r="P32" s="25">
        <f>L275</f>
        <v>-3.9654848604795845E-2</v>
      </c>
      <c r="R32" s="3"/>
      <c r="S32" s="3"/>
      <c r="T32" s="3"/>
      <c r="U32" s="3"/>
      <c r="V32" s="3"/>
      <c r="CB32" s="25">
        <f>H289</f>
        <v>20.502305063999998</v>
      </c>
      <c r="CC32" s="26">
        <f t="shared" si="12"/>
        <v>-1.9341653770641527E-3</v>
      </c>
    </row>
    <row r="33" spans="2:81" s="1" customFormat="1" ht="15" x14ac:dyDescent="0.2">
      <c r="B33" s="1" t="str">
        <f t="shared" si="13"/>
        <v>RPP</v>
      </c>
      <c r="C33" s="1">
        <v>6</v>
      </c>
      <c r="D33" s="222" t="str">
        <f t="shared" si="14"/>
        <v>RESIDENTIAL SERVICE CLASSIFICATION - RPP</v>
      </c>
      <c r="E33" s="223"/>
      <c r="F33" s="223"/>
      <c r="G33" s="24" t="str">
        <f t="shared" si="3"/>
        <v>kWh</v>
      </c>
      <c r="H33" s="25">
        <f t="shared" si="4"/>
        <v>2.0272000000000006</v>
      </c>
      <c r="I33" s="26">
        <f t="shared" si="5"/>
        <v>9.1903164384803726E-2</v>
      </c>
      <c r="J33" s="25">
        <f t="shared" si="6"/>
        <v>-0.33919999999999817</v>
      </c>
      <c r="K33" s="26">
        <f t="shared" si="7"/>
        <v>-1.4292649610945774E-2</v>
      </c>
      <c r="L33" s="25">
        <f t="shared" si="8"/>
        <v>-0.33919999999999817</v>
      </c>
      <c r="M33" s="26">
        <f t="shared" si="9"/>
        <v>-1.2837439142393887E-2</v>
      </c>
      <c r="N33" s="25">
        <f t="shared" si="10"/>
        <v>4.1999562528000141</v>
      </c>
      <c r="O33" s="26">
        <f t="shared" si="11"/>
        <v>6.9050967787653322E-2</v>
      </c>
      <c r="P33" s="25">
        <f>L328</f>
        <v>-0.33919999999999817</v>
      </c>
      <c r="R33" s="3"/>
      <c r="S33" s="3"/>
      <c r="T33" s="3"/>
      <c r="U33" s="3"/>
      <c r="V33" s="3"/>
      <c r="CB33" s="25">
        <f>H345</f>
        <v>67.584002723840001</v>
      </c>
      <c r="CC33" s="26">
        <f t="shared" si="12"/>
        <v>-5.0189391916609085E-3</v>
      </c>
    </row>
    <row r="34" spans="2:81" s="1" customFormat="1" ht="15" x14ac:dyDescent="0.2">
      <c r="B34" s="1" t="str">
        <f t="shared" si="13"/>
        <v>Non-RPP (Retailer)</v>
      </c>
      <c r="C34" s="1">
        <v>7</v>
      </c>
      <c r="D34" s="222" t="str">
        <f t="shared" si="14"/>
        <v>RESIDENTIAL SERVICE CLASSIFICATION - Non-RPP (Retailer)</v>
      </c>
      <c r="E34" s="223"/>
      <c r="F34" s="223"/>
      <c r="G34" s="24" t="str">
        <f t="shared" si="3"/>
        <v>kWh</v>
      </c>
      <c r="H34" s="25">
        <f>L388</f>
        <v>1.7884999999999991</v>
      </c>
      <c r="I34" s="26">
        <f>M388</f>
        <v>7.7432622578201049E-2</v>
      </c>
      <c r="J34" s="25">
        <f>L395</f>
        <v>3.8840263877042993</v>
      </c>
      <c r="K34" s="26">
        <f>M395</f>
        <v>0.17229629317664863</v>
      </c>
      <c r="L34" s="25">
        <f>L398</f>
        <v>3.8840263877042958</v>
      </c>
      <c r="M34" s="26">
        <f>M398</f>
        <v>0.14966067553458051</v>
      </c>
      <c r="N34" s="25">
        <f>L410</f>
        <v>9.0602243746058377</v>
      </c>
      <c r="O34" s="26">
        <f>M410</f>
        <v>0.1355236576667726</v>
      </c>
      <c r="P34" s="25">
        <f>L398</f>
        <v>3.8840263877042958</v>
      </c>
      <c r="R34" s="3"/>
      <c r="S34" s="3"/>
      <c r="T34" s="3"/>
      <c r="U34" s="3"/>
      <c r="V34" s="3"/>
      <c r="CB34" s="25">
        <f>H408</f>
        <v>74.283452235500008</v>
      </c>
      <c r="CC34" s="26">
        <f t="shared" si="12"/>
        <v>5.2286562764891562E-2</v>
      </c>
    </row>
    <row r="35" spans="2:81" s="1" customFormat="1" ht="15" x14ac:dyDescent="0.2">
      <c r="B35" s="1">
        <f t="shared" si="13"/>
        <v>0</v>
      </c>
      <c r="C35" s="1">
        <v>8</v>
      </c>
      <c r="D35" s="217" t="str">
        <f t="shared" si="14"/>
        <v/>
      </c>
      <c r="E35" s="218"/>
      <c r="F35" s="218"/>
      <c r="G35" s="24" t="str">
        <f t="shared" si="3"/>
        <v/>
      </c>
      <c r="H35" s="27" t="str">
        <f t="shared" ref="H35:H47" si="15">IF(LEN($G35)&gt;1, (SUMPRODUCT(--($C$51:$C$928=$B10), --($A$51:$A$928=$D10), --($B$51:$B$928="ST_A"), $L$51:$L$928)), "")</f>
        <v/>
      </c>
      <c r="I35" s="28" t="str">
        <f t="shared" ref="I35:I47" si="16">IF(LEN($G35)&gt;1, (SUMPRODUCT(--($C$51:$C$928=$B10), --($A$51:$A$928=$D10), --($B$51:$B$928="ST_A"), $M$51:$M$928)), "")</f>
        <v/>
      </c>
      <c r="J35" s="27" t="str">
        <f t="shared" ref="J35:J47" si="17">IF(LEN($G35)&gt;1, (SUMPRODUCT(--($C$51:$C$928=$B10),--($A$51:$A$928=$D10), --($B$51:$B$928="ST_B"), $L$51:$L$928)), "")</f>
        <v/>
      </c>
      <c r="K35" s="28" t="str">
        <f t="shared" ref="K35:K47" si="18">IF(LEN($G35)&gt;1, (SUMPRODUCT(--($C$51:$C$928=$B10),--($A$51:$A$928=$D10), --($B$51:$B$928="ST_B"), $M$51:$M$928)), "")</f>
        <v/>
      </c>
      <c r="L35" s="27" t="str">
        <f t="shared" ref="L35:L47" si="19">IF(LEN($G35)&gt;1, (SUMPRODUCT(--($C$51:$C$928=$B10),--($A$51:$A$928=$D10), --($B$51:$B$928="ST_C"), $L$51:$L$928)), "")</f>
        <v/>
      </c>
      <c r="M35" s="28" t="str">
        <f t="shared" ref="M35:M47" si="20">IF(LEN($G35)&gt;1, (SUMPRODUCT(--($C$51:$C$928=$B10),--($A$51:$A$928=$D10), --($B$51:$B$928="ST_C"), $M$51:$M$928)), "")</f>
        <v/>
      </c>
      <c r="N35" s="27" t="str">
        <f t="shared" ref="N35:N47" si="21">IF(LEN($G35)&gt;1, (SUMPRODUCT(--($C$51:$C$928=$B10),--($A$51:$A$928=$D10), --($B$51:$B$928=$B35&amp;"_TOTAL"), $L$51:$L$928)), "")</f>
        <v/>
      </c>
      <c r="O35" s="28" t="str">
        <f t="shared" ref="O35:O47" si="22">IF(LEN($G35)&gt;1, (SUMPRODUCT(--($C$51:$C$928=$B10),--($A$51:$A$928=$D10), --($B$51:$B$928=$B35&amp;"_TOTAL"), $M$51:$M$928)), "")</f>
        <v/>
      </c>
      <c r="R35" s="3"/>
      <c r="S35" s="3"/>
      <c r="T35" s="3"/>
      <c r="U35" s="3"/>
      <c r="V35" s="3"/>
    </row>
    <row r="36" spans="2:81" s="1" customFormat="1" ht="15" x14ac:dyDescent="0.2">
      <c r="B36" s="1">
        <f t="shared" si="13"/>
        <v>0</v>
      </c>
      <c r="C36" s="1">
        <v>9</v>
      </c>
      <c r="D36" s="217" t="str">
        <f t="shared" si="14"/>
        <v/>
      </c>
      <c r="E36" s="218"/>
      <c r="F36" s="218"/>
      <c r="G36" s="24" t="str">
        <f t="shared" si="3"/>
        <v/>
      </c>
      <c r="H36" s="27" t="str">
        <f t="shared" si="15"/>
        <v/>
      </c>
      <c r="I36" s="28" t="str">
        <f t="shared" si="16"/>
        <v/>
      </c>
      <c r="J36" s="27" t="str">
        <f t="shared" si="17"/>
        <v/>
      </c>
      <c r="K36" s="28" t="str">
        <f t="shared" si="18"/>
        <v/>
      </c>
      <c r="L36" s="27" t="str">
        <f t="shared" si="19"/>
        <v/>
      </c>
      <c r="M36" s="28" t="str">
        <f t="shared" si="20"/>
        <v/>
      </c>
      <c r="N36" s="27" t="str">
        <f t="shared" si="21"/>
        <v/>
      </c>
      <c r="O36" s="28" t="str">
        <f t="shared" si="22"/>
        <v/>
      </c>
      <c r="R36" s="3"/>
      <c r="S36" s="3"/>
      <c r="T36" s="3"/>
      <c r="U36" s="3"/>
      <c r="V36" s="3"/>
    </row>
    <row r="37" spans="2:81" s="1" customFormat="1" ht="15" x14ac:dyDescent="0.2">
      <c r="B37" s="1">
        <f t="shared" si="13"/>
        <v>0</v>
      </c>
      <c r="C37" s="1">
        <v>10</v>
      </c>
      <c r="D37" s="217" t="str">
        <f t="shared" si="14"/>
        <v/>
      </c>
      <c r="E37" s="218"/>
      <c r="F37" s="218"/>
      <c r="G37" s="24" t="str">
        <f t="shared" si="3"/>
        <v/>
      </c>
      <c r="H37" s="27" t="str">
        <f t="shared" si="15"/>
        <v/>
      </c>
      <c r="I37" s="28" t="str">
        <f t="shared" si="16"/>
        <v/>
      </c>
      <c r="J37" s="27" t="str">
        <f t="shared" si="17"/>
        <v/>
      </c>
      <c r="K37" s="28" t="str">
        <f t="shared" si="18"/>
        <v/>
      </c>
      <c r="L37" s="27" t="str">
        <f t="shared" si="19"/>
        <v/>
      </c>
      <c r="M37" s="28" t="str">
        <f t="shared" si="20"/>
        <v/>
      </c>
      <c r="N37" s="27" t="str">
        <f t="shared" si="21"/>
        <v/>
      </c>
      <c r="O37" s="28" t="str">
        <f t="shared" si="22"/>
        <v/>
      </c>
      <c r="R37" s="3"/>
      <c r="S37" s="3"/>
      <c r="T37" s="3"/>
      <c r="U37" s="3"/>
      <c r="V37" s="3"/>
    </row>
    <row r="38" spans="2:81" s="1" customFormat="1" ht="15" x14ac:dyDescent="0.2">
      <c r="B38" s="1">
        <f t="shared" si="13"/>
        <v>0</v>
      </c>
      <c r="C38" s="1">
        <v>11</v>
      </c>
      <c r="D38" s="217" t="str">
        <f t="shared" si="14"/>
        <v/>
      </c>
      <c r="E38" s="218"/>
      <c r="F38" s="218"/>
      <c r="G38" s="24" t="str">
        <f t="shared" si="3"/>
        <v/>
      </c>
      <c r="H38" s="27" t="str">
        <f t="shared" si="15"/>
        <v/>
      </c>
      <c r="I38" s="28" t="str">
        <f t="shared" si="16"/>
        <v/>
      </c>
      <c r="J38" s="27" t="str">
        <f t="shared" si="17"/>
        <v/>
      </c>
      <c r="K38" s="28" t="str">
        <f t="shared" si="18"/>
        <v/>
      </c>
      <c r="L38" s="27" t="str">
        <f t="shared" si="19"/>
        <v/>
      </c>
      <c r="M38" s="28" t="str">
        <f t="shared" si="20"/>
        <v/>
      </c>
      <c r="N38" s="27" t="str">
        <f t="shared" si="21"/>
        <v/>
      </c>
      <c r="O38" s="28" t="str">
        <f t="shared" si="22"/>
        <v/>
      </c>
      <c r="R38" s="3"/>
      <c r="S38" s="3"/>
      <c r="T38" s="3"/>
      <c r="U38" s="3"/>
      <c r="V38" s="3"/>
    </row>
    <row r="39" spans="2:81" s="1" customFormat="1" ht="15" x14ac:dyDescent="0.2">
      <c r="B39" s="1">
        <f t="shared" si="13"/>
        <v>0</v>
      </c>
      <c r="C39" s="1">
        <v>12</v>
      </c>
      <c r="D39" s="217" t="str">
        <f t="shared" si="14"/>
        <v/>
      </c>
      <c r="E39" s="218"/>
      <c r="F39" s="218"/>
      <c r="G39" s="24" t="str">
        <f t="shared" si="3"/>
        <v/>
      </c>
      <c r="H39" s="27" t="str">
        <f t="shared" si="15"/>
        <v/>
      </c>
      <c r="I39" s="28" t="str">
        <f t="shared" si="16"/>
        <v/>
      </c>
      <c r="J39" s="27" t="str">
        <f t="shared" si="17"/>
        <v/>
      </c>
      <c r="K39" s="28" t="str">
        <f t="shared" si="18"/>
        <v/>
      </c>
      <c r="L39" s="27" t="str">
        <f t="shared" si="19"/>
        <v/>
      </c>
      <c r="M39" s="28" t="str">
        <f t="shared" si="20"/>
        <v/>
      </c>
      <c r="N39" s="27" t="str">
        <f t="shared" si="21"/>
        <v/>
      </c>
      <c r="O39" s="28" t="str">
        <f t="shared" si="22"/>
        <v/>
      </c>
      <c r="R39" s="3"/>
      <c r="S39" s="3"/>
      <c r="T39" s="3"/>
      <c r="U39" s="3"/>
      <c r="V39" s="3"/>
    </row>
    <row r="40" spans="2:81" s="1" customFormat="1" ht="15" x14ac:dyDescent="0.2">
      <c r="B40" s="1">
        <f t="shared" si="13"/>
        <v>0</v>
      </c>
      <c r="C40" s="1">
        <v>13</v>
      </c>
      <c r="D40" s="217" t="str">
        <f t="shared" si="14"/>
        <v/>
      </c>
      <c r="E40" s="218"/>
      <c r="F40" s="218"/>
      <c r="G40" s="24" t="str">
        <f t="shared" si="3"/>
        <v/>
      </c>
      <c r="H40" s="27" t="str">
        <f t="shared" si="15"/>
        <v/>
      </c>
      <c r="I40" s="28" t="str">
        <f t="shared" si="16"/>
        <v/>
      </c>
      <c r="J40" s="27" t="str">
        <f t="shared" si="17"/>
        <v/>
      </c>
      <c r="K40" s="28" t="str">
        <f t="shared" si="18"/>
        <v/>
      </c>
      <c r="L40" s="27" t="str">
        <f t="shared" si="19"/>
        <v/>
      </c>
      <c r="M40" s="28" t="str">
        <f t="shared" si="20"/>
        <v/>
      </c>
      <c r="N40" s="27" t="str">
        <f t="shared" si="21"/>
        <v/>
      </c>
      <c r="O40" s="28" t="str">
        <f t="shared" si="22"/>
        <v/>
      </c>
      <c r="R40" s="3"/>
      <c r="S40" s="3"/>
      <c r="T40" s="3"/>
      <c r="U40" s="3"/>
      <c r="V40" s="3"/>
    </row>
    <row r="41" spans="2:81" s="1" customFormat="1" ht="15" x14ac:dyDescent="0.2">
      <c r="B41" s="1">
        <f t="shared" si="13"/>
        <v>0</v>
      </c>
      <c r="C41" s="1">
        <v>14</v>
      </c>
      <c r="D41" s="217" t="str">
        <f t="shared" si="14"/>
        <v/>
      </c>
      <c r="E41" s="218"/>
      <c r="F41" s="218"/>
      <c r="G41" s="24" t="str">
        <f t="shared" si="3"/>
        <v/>
      </c>
      <c r="H41" s="27" t="str">
        <f t="shared" si="15"/>
        <v/>
      </c>
      <c r="I41" s="28" t="str">
        <f t="shared" si="16"/>
        <v/>
      </c>
      <c r="J41" s="27" t="str">
        <f t="shared" si="17"/>
        <v/>
      </c>
      <c r="K41" s="28" t="str">
        <f t="shared" si="18"/>
        <v/>
      </c>
      <c r="L41" s="27" t="str">
        <f t="shared" si="19"/>
        <v/>
      </c>
      <c r="M41" s="28" t="str">
        <f t="shared" si="20"/>
        <v/>
      </c>
      <c r="N41" s="27" t="str">
        <f t="shared" si="21"/>
        <v/>
      </c>
      <c r="O41" s="28" t="str">
        <f t="shared" si="22"/>
        <v/>
      </c>
      <c r="R41" s="3"/>
      <c r="S41" s="3"/>
      <c r="T41" s="3"/>
      <c r="U41" s="3"/>
      <c r="V41" s="3"/>
    </row>
    <row r="42" spans="2:81" s="1" customFormat="1" ht="15" x14ac:dyDescent="0.2">
      <c r="B42" s="1">
        <f t="shared" si="13"/>
        <v>0</v>
      </c>
      <c r="C42" s="1">
        <v>15</v>
      </c>
      <c r="D42" s="217" t="str">
        <f t="shared" si="14"/>
        <v/>
      </c>
      <c r="E42" s="218"/>
      <c r="F42" s="218"/>
      <c r="G42" s="24" t="str">
        <f t="shared" si="3"/>
        <v/>
      </c>
      <c r="H42" s="27" t="str">
        <f t="shared" si="15"/>
        <v/>
      </c>
      <c r="I42" s="28" t="str">
        <f t="shared" si="16"/>
        <v/>
      </c>
      <c r="J42" s="27" t="str">
        <f t="shared" si="17"/>
        <v/>
      </c>
      <c r="K42" s="28" t="str">
        <f t="shared" si="18"/>
        <v/>
      </c>
      <c r="L42" s="27" t="str">
        <f t="shared" si="19"/>
        <v/>
      </c>
      <c r="M42" s="28" t="str">
        <f t="shared" si="20"/>
        <v/>
      </c>
      <c r="N42" s="27" t="str">
        <f t="shared" si="21"/>
        <v/>
      </c>
      <c r="O42" s="28" t="str">
        <f t="shared" si="22"/>
        <v/>
      </c>
      <c r="R42" s="3"/>
      <c r="S42" s="3"/>
      <c r="T42" s="3"/>
      <c r="U42" s="3"/>
      <c r="V42" s="3"/>
    </row>
    <row r="43" spans="2:81" s="1" customFormat="1" ht="15" x14ac:dyDescent="0.2">
      <c r="B43" s="1">
        <f t="shared" si="13"/>
        <v>0</v>
      </c>
      <c r="C43" s="1">
        <v>16</v>
      </c>
      <c r="D43" s="217" t="str">
        <f t="shared" si="14"/>
        <v/>
      </c>
      <c r="E43" s="218"/>
      <c r="F43" s="218"/>
      <c r="G43" s="24" t="str">
        <f>IF(ISBLANK(G18), "", G18)</f>
        <v/>
      </c>
      <c r="H43" s="27" t="str">
        <f t="shared" si="15"/>
        <v/>
      </c>
      <c r="I43" s="28" t="str">
        <f t="shared" si="16"/>
        <v/>
      </c>
      <c r="J43" s="27" t="str">
        <f t="shared" si="17"/>
        <v/>
      </c>
      <c r="K43" s="28" t="str">
        <f t="shared" si="18"/>
        <v/>
      </c>
      <c r="L43" s="27" t="str">
        <f t="shared" si="19"/>
        <v/>
      </c>
      <c r="M43" s="28" t="str">
        <f t="shared" si="20"/>
        <v/>
      </c>
      <c r="N43" s="27" t="str">
        <f t="shared" si="21"/>
        <v/>
      </c>
      <c r="O43" s="28" t="str">
        <f t="shared" si="22"/>
        <v/>
      </c>
      <c r="R43" s="3"/>
      <c r="S43" s="3"/>
      <c r="T43" s="3"/>
      <c r="U43" s="3"/>
      <c r="V43" s="3"/>
    </row>
    <row r="44" spans="2:81" s="1" customFormat="1" ht="15" x14ac:dyDescent="0.2">
      <c r="B44" s="1">
        <f t="shared" si="13"/>
        <v>0</v>
      </c>
      <c r="C44" s="1">
        <v>17</v>
      </c>
      <c r="D44" s="217" t="str">
        <f t="shared" si="14"/>
        <v/>
      </c>
      <c r="E44" s="218"/>
      <c r="F44" s="218"/>
      <c r="G44" s="24" t="str">
        <f>IF(ISBLANK(G19), "", G19)</f>
        <v/>
      </c>
      <c r="H44" s="27" t="str">
        <f t="shared" si="15"/>
        <v/>
      </c>
      <c r="I44" s="28" t="str">
        <f t="shared" si="16"/>
        <v/>
      </c>
      <c r="J44" s="27" t="str">
        <f t="shared" si="17"/>
        <v/>
      </c>
      <c r="K44" s="28" t="str">
        <f t="shared" si="18"/>
        <v/>
      </c>
      <c r="L44" s="27" t="str">
        <f t="shared" si="19"/>
        <v/>
      </c>
      <c r="M44" s="28" t="str">
        <f t="shared" si="20"/>
        <v/>
      </c>
      <c r="N44" s="27" t="str">
        <f t="shared" si="21"/>
        <v/>
      </c>
      <c r="O44" s="28" t="str">
        <f t="shared" si="22"/>
        <v/>
      </c>
      <c r="R44" s="3"/>
      <c r="S44" s="3"/>
      <c r="T44" s="3"/>
      <c r="U44" s="3"/>
      <c r="V44" s="3"/>
    </row>
    <row r="45" spans="2:81" s="1" customFormat="1" ht="15" x14ac:dyDescent="0.2">
      <c r="B45" s="1">
        <f t="shared" si="13"/>
        <v>0</v>
      </c>
      <c r="C45" s="1">
        <v>18</v>
      </c>
      <c r="D45" s="217" t="str">
        <f t="shared" si="14"/>
        <v/>
      </c>
      <c r="E45" s="218"/>
      <c r="F45" s="218"/>
      <c r="G45" s="24" t="str">
        <f>IF(ISBLANK(G20), "", G20)</f>
        <v/>
      </c>
      <c r="H45" s="27" t="str">
        <f t="shared" si="15"/>
        <v/>
      </c>
      <c r="I45" s="28" t="str">
        <f t="shared" si="16"/>
        <v/>
      </c>
      <c r="J45" s="27" t="str">
        <f t="shared" si="17"/>
        <v/>
      </c>
      <c r="K45" s="28" t="str">
        <f t="shared" si="18"/>
        <v/>
      </c>
      <c r="L45" s="27" t="str">
        <f t="shared" si="19"/>
        <v/>
      </c>
      <c r="M45" s="28" t="str">
        <f t="shared" si="20"/>
        <v/>
      </c>
      <c r="N45" s="27" t="str">
        <f t="shared" si="21"/>
        <v/>
      </c>
      <c r="O45" s="28" t="str">
        <f t="shared" si="22"/>
        <v/>
      </c>
      <c r="R45" s="3"/>
      <c r="S45" s="3"/>
      <c r="T45" s="3"/>
      <c r="U45" s="3"/>
      <c r="V45" s="3"/>
    </row>
    <row r="46" spans="2:81" s="1" customFormat="1" ht="15" x14ac:dyDescent="0.2">
      <c r="B46" s="1">
        <f t="shared" si="13"/>
        <v>0</v>
      </c>
      <c r="C46" s="1">
        <v>19</v>
      </c>
      <c r="D46" s="217" t="str">
        <f t="shared" si="14"/>
        <v/>
      </c>
      <c r="E46" s="218"/>
      <c r="F46" s="218"/>
      <c r="G46" s="24" t="str">
        <f>IF(ISBLANK(G21), "", G21)</f>
        <v/>
      </c>
      <c r="H46" s="27" t="str">
        <f t="shared" si="15"/>
        <v/>
      </c>
      <c r="I46" s="28" t="str">
        <f t="shared" si="16"/>
        <v/>
      </c>
      <c r="J46" s="27" t="str">
        <f t="shared" si="17"/>
        <v/>
      </c>
      <c r="K46" s="28" t="str">
        <f t="shared" si="18"/>
        <v/>
      </c>
      <c r="L46" s="27" t="str">
        <f t="shared" si="19"/>
        <v/>
      </c>
      <c r="M46" s="28" t="str">
        <f t="shared" si="20"/>
        <v/>
      </c>
      <c r="N46" s="27" t="str">
        <f t="shared" si="21"/>
        <v/>
      </c>
      <c r="O46" s="28" t="str">
        <f t="shared" si="22"/>
        <v/>
      </c>
      <c r="R46" s="3"/>
      <c r="S46" s="3"/>
      <c r="T46" s="3"/>
      <c r="U46" s="3"/>
      <c r="V46" s="3"/>
    </row>
    <row r="47" spans="2:81" s="1" customFormat="1" ht="15" x14ac:dyDescent="0.2">
      <c r="B47" s="1">
        <f t="shared" si="13"/>
        <v>0</v>
      </c>
      <c r="C47" s="1">
        <v>20</v>
      </c>
      <c r="D47" s="217" t="str">
        <f t="shared" si="14"/>
        <v/>
      </c>
      <c r="E47" s="218"/>
      <c r="F47" s="218"/>
      <c r="G47" s="24" t="str">
        <f>IF(ISBLANK(G22), "", G22)</f>
        <v/>
      </c>
      <c r="H47" s="27" t="str">
        <f t="shared" si="15"/>
        <v/>
      </c>
      <c r="I47" s="28" t="str">
        <f t="shared" si="16"/>
        <v/>
      </c>
      <c r="J47" s="27" t="str">
        <f t="shared" si="17"/>
        <v/>
      </c>
      <c r="K47" s="28" t="str">
        <f t="shared" si="18"/>
        <v/>
      </c>
      <c r="L47" s="27" t="str">
        <f t="shared" si="19"/>
        <v/>
      </c>
      <c r="M47" s="28" t="str">
        <f t="shared" si="20"/>
        <v/>
      </c>
      <c r="N47" s="27" t="str">
        <f t="shared" si="21"/>
        <v/>
      </c>
      <c r="O47" s="28" t="str">
        <f t="shared" si="22"/>
        <v/>
      </c>
      <c r="R47" s="3"/>
      <c r="S47" s="3"/>
      <c r="T47" s="3"/>
      <c r="U47" s="3"/>
      <c r="V47" s="3"/>
    </row>
    <row r="48" spans="2:81" s="1" customFormat="1" x14ac:dyDescent="0.2">
      <c r="R48" s="3"/>
      <c r="S48" s="3"/>
      <c r="T48" s="3"/>
      <c r="U48" s="3"/>
      <c r="V48" s="3"/>
    </row>
    <row r="49" spans="1:20" x14ac:dyDescent="0.2">
      <c r="A49" s="29"/>
      <c r="B49" s="29"/>
      <c r="C49" s="29"/>
      <c r="D49" s="29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</row>
    <row r="50" spans="1:20" s="1" customFormat="1" x14ac:dyDescent="0.2"/>
    <row r="51" spans="1:20" x14ac:dyDescent="0.2">
      <c r="D51" s="30" t="s">
        <v>42</v>
      </c>
      <c r="E51" s="210" t="str">
        <f>D3</f>
        <v>RESIDENTIAL SERVICE CLASSIFICATION</v>
      </c>
      <c r="F51" s="210"/>
      <c r="G51" s="210"/>
      <c r="H51" s="210"/>
      <c r="I51" s="210"/>
      <c r="J51" s="210"/>
      <c r="K51" s="3" t="str">
        <f>IF(N3="DEMAND - INTERVAL","RTSR - INTERVAL METERED","")</f>
        <v/>
      </c>
      <c r="T51" s="3" t="s">
        <v>43</v>
      </c>
    </row>
    <row r="52" spans="1:20" x14ac:dyDescent="0.2">
      <c r="D52" s="30" t="s">
        <v>44</v>
      </c>
      <c r="E52" s="212" t="str">
        <f>H3</f>
        <v>RPP</v>
      </c>
      <c r="F52" s="212"/>
      <c r="G52" s="212"/>
      <c r="H52" s="31"/>
      <c r="I52" s="31"/>
    </row>
    <row r="53" spans="1:20" ht="15.75" x14ac:dyDescent="0.2">
      <c r="D53" s="30" t="s">
        <v>45</v>
      </c>
      <c r="E53" s="32">
        <f>L3</f>
        <v>800</v>
      </c>
      <c r="F53" s="33" t="s">
        <v>11</v>
      </c>
      <c r="G53" s="34"/>
      <c r="J53" s="35"/>
      <c r="K53" s="35"/>
      <c r="L53" s="35"/>
      <c r="M53" s="35"/>
    </row>
    <row r="54" spans="1:20" ht="15.75" x14ac:dyDescent="0.25">
      <c r="D54" s="30" t="s">
        <v>46</v>
      </c>
      <c r="E54" s="32">
        <f>M3</f>
        <v>0</v>
      </c>
      <c r="F54" s="36" t="s">
        <v>17</v>
      </c>
      <c r="G54" s="37"/>
      <c r="H54" s="38"/>
      <c r="I54" s="38"/>
      <c r="J54" s="38"/>
    </row>
    <row r="55" spans="1:20" x14ac:dyDescent="0.2">
      <c r="D55" s="30" t="s">
        <v>47</v>
      </c>
      <c r="E55" s="39">
        <f>J3</f>
        <v>1.0379</v>
      </c>
    </row>
    <row r="56" spans="1:20" x14ac:dyDescent="0.2">
      <c r="D56" s="30" t="s">
        <v>48</v>
      </c>
      <c r="E56" s="39">
        <f>K3</f>
        <v>1.0379</v>
      </c>
    </row>
    <row r="57" spans="1:20" x14ac:dyDescent="0.2">
      <c r="D57" s="33" t="s">
        <v>49</v>
      </c>
      <c r="E57" s="40" t="str">
        <f>I3</f>
        <v>Yes</v>
      </c>
    </row>
    <row r="58" spans="1:20" x14ac:dyDescent="0.2">
      <c r="D58" s="34"/>
    </row>
    <row r="59" spans="1:20" x14ac:dyDescent="0.2">
      <c r="D59" s="34"/>
      <c r="E59" s="41"/>
      <c r="F59" s="200" t="s">
        <v>50</v>
      </c>
      <c r="G59" s="213"/>
      <c r="H59" s="201"/>
      <c r="I59" s="219" t="s">
        <v>51</v>
      </c>
      <c r="J59" s="220"/>
      <c r="K59" s="221"/>
      <c r="L59" s="200" t="s">
        <v>52</v>
      </c>
      <c r="M59" s="201"/>
    </row>
    <row r="60" spans="1:20" x14ac:dyDescent="0.2">
      <c r="D60" s="34"/>
      <c r="E60" s="202"/>
      <c r="F60" s="42" t="s">
        <v>53</v>
      </c>
      <c r="G60" s="42" t="s">
        <v>54</v>
      </c>
      <c r="H60" s="43" t="s">
        <v>55</v>
      </c>
      <c r="I60" s="44" t="s">
        <v>53</v>
      </c>
      <c r="J60" s="45" t="s">
        <v>54</v>
      </c>
      <c r="K60" s="46" t="s">
        <v>55</v>
      </c>
      <c r="L60" s="204" t="s">
        <v>56</v>
      </c>
      <c r="M60" s="206" t="s">
        <v>57</v>
      </c>
    </row>
    <row r="61" spans="1:20" x14ac:dyDescent="0.2">
      <c r="D61" s="34"/>
      <c r="E61" s="203"/>
      <c r="F61" s="47" t="s">
        <v>58</v>
      </c>
      <c r="G61" s="47"/>
      <c r="H61" s="48" t="s">
        <v>58</v>
      </c>
      <c r="I61" s="49" t="s">
        <v>58</v>
      </c>
      <c r="J61" s="50"/>
      <c r="K61" s="50" t="s">
        <v>58</v>
      </c>
      <c r="L61" s="205"/>
      <c r="M61" s="207"/>
    </row>
    <row r="62" spans="1:20" x14ac:dyDescent="0.2">
      <c r="A62" s="3" t="str">
        <f>$E51</f>
        <v>RESIDENTIAL SERVICE CLASSIFICATION</v>
      </c>
      <c r="C62" s="51"/>
      <c r="D62" s="52" t="s">
        <v>59</v>
      </c>
      <c r="E62" s="53"/>
      <c r="F62" s="54">
        <v>18.170000000000002</v>
      </c>
      <c r="G62" s="55">
        <v>1</v>
      </c>
      <c r="H62" s="56">
        <f>G62*F62</f>
        <v>18.170000000000002</v>
      </c>
      <c r="I62" s="57">
        <v>20.96</v>
      </c>
      <c r="J62" s="58">
        <v>1</v>
      </c>
      <c r="K62" s="59">
        <f>J62*I62</f>
        <v>20.96</v>
      </c>
      <c r="L62" s="60">
        <f t="shared" ref="L62:L86" si="23">K62-H62</f>
        <v>2.7899999999999991</v>
      </c>
      <c r="M62" s="61">
        <f>IF(ISERROR(L62/H62), "", L62/H62)</f>
        <v>0.15354980737479357</v>
      </c>
    </row>
    <row r="63" spans="1:20" x14ac:dyDescent="0.2">
      <c r="A63" s="3" t="str">
        <f>A62</f>
        <v>RESIDENTIAL SERVICE CLASSIFICATION</v>
      </c>
      <c r="C63" s="51"/>
      <c r="D63" s="52" t="s">
        <v>60</v>
      </c>
      <c r="E63" s="53"/>
      <c r="F63" s="62">
        <v>1.2800000000000001E-2</v>
      </c>
      <c r="G63" s="55">
        <f>IF($E54&gt;0, $E54, $E53)</f>
        <v>800</v>
      </c>
      <c r="H63" s="56">
        <f t="shared" ref="H63:H71" si="24">G63*F63</f>
        <v>10.24</v>
      </c>
      <c r="I63" s="63">
        <v>9.7000000000000003E-3</v>
      </c>
      <c r="J63" s="58">
        <f>IF($E54&gt;0, $E54, $E53)</f>
        <v>800</v>
      </c>
      <c r="K63" s="59">
        <f>J63*I63</f>
        <v>7.76</v>
      </c>
      <c r="L63" s="60">
        <f t="shared" si="23"/>
        <v>-2.4800000000000004</v>
      </c>
      <c r="M63" s="61">
        <f t="shared" ref="M63:M71" si="25">IF(ISERROR(L63/H63), "", L63/H63)</f>
        <v>-0.24218750000000003</v>
      </c>
    </row>
    <row r="64" spans="1:20" x14ac:dyDescent="0.2">
      <c r="A64" s="3" t="str">
        <f t="shared" ref="A64:A76" si="26">A63</f>
        <v>RESIDENTIAL SERVICE CLASSIFICATION</v>
      </c>
      <c r="C64" s="51"/>
      <c r="D64" s="64" t="s">
        <v>61</v>
      </c>
      <c r="E64" s="53"/>
      <c r="F64" s="54">
        <v>0</v>
      </c>
      <c r="G64" s="55">
        <v>1</v>
      </c>
      <c r="H64" s="56">
        <f t="shared" si="24"/>
        <v>0</v>
      </c>
      <c r="I64" s="57">
        <v>0.13</v>
      </c>
      <c r="J64" s="58">
        <v>1</v>
      </c>
      <c r="K64" s="59">
        <f t="shared" ref="K64:K71" si="27">J64*I64</f>
        <v>0.13</v>
      </c>
      <c r="L64" s="60">
        <f t="shared" si="23"/>
        <v>0.13</v>
      </c>
      <c r="M64" s="61" t="str">
        <f t="shared" si="25"/>
        <v/>
      </c>
    </row>
    <row r="65" spans="1:16" x14ac:dyDescent="0.2">
      <c r="A65" s="3" t="str">
        <f t="shared" si="26"/>
        <v>RESIDENTIAL SERVICE CLASSIFICATION</v>
      </c>
      <c r="C65" s="51"/>
      <c r="D65" s="65" t="s">
        <v>62</v>
      </c>
      <c r="E65" s="53"/>
      <c r="F65" s="62">
        <v>6.9999999999999999E-4</v>
      </c>
      <c r="G65" s="55">
        <f>IF($E54&gt;0, $E54, $E53)</f>
        <v>800</v>
      </c>
      <c r="H65" s="56">
        <f t="shared" si="24"/>
        <v>0.55999999999999994</v>
      </c>
      <c r="I65" s="63">
        <v>6.9999999999999999E-4</v>
      </c>
      <c r="J65" s="58">
        <f>IF($E54&gt;0, $E54, $E53)</f>
        <v>800</v>
      </c>
      <c r="K65" s="59">
        <f t="shared" si="27"/>
        <v>0.55999999999999994</v>
      </c>
      <c r="L65" s="60">
        <f t="shared" si="23"/>
        <v>0</v>
      </c>
      <c r="M65" s="61">
        <f t="shared" si="25"/>
        <v>0</v>
      </c>
    </row>
    <row r="66" spans="1:16" x14ac:dyDescent="0.2">
      <c r="A66" s="3" t="str">
        <f t="shared" si="26"/>
        <v>RESIDENTIAL SERVICE CLASSIFICATION</v>
      </c>
      <c r="B66" s="66" t="s">
        <v>63</v>
      </c>
      <c r="C66" s="51">
        <f>B3</f>
        <v>1</v>
      </c>
      <c r="D66" s="67" t="s">
        <v>64</v>
      </c>
      <c r="E66" s="68"/>
      <c r="F66" s="69"/>
      <c r="G66" s="70"/>
      <c r="H66" s="71">
        <f>SUM(H62:H65)</f>
        <v>28.970000000000002</v>
      </c>
      <c r="I66" s="72"/>
      <c r="J66" s="73"/>
      <c r="K66" s="71">
        <f>SUM(K62:K65)</f>
        <v>29.409999999999997</v>
      </c>
      <c r="L66" s="74">
        <f t="shared" si="23"/>
        <v>0.43999999999999417</v>
      </c>
      <c r="M66" s="75">
        <f>IF((H66)=0,"",(L66/H66))</f>
        <v>1.5188125647221062E-2</v>
      </c>
    </row>
    <row r="67" spans="1:16" x14ac:dyDescent="0.2">
      <c r="A67" s="3" t="str">
        <f t="shared" si="26"/>
        <v>RESIDENTIAL SERVICE CLASSIFICATION</v>
      </c>
      <c r="C67" s="51"/>
      <c r="D67" s="76" t="s">
        <v>65</v>
      </c>
      <c r="E67" s="53"/>
      <c r="F67" s="62">
        <f>IF((E53*12&gt;=150000), 0, IF(E52="RPP",(F82*0.64+F83*0.18+F84*0.18),IF(E52="Non-RPP (Retailer)",F85,F86)))</f>
        <v>0.10214000000000001</v>
      </c>
      <c r="G67" s="77">
        <f>IF(F67=0, 0, $E53*E55-E53)</f>
        <v>30.32000000000005</v>
      </c>
      <c r="H67" s="56">
        <f>G67*F67</f>
        <v>3.0968848000000055</v>
      </c>
      <c r="I67" s="78">
        <f>IF((E53*12&gt;=150000), 0, IF(E52="RPP",(I82*0.64+I83*0.18+I84*0.18),IF(E52="Non-RPP (Retailer)",I85,I86)))</f>
        <v>0.10214000000000001</v>
      </c>
      <c r="J67" s="77">
        <f>IF(I67=0, 0, E53*E56-E53)</f>
        <v>30.32000000000005</v>
      </c>
      <c r="K67" s="56">
        <f>J67*I67</f>
        <v>3.0968848000000055</v>
      </c>
      <c r="L67" s="60">
        <f>K67-H67</f>
        <v>0</v>
      </c>
      <c r="M67" s="61">
        <f>IF(ISERROR(L67/H67), "", L67/H67)</f>
        <v>0</v>
      </c>
    </row>
    <row r="68" spans="1:16" ht="25.5" x14ac:dyDescent="0.25">
      <c r="A68" s="3" t="str">
        <f t="shared" si="26"/>
        <v>RESIDENTIAL SERVICE CLASSIFICATION</v>
      </c>
      <c r="C68" s="51"/>
      <c r="D68" s="76" t="s">
        <v>103</v>
      </c>
      <c r="E68" s="53"/>
      <c r="F68" s="62">
        <v>-8.0000000000000004E-4</v>
      </c>
      <c r="G68" s="79">
        <f>IF($E54&gt;0, $E54, $E53)</f>
        <v>800</v>
      </c>
      <c r="H68" s="56">
        <f t="shared" si="24"/>
        <v>-0.64</v>
      </c>
      <c r="I68" s="85">
        <f>(-0.001+0.001)-0.0036+(-0.0004+0.0004)</f>
        <v>-3.5999999999999999E-3</v>
      </c>
      <c r="J68" s="79">
        <f>IF($E54&gt;0, $E54, $E53)</f>
        <v>800</v>
      </c>
      <c r="K68" s="56">
        <f t="shared" si="27"/>
        <v>-2.88</v>
      </c>
      <c r="L68" s="60">
        <f t="shared" si="23"/>
        <v>-2.2399999999999998</v>
      </c>
      <c r="M68" s="61">
        <f t="shared" si="25"/>
        <v>3.4999999999999996</v>
      </c>
      <c r="P68" s="198"/>
    </row>
    <row r="69" spans="1:16" ht="15" x14ac:dyDescent="0.25">
      <c r="C69" s="51"/>
      <c r="D69" s="80" t="s">
        <v>66</v>
      </c>
      <c r="E69" s="81"/>
      <c r="F69" s="82">
        <v>0</v>
      </c>
      <c r="G69" s="83">
        <f>G68</f>
        <v>800</v>
      </c>
      <c r="H69" s="84">
        <f t="shared" si="24"/>
        <v>0</v>
      </c>
      <c r="I69" s="85">
        <v>0</v>
      </c>
      <c r="J69" s="83">
        <f>J68</f>
        <v>800</v>
      </c>
      <c r="K69" s="84">
        <f t="shared" si="27"/>
        <v>0</v>
      </c>
      <c r="L69" s="60">
        <f t="shared" si="23"/>
        <v>0</v>
      </c>
      <c r="M69" s="61" t="str">
        <f t="shared" si="25"/>
        <v/>
      </c>
      <c r="P69" s="198"/>
    </row>
    <row r="70" spans="1:16" ht="15" x14ac:dyDescent="0.25">
      <c r="C70" s="51"/>
      <c r="D70" s="80" t="s">
        <v>102</v>
      </c>
      <c r="E70" s="53"/>
      <c r="F70" s="88"/>
      <c r="G70" s="89"/>
      <c r="H70" s="90"/>
      <c r="I70" s="85">
        <f>CL26</f>
        <v>-1.56</v>
      </c>
      <c r="J70" s="83">
        <v>1</v>
      </c>
      <c r="K70" s="84">
        <f t="shared" si="27"/>
        <v>-1.56</v>
      </c>
      <c r="L70" s="60">
        <f t="shared" si="23"/>
        <v>-1.56</v>
      </c>
      <c r="M70" s="61" t="str">
        <f t="shared" si="25"/>
        <v/>
      </c>
      <c r="P70" s="198"/>
    </row>
    <row r="71" spans="1:16" x14ac:dyDescent="0.2">
      <c r="A71" s="3" t="str">
        <f>A68</f>
        <v>RESIDENTIAL SERVICE CLASSIFICATION</v>
      </c>
      <c r="C71" s="51"/>
      <c r="D71" s="91" t="s">
        <v>67</v>
      </c>
      <c r="E71" s="53"/>
      <c r="F71" s="62"/>
      <c r="G71" s="79">
        <f>IF($E54&gt;0, $E54, $E53)</f>
        <v>800</v>
      </c>
      <c r="H71" s="56">
        <f t="shared" si="24"/>
        <v>0</v>
      </c>
      <c r="I71" s="78"/>
      <c r="J71" s="79">
        <f>IF($E54&gt;0, $E54, $E53)</f>
        <v>800</v>
      </c>
      <c r="K71" s="56">
        <f t="shared" si="27"/>
        <v>0</v>
      </c>
      <c r="L71" s="60">
        <f t="shared" si="23"/>
        <v>0</v>
      </c>
      <c r="M71" s="61" t="str">
        <f t="shared" si="25"/>
        <v/>
      </c>
    </row>
    <row r="72" spans="1:16" x14ac:dyDescent="0.2">
      <c r="A72" s="3" t="str">
        <f t="shared" si="26"/>
        <v>RESIDENTIAL SERVICE CLASSIFICATION</v>
      </c>
      <c r="C72" s="51"/>
      <c r="D72" s="91" t="s">
        <v>68</v>
      </c>
      <c r="E72" s="53"/>
      <c r="F72" s="62">
        <f>IF(OR(ISNUMBER(SEARCH("RESIDENTIAL", E51))=TRUE, ISNUMBER(SEARCH("GENERAL SERVICE LESS THAN 50", E51))=TRUE), 0.79, 0)</f>
        <v>0.79</v>
      </c>
      <c r="G72" s="55">
        <v>1</v>
      </c>
      <c r="H72" s="56">
        <f>G72*F72</f>
        <v>0.79</v>
      </c>
      <c r="I72" s="78">
        <f>IF(OR(ISNUMBER(SEARCH("RESIDENTIAL", E51))=TRUE, ISNUMBER(SEARCH("GENERAL SERVICE LESS THAN 50", E51))=TRUE), 0.79, 0)</f>
        <v>0.79</v>
      </c>
      <c r="J72" s="55">
        <v>1</v>
      </c>
      <c r="K72" s="56">
        <f>J72*I72</f>
        <v>0.79</v>
      </c>
      <c r="L72" s="60">
        <f t="shared" si="23"/>
        <v>0</v>
      </c>
      <c r="M72" s="61">
        <f>IF(ISERROR(L72/H72), "", L72/H72)</f>
        <v>0</v>
      </c>
    </row>
    <row r="73" spans="1:16" ht="25.5" x14ac:dyDescent="0.2">
      <c r="A73" s="3" t="str">
        <f t="shared" si="26"/>
        <v>RESIDENTIAL SERVICE CLASSIFICATION</v>
      </c>
      <c r="B73" s="34" t="s">
        <v>69</v>
      </c>
      <c r="C73" s="51">
        <f>B3</f>
        <v>1</v>
      </c>
      <c r="D73" s="92" t="s">
        <v>70</v>
      </c>
      <c r="E73" s="93"/>
      <c r="F73" s="94"/>
      <c r="G73" s="70"/>
      <c r="H73" s="95">
        <f>SUM(H66:H72)</f>
        <v>32.21688480000001</v>
      </c>
      <c r="I73" s="96"/>
      <c r="J73" s="73"/>
      <c r="K73" s="95">
        <f>SUM(K66:K72)</f>
        <v>28.856884800000003</v>
      </c>
      <c r="L73" s="74">
        <f t="shared" si="23"/>
        <v>-3.3600000000000065</v>
      </c>
      <c r="M73" s="75">
        <f>IF((H73)=0,"",(L73/H73))</f>
        <v>-0.10429313761583819</v>
      </c>
    </row>
    <row r="74" spans="1:16" x14ac:dyDescent="0.2">
      <c r="A74" s="3" t="str">
        <f t="shared" si="26"/>
        <v>RESIDENTIAL SERVICE CLASSIFICATION</v>
      </c>
      <c r="C74" s="51"/>
      <c r="D74" s="97" t="s">
        <v>71</v>
      </c>
      <c r="E74" s="53"/>
      <c r="F74" s="62">
        <v>7.6E-3</v>
      </c>
      <c r="G74" s="77">
        <f>IF($E54&gt;0, $E54, $E53*$E55)</f>
        <v>830.32</v>
      </c>
      <c r="H74" s="56">
        <f>G74*F74</f>
        <v>6.3104320000000005</v>
      </c>
      <c r="I74" s="78">
        <v>7.4999999999999997E-3</v>
      </c>
      <c r="J74" s="77">
        <f>IF($E54&gt;0, $E54, $E53*$E56)</f>
        <v>830.32</v>
      </c>
      <c r="K74" s="56">
        <f>J74*I74</f>
        <v>6.2274000000000003</v>
      </c>
      <c r="L74" s="60">
        <f t="shared" si="23"/>
        <v>-8.3032000000000217E-2</v>
      </c>
      <c r="M74" s="61">
        <f>IF(ISERROR(L74/H74), "", L74/H74)</f>
        <v>-1.3157894736842139E-2</v>
      </c>
    </row>
    <row r="75" spans="1:16" ht="25.5" x14ac:dyDescent="0.2">
      <c r="A75" s="3" t="str">
        <f t="shared" si="26"/>
        <v>RESIDENTIAL SERVICE CLASSIFICATION</v>
      </c>
      <c r="C75" s="51"/>
      <c r="D75" s="98" t="s">
        <v>72</v>
      </c>
      <c r="E75" s="53"/>
      <c r="F75" s="62">
        <v>1.4E-3</v>
      </c>
      <c r="G75" s="77">
        <f>IF($E54&gt;0, $E54, $E53*$E55)</f>
        <v>830.32</v>
      </c>
      <c r="H75" s="56">
        <f>G75*F75</f>
        <v>1.1624480000000001</v>
      </c>
      <c r="I75" s="78">
        <v>1.5E-3</v>
      </c>
      <c r="J75" s="77">
        <f>IF($E54&gt;0, $E54, $E53*$E56)</f>
        <v>830.32</v>
      </c>
      <c r="K75" s="56">
        <f>J75*I75</f>
        <v>1.2454800000000001</v>
      </c>
      <c r="L75" s="60">
        <f t="shared" si="23"/>
        <v>8.3031999999999995E-2</v>
      </c>
      <c r="M75" s="61">
        <f>IF(ISERROR(L75/H75), "", L75/H75)</f>
        <v>7.1428571428571411E-2</v>
      </c>
    </row>
    <row r="76" spans="1:16" ht="25.5" x14ac:dyDescent="0.2">
      <c r="A76" s="3" t="str">
        <f t="shared" si="26"/>
        <v>RESIDENTIAL SERVICE CLASSIFICATION</v>
      </c>
      <c r="B76" s="34" t="s">
        <v>73</v>
      </c>
      <c r="C76" s="51">
        <f>B3</f>
        <v>1</v>
      </c>
      <c r="D76" s="92" t="s">
        <v>74</v>
      </c>
      <c r="E76" s="68"/>
      <c r="F76" s="94"/>
      <c r="G76" s="70"/>
      <c r="H76" s="95">
        <f>SUM(H73:H75)</f>
        <v>39.689764800000006</v>
      </c>
      <c r="I76" s="96"/>
      <c r="J76" s="99"/>
      <c r="K76" s="95">
        <f>SUM(K73:K75)</f>
        <v>36.329764800000007</v>
      </c>
      <c r="L76" s="74">
        <f t="shared" si="23"/>
        <v>-3.3599999999999994</v>
      </c>
      <c r="M76" s="75">
        <f>IF((H76)=0,"",(L76/H76))</f>
        <v>-8.4656586324744335E-2</v>
      </c>
    </row>
    <row r="77" spans="1:16" ht="25.5" x14ac:dyDescent="0.2">
      <c r="A77" s="3" t="str">
        <f>A76</f>
        <v>RESIDENTIAL SERVICE CLASSIFICATION</v>
      </c>
      <c r="C77" s="51"/>
      <c r="D77" s="100" t="s">
        <v>75</v>
      </c>
      <c r="E77" s="53"/>
      <c r="F77" s="62">
        <v>4.4000000000000003E-3</v>
      </c>
      <c r="G77" s="77">
        <f>E53*E55</f>
        <v>830.32</v>
      </c>
      <c r="H77" s="101">
        <f t="shared" ref="H77:H84" si="28">G77*F77</f>
        <v>3.6534080000000007</v>
      </c>
      <c r="I77" s="102">
        <v>3.5999999999999999E-3</v>
      </c>
      <c r="J77" s="77">
        <f>E53*E56</f>
        <v>830.32</v>
      </c>
      <c r="K77" s="101">
        <f t="shared" ref="K77:K84" si="29">J77*I77</f>
        <v>2.9891520000000003</v>
      </c>
      <c r="L77" s="60">
        <f t="shared" si="23"/>
        <v>-0.6642560000000004</v>
      </c>
      <c r="M77" s="61">
        <f>IF(ISERROR(L77/H77), "", L77/H77)</f>
        <v>-0.18181818181818191</v>
      </c>
    </row>
    <row r="78" spans="1:16" ht="25.5" x14ac:dyDescent="0.2">
      <c r="A78" s="3" t="str">
        <f>A77</f>
        <v>RESIDENTIAL SERVICE CLASSIFICATION</v>
      </c>
      <c r="C78" s="51"/>
      <c r="D78" s="100" t="s">
        <v>76</v>
      </c>
      <c r="E78" s="53"/>
      <c r="F78" s="62">
        <v>1.2999999999999999E-3</v>
      </c>
      <c r="G78" s="77">
        <f>E53*E55</f>
        <v>830.32</v>
      </c>
      <c r="H78" s="101">
        <f t="shared" si="28"/>
        <v>1.0794159999999999</v>
      </c>
      <c r="I78" s="78">
        <v>1.2999999999999999E-3</v>
      </c>
      <c r="J78" s="77">
        <f>E53*E56</f>
        <v>830.32</v>
      </c>
      <c r="K78" s="101">
        <f t="shared" si="29"/>
        <v>1.0794159999999999</v>
      </c>
      <c r="L78" s="60">
        <f t="shared" si="23"/>
        <v>0</v>
      </c>
      <c r="M78" s="61">
        <f>IF(ISERROR(L78/H78), "", L78/H78)</f>
        <v>0</v>
      </c>
    </row>
    <row r="79" spans="1:16" x14ac:dyDescent="0.2">
      <c r="A79" s="3" t="str">
        <f>A78</f>
        <v>RESIDENTIAL SERVICE CLASSIFICATION</v>
      </c>
      <c r="C79" s="51"/>
      <c r="D79" s="103" t="s">
        <v>77</v>
      </c>
      <c r="E79" s="53"/>
      <c r="F79" s="62">
        <v>0.25</v>
      </c>
      <c r="G79" s="55">
        <v>1</v>
      </c>
      <c r="H79" s="101">
        <f t="shared" si="28"/>
        <v>0.25</v>
      </c>
      <c r="I79" s="104">
        <v>0.25</v>
      </c>
      <c r="J79" s="58">
        <v>1</v>
      </c>
      <c r="K79" s="101">
        <f t="shared" si="29"/>
        <v>0.25</v>
      </c>
      <c r="L79" s="60">
        <f t="shared" si="23"/>
        <v>0</v>
      </c>
      <c r="M79" s="61">
        <f>IF(ISERROR(L79/H79), "", L79/H79)</f>
        <v>0</v>
      </c>
    </row>
    <row r="80" spans="1:16" x14ac:dyDescent="0.2">
      <c r="A80" s="3" t="str">
        <f>A79</f>
        <v>RESIDENTIAL SERVICE CLASSIFICATION</v>
      </c>
      <c r="C80" s="51"/>
      <c r="D80" s="103" t="s">
        <v>78</v>
      </c>
      <c r="E80" s="53"/>
      <c r="F80" s="62">
        <v>7.0000000000000001E-3</v>
      </c>
      <c r="G80" s="79">
        <f>E53</f>
        <v>800</v>
      </c>
      <c r="H80" s="101">
        <f t="shared" si="28"/>
        <v>5.6000000000000005</v>
      </c>
      <c r="I80" s="105">
        <f>IF(ISERROR(FIND("RESIDENTIAL", UPPER(E51))), 0.007, 0)</f>
        <v>0</v>
      </c>
      <c r="J80" s="79">
        <f>E53</f>
        <v>800</v>
      </c>
      <c r="K80" s="101">
        <f t="shared" si="29"/>
        <v>0</v>
      </c>
      <c r="L80" s="60">
        <f t="shared" si="23"/>
        <v>-5.6000000000000005</v>
      </c>
      <c r="M80" s="61">
        <f>IF(ISERROR(L80/H80), "", L80/H80)</f>
        <v>-1</v>
      </c>
    </row>
    <row r="81" spans="1:20" ht="25.5" x14ac:dyDescent="0.2">
      <c r="A81" s="3" t="str">
        <f>A80</f>
        <v>RESIDENTIAL SERVICE CLASSIFICATION</v>
      </c>
      <c r="C81" s="51"/>
      <c r="D81" s="100" t="s">
        <v>79</v>
      </c>
      <c r="E81" s="53"/>
      <c r="F81" s="106"/>
      <c r="G81" s="107"/>
      <c r="H81" s="107"/>
      <c r="I81" s="102">
        <v>1.1000000000000001E-3</v>
      </c>
      <c r="J81" s="77">
        <f>E53*E56</f>
        <v>830.32</v>
      </c>
      <c r="K81" s="101">
        <f>J81*I81</f>
        <v>0.91335200000000016</v>
      </c>
      <c r="L81" s="60">
        <f t="shared" si="23"/>
        <v>0.91335200000000016</v>
      </c>
      <c r="M81" s="107"/>
      <c r="N81" s="108"/>
    </row>
    <row r="82" spans="1:20" x14ac:dyDescent="0.2">
      <c r="A82" s="3" t="str">
        <f>A80</f>
        <v>RESIDENTIAL SERVICE CLASSIFICATION</v>
      </c>
      <c r="B82" s="34" t="s">
        <v>12</v>
      </c>
      <c r="C82" s="51"/>
      <c r="D82" s="109" t="s">
        <v>80</v>
      </c>
      <c r="E82" s="53"/>
      <c r="F82" s="110">
        <v>0.08</v>
      </c>
      <c r="G82" s="111">
        <f>IF(AND(E53*12&gt;=150000),0.64*E53*E55,0.64*E53)</f>
        <v>512</v>
      </c>
      <c r="H82" s="101">
        <f t="shared" si="28"/>
        <v>40.96</v>
      </c>
      <c r="I82" s="63">
        <v>0.08</v>
      </c>
      <c r="J82" s="111">
        <f>IF(AND(E53*12&gt;=150000),0.64*E53*E56,0.64*E53)</f>
        <v>512</v>
      </c>
      <c r="K82" s="101">
        <f t="shared" si="29"/>
        <v>40.96</v>
      </c>
      <c r="L82" s="60">
        <f t="shared" si="23"/>
        <v>0</v>
      </c>
      <c r="M82" s="61">
        <f>IF(ISERROR(L82/H82), "", L82/H82)</f>
        <v>0</v>
      </c>
    </row>
    <row r="83" spans="1:20" x14ac:dyDescent="0.2">
      <c r="A83" s="3" t="str">
        <f t="shared" ref="A83:A93" si="30">A82</f>
        <v>RESIDENTIAL SERVICE CLASSIFICATION</v>
      </c>
      <c r="B83" s="34" t="s">
        <v>12</v>
      </c>
      <c r="C83" s="51"/>
      <c r="D83" s="109" t="s">
        <v>81</v>
      </c>
      <c r="E83" s="53"/>
      <c r="F83" s="110">
        <v>0.122</v>
      </c>
      <c r="G83" s="111">
        <f>IF(AND(E53*12&gt;=150000),0.18*E53*E55,0.18*E53)</f>
        <v>144</v>
      </c>
      <c r="H83" s="101">
        <f t="shared" si="28"/>
        <v>17.567999999999998</v>
      </c>
      <c r="I83" s="63">
        <v>0.122</v>
      </c>
      <c r="J83" s="111">
        <f>IF(AND(E53*12&gt;=150000),0.18*E53*E56,0.18*E53)</f>
        <v>144</v>
      </c>
      <c r="K83" s="101">
        <f t="shared" si="29"/>
        <v>17.567999999999998</v>
      </c>
      <c r="L83" s="60">
        <f t="shared" si="23"/>
        <v>0</v>
      </c>
      <c r="M83" s="61">
        <f>IF(ISERROR(L83/H83), "", L83/H83)</f>
        <v>0</v>
      </c>
    </row>
    <row r="84" spans="1:20" x14ac:dyDescent="0.2">
      <c r="A84" s="3" t="str">
        <f t="shared" si="30"/>
        <v>RESIDENTIAL SERVICE CLASSIFICATION</v>
      </c>
      <c r="B84" s="34" t="s">
        <v>12</v>
      </c>
      <c r="C84" s="51"/>
      <c r="D84" s="34" t="s">
        <v>82</v>
      </c>
      <c r="E84" s="53"/>
      <c r="F84" s="110">
        <v>0.161</v>
      </c>
      <c r="G84" s="111">
        <f>IF(AND(E53*12&gt;=150000),0.18*E53*E55,0.18*E53)</f>
        <v>144</v>
      </c>
      <c r="H84" s="101">
        <f t="shared" si="28"/>
        <v>23.184000000000001</v>
      </c>
      <c r="I84" s="63">
        <v>0.161</v>
      </c>
      <c r="J84" s="111">
        <f>IF(AND(E53*12&gt;=150000),0.18*E53*E56,0.18*E53)</f>
        <v>144</v>
      </c>
      <c r="K84" s="101">
        <f t="shared" si="29"/>
        <v>23.184000000000001</v>
      </c>
      <c r="L84" s="60">
        <f t="shared" si="23"/>
        <v>0</v>
      </c>
      <c r="M84" s="61">
        <f>IF(ISERROR(L84/H84), "", L84/H84)</f>
        <v>0</v>
      </c>
    </row>
    <row r="85" spans="1:20" x14ac:dyDescent="0.2">
      <c r="A85" s="3" t="str">
        <f t="shared" si="30"/>
        <v>RESIDENTIAL SERVICE CLASSIFICATION</v>
      </c>
      <c r="B85" s="3" t="s">
        <v>24</v>
      </c>
      <c r="C85" s="51"/>
      <c r="D85" s="109" t="s">
        <v>83</v>
      </c>
      <c r="E85" s="53"/>
      <c r="F85" s="112"/>
      <c r="G85" s="111"/>
      <c r="H85" s="101">
        <f>G85*F85</f>
        <v>0</v>
      </c>
      <c r="I85" s="63">
        <f>F85</f>
        <v>0</v>
      </c>
      <c r="J85" s="111">
        <f>IF(AND(E53*12&gt;=150000),E53*E56,E53)</f>
        <v>800</v>
      </c>
      <c r="K85" s="101">
        <f>J85*I85</f>
        <v>0</v>
      </c>
      <c r="L85" s="60">
        <f t="shared" si="23"/>
        <v>0</v>
      </c>
      <c r="M85" s="61" t="str">
        <f>IF(ISERROR(L85/H85), "", L85/H85)</f>
        <v/>
      </c>
    </row>
    <row r="86" spans="1:20" ht="13.5" thickBot="1" x14ac:dyDescent="0.25">
      <c r="A86" s="3" t="str">
        <f t="shared" si="30"/>
        <v>RESIDENTIAL SERVICE CLASSIFICATION</v>
      </c>
      <c r="B86" s="3" t="s">
        <v>18</v>
      </c>
      <c r="C86" s="51"/>
      <c r="D86" s="109" t="s">
        <v>84</v>
      </c>
      <c r="E86" s="53"/>
      <c r="F86" s="112"/>
      <c r="G86" s="111"/>
      <c r="H86" s="101">
        <f>G86*F86</f>
        <v>0</v>
      </c>
      <c r="I86" s="113">
        <f>F86</f>
        <v>0</v>
      </c>
      <c r="J86" s="111">
        <f>IF(AND(E53*12&gt;=150000),E53*E56,E53)</f>
        <v>800</v>
      </c>
      <c r="K86" s="101">
        <f>J86*I86</f>
        <v>0</v>
      </c>
      <c r="L86" s="60">
        <f t="shared" si="23"/>
        <v>0</v>
      </c>
      <c r="M86" s="61" t="str">
        <f>IF(ISERROR(L86/H86), "", L86/H86)</f>
        <v/>
      </c>
    </row>
    <row r="87" spans="1:20" ht="13.5" thickBot="1" x14ac:dyDescent="0.25">
      <c r="A87" s="3" t="str">
        <f>A86</f>
        <v>RESIDENTIAL SERVICE CLASSIFICATION</v>
      </c>
      <c r="B87" s="34"/>
      <c r="C87" s="51"/>
      <c r="D87" s="114"/>
      <c r="E87" s="115"/>
      <c r="F87" s="116"/>
      <c r="G87" s="117"/>
      <c r="H87" s="118"/>
      <c r="I87" s="116"/>
      <c r="J87" s="119"/>
      <c r="K87" s="118"/>
      <c r="L87" s="120"/>
      <c r="M87" s="121"/>
    </row>
    <row r="88" spans="1:20" x14ac:dyDescent="0.2">
      <c r="A88" s="3" t="str">
        <f t="shared" si="30"/>
        <v>RESIDENTIAL SERVICE CLASSIFICATION</v>
      </c>
      <c r="B88" s="34" t="s">
        <v>12</v>
      </c>
      <c r="C88" s="51"/>
      <c r="D88" s="122" t="s">
        <v>85</v>
      </c>
      <c r="E88" s="103"/>
      <c r="F88" s="123"/>
      <c r="G88" s="124"/>
      <c r="H88" s="125">
        <f>SUM(H77:H84,H76)</f>
        <v>131.98458880000001</v>
      </c>
      <c r="I88" s="126"/>
      <c r="J88" s="126"/>
      <c r="K88" s="125">
        <f>SUM(K77:K84,K76)</f>
        <v>123.27368480000001</v>
      </c>
      <c r="L88" s="127">
        <f>K88-H88</f>
        <v>-8.7109039999999993</v>
      </c>
      <c r="M88" s="128">
        <f>IF((H88)=0,"",(L88/H88))</f>
        <v>-6.5999402499937923E-2</v>
      </c>
    </row>
    <row r="89" spans="1:20" x14ac:dyDescent="0.2">
      <c r="A89" s="3" t="str">
        <f t="shared" si="30"/>
        <v>RESIDENTIAL SERVICE CLASSIFICATION</v>
      </c>
      <c r="B89" s="34" t="s">
        <v>12</v>
      </c>
      <c r="C89" s="51"/>
      <c r="D89" s="129" t="s">
        <v>86</v>
      </c>
      <c r="E89" s="103"/>
      <c r="F89" s="123">
        <v>0.13</v>
      </c>
      <c r="G89" s="130"/>
      <c r="H89" s="131">
        <f>H88*F89</f>
        <v>17.157996544000003</v>
      </c>
      <c r="I89" s="132">
        <v>0.13</v>
      </c>
      <c r="J89" s="55"/>
      <c r="K89" s="131">
        <f>K88*I89</f>
        <v>16.025579024000002</v>
      </c>
      <c r="L89" s="133">
        <f>K89-H89</f>
        <v>-1.1324175200000006</v>
      </c>
      <c r="M89" s="134">
        <f>IF((H89)=0,"",(L89/H89))</f>
        <v>-6.5999402499937951E-2</v>
      </c>
    </row>
    <row r="90" spans="1:20" x14ac:dyDescent="0.2">
      <c r="A90" s="3" t="str">
        <f t="shared" si="30"/>
        <v>RESIDENTIAL SERVICE CLASSIFICATION</v>
      </c>
      <c r="B90" s="34" t="s">
        <v>12</v>
      </c>
      <c r="C90" s="51"/>
      <c r="D90" s="135" t="s">
        <v>87</v>
      </c>
      <c r="E90" s="103"/>
      <c r="F90" s="136"/>
      <c r="G90" s="130"/>
      <c r="H90" s="131">
        <f>H88+H89</f>
        <v>149.14258534400003</v>
      </c>
      <c r="I90" s="55"/>
      <c r="J90" s="55"/>
      <c r="K90" s="131">
        <f>K88+K89</f>
        <v>139.29926382400001</v>
      </c>
      <c r="L90" s="133">
        <f>K90-H90</f>
        <v>-9.8433215200000177</v>
      </c>
      <c r="M90" s="134">
        <f>IF((H90)=0,"",(L90/H90))</f>
        <v>-6.5999402499938034E-2</v>
      </c>
    </row>
    <row r="91" spans="1:20" x14ac:dyDescent="0.2">
      <c r="A91" s="3" t="str">
        <f t="shared" si="30"/>
        <v>RESIDENTIAL SERVICE CLASSIFICATION</v>
      </c>
      <c r="B91" s="34" t="s">
        <v>12</v>
      </c>
      <c r="C91" s="51"/>
      <c r="D91" s="208" t="s">
        <v>88</v>
      </c>
      <c r="E91" s="208"/>
      <c r="F91" s="136"/>
      <c r="G91" s="130"/>
      <c r="H91" s="137">
        <f>ROUND(-H90*10%,2)</f>
        <v>-14.91</v>
      </c>
      <c r="I91" s="107"/>
      <c r="J91" s="107"/>
      <c r="K91" s="107"/>
      <c r="L91" s="133">
        <f>K91-H91</f>
        <v>14.91</v>
      </c>
      <c r="M91" s="134">
        <f>IF((H91)=0,"",(L91/H91))</f>
        <v>-1</v>
      </c>
    </row>
    <row r="92" spans="1:20" ht="13.5" thickBot="1" x14ac:dyDescent="0.25">
      <c r="A92" s="3" t="str">
        <f t="shared" si="30"/>
        <v>RESIDENTIAL SERVICE CLASSIFICATION</v>
      </c>
      <c r="B92" s="34" t="s">
        <v>89</v>
      </c>
      <c r="C92" s="51">
        <f>B3</f>
        <v>1</v>
      </c>
      <c r="D92" s="209" t="s">
        <v>90</v>
      </c>
      <c r="E92" s="209"/>
      <c r="F92" s="138"/>
      <c r="G92" s="139"/>
      <c r="H92" s="140">
        <f>H90+H91</f>
        <v>134.23258534400003</v>
      </c>
      <c r="I92" s="141"/>
      <c r="J92" s="141"/>
      <c r="K92" s="140">
        <f>K90+K91</f>
        <v>139.29926382400001</v>
      </c>
      <c r="L92" s="142">
        <f>K92-H92</f>
        <v>5.0666784799999789</v>
      </c>
      <c r="M92" s="143">
        <f>IF((H92)=0,"",(L92/H92))</f>
        <v>3.7745518102147248E-2</v>
      </c>
    </row>
    <row r="93" spans="1:20" ht="13.5" thickBot="1" x14ac:dyDescent="0.25">
      <c r="A93" s="3" t="str">
        <f t="shared" si="30"/>
        <v>RESIDENTIAL SERVICE CLASSIFICATION</v>
      </c>
      <c r="B93" s="3" t="s">
        <v>12</v>
      </c>
      <c r="C93" s="51"/>
      <c r="D93" s="114"/>
      <c r="E93" s="115"/>
      <c r="F93" s="116"/>
      <c r="G93" s="117"/>
      <c r="H93" s="118"/>
      <c r="I93" s="116"/>
      <c r="J93" s="119"/>
      <c r="K93" s="118"/>
      <c r="L93" s="120"/>
      <c r="M93" s="121"/>
    </row>
    <row r="94" spans="1:20" x14ac:dyDescent="0.2">
      <c r="D94" s="30" t="s">
        <v>42</v>
      </c>
      <c r="E94" s="210" t="str">
        <f>D4</f>
        <v>GENERAL SERVICE LESS THAN 50 KW SERVICE CLASSIFICATION</v>
      </c>
      <c r="F94" s="210"/>
      <c r="G94" s="210"/>
      <c r="H94" s="210"/>
      <c r="I94" s="210"/>
      <c r="J94" s="210"/>
      <c r="K94" s="3" t="str">
        <f>IF(N4="DEMAND - INTERVAL","RTSR - INTERVAL METERED","")</f>
        <v/>
      </c>
      <c r="T94" s="3" t="s">
        <v>43</v>
      </c>
    </row>
    <row r="95" spans="1:20" x14ac:dyDescent="0.2">
      <c r="D95" s="30" t="s">
        <v>44</v>
      </c>
      <c r="E95" s="212" t="str">
        <f>H4</f>
        <v>RPP</v>
      </c>
      <c r="F95" s="212"/>
      <c r="G95" s="212"/>
      <c r="H95" s="31"/>
      <c r="I95" s="31"/>
    </row>
    <row r="96" spans="1:20" ht="15.75" x14ac:dyDescent="0.2">
      <c r="D96" s="30" t="s">
        <v>45</v>
      </c>
      <c r="E96" s="32">
        <f>L4</f>
        <v>2000</v>
      </c>
      <c r="F96" s="33" t="s">
        <v>11</v>
      </c>
      <c r="G96" s="34"/>
      <c r="J96" s="35"/>
      <c r="K96" s="35"/>
      <c r="L96" s="35"/>
      <c r="M96" s="35"/>
    </row>
    <row r="97" spans="1:15" ht="15.75" x14ac:dyDescent="0.25">
      <c r="D97" s="30" t="s">
        <v>46</v>
      </c>
      <c r="E97" s="32">
        <f>M4</f>
        <v>0</v>
      </c>
      <c r="F97" s="36" t="s">
        <v>17</v>
      </c>
      <c r="G97" s="37"/>
      <c r="H97" s="38"/>
      <c r="I97" s="38"/>
      <c r="J97" s="38"/>
    </row>
    <row r="98" spans="1:15" x14ac:dyDescent="0.2">
      <c r="D98" s="30" t="s">
        <v>47</v>
      </c>
      <c r="E98" s="39">
        <f>J4</f>
        <v>1.0379</v>
      </c>
    </row>
    <row r="99" spans="1:15" x14ac:dyDescent="0.2">
      <c r="D99" s="30" t="s">
        <v>48</v>
      </c>
      <c r="E99" s="39">
        <f>K4</f>
        <v>1.0379</v>
      </c>
    </row>
    <row r="100" spans="1:15" x14ac:dyDescent="0.2">
      <c r="D100" s="33" t="s">
        <v>49</v>
      </c>
      <c r="E100" s="40" t="str">
        <f>I4</f>
        <v>Yes</v>
      </c>
    </row>
    <row r="101" spans="1:15" x14ac:dyDescent="0.2">
      <c r="D101" s="34"/>
    </row>
    <row r="102" spans="1:15" x14ac:dyDescent="0.2">
      <c r="D102" s="34"/>
      <c r="E102" s="41"/>
      <c r="F102" s="200" t="s">
        <v>50</v>
      </c>
      <c r="G102" s="213"/>
      <c r="H102" s="201"/>
      <c r="I102" s="200" t="s">
        <v>51</v>
      </c>
      <c r="J102" s="213"/>
      <c r="K102" s="201"/>
      <c r="L102" s="200" t="s">
        <v>52</v>
      </c>
      <c r="M102" s="201"/>
    </row>
    <row r="103" spans="1:15" x14ac:dyDescent="0.2">
      <c r="D103" s="34"/>
      <c r="E103" s="202"/>
      <c r="F103" s="42" t="s">
        <v>53</v>
      </c>
      <c r="G103" s="42" t="s">
        <v>54</v>
      </c>
      <c r="H103" s="43" t="s">
        <v>55</v>
      </c>
      <c r="I103" s="42" t="s">
        <v>53</v>
      </c>
      <c r="J103" s="144" t="s">
        <v>54</v>
      </c>
      <c r="K103" s="43" t="s">
        <v>55</v>
      </c>
      <c r="L103" s="204" t="s">
        <v>56</v>
      </c>
      <c r="M103" s="206" t="s">
        <v>57</v>
      </c>
    </row>
    <row r="104" spans="1:15" x14ac:dyDescent="0.2">
      <c r="D104" s="34"/>
      <c r="E104" s="203"/>
      <c r="F104" s="47" t="s">
        <v>58</v>
      </c>
      <c r="G104" s="47"/>
      <c r="H104" s="48" t="s">
        <v>58</v>
      </c>
      <c r="I104" s="47" t="s">
        <v>58</v>
      </c>
      <c r="J104" s="48"/>
      <c r="K104" s="48" t="s">
        <v>58</v>
      </c>
      <c r="L104" s="205"/>
      <c r="M104" s="207"/>
    </row>
    <row r="105" spans="1:15" x14ac:dyDescent="0.2">
      <c r="A105" s="3" t="str">
        <f>$E94</f>
        <v>GENERAL SERVICE LESS THAN 50 KW SERVICE CLASSIFICATION</v>
      </c>
      <c r="C105" s="51"/>
      <c r="D105" s="52" t="s">
        <v>59</v>
      </c>
      <c r="E105" s="53"/>
      <c r="F105" s="54">
        <v>37.76</v>
      </c>
      <c r="G105" s="55">
        <v>1</v>
      </c>
      <c r="H105" s="56">
        <f>G105*F105</f>
        <v>37.76</v>
      </c>
      <c r="I105" s="104">
        <v>38.25</v>
      </c>
      <c r="J105" s="58">
        <v>1</v>
      </c>
      <c r="K105" s="56">
        <f>J105*I105</f>
        <v>38.25</v>
      </c>
      <c r="L105" s="60">
        <f t="shared" ref="L105:L129" si="31">K105-H105</f>
        <v>0.49000000000000199</v>
      </c>
      <c r="M105" s="61">
        <f>IF(ISERROR(L105/H105), "", L105/H105)</f>
        <v>1.2976694915254291E-2</v>
      </c>
    </row>
    <row r="106" spans="1:15" x14ac:dyDescent="0.2">
      <c r="A106" s="3" t="str">
        <f>A105</f>
        <v>GENERAL SERVICE LESS THAN 50 KW SERVICE CLASSIFICATION</v>
      </c>
      <c r="C106" s="51"/>
      <c r="D106" s="52" t="s">
        <v>60</v>
      </c>
      <c r="E106" s="53"/>
      <c r="F106" s="62">
        <v>1.1299999999999999E-2</v>
      </c>
      <c r="G106" s="55">
        <f>IF($E97&gt;0, $E97, $E96)</f>
        <v>2000</v>
      </c>
      <c r="H106" s="56">
        <f t="shared" ref="H106:H114" si="32">G106*F106</f>
        <v>22.599999999999998</v>
      </c>
      <c r="I106" s="78">
        <v>1.14E-2</v>
      </c>
      <c r="J106" s="58">
        <f>IF($E97&gt;0, $E97, $E96)</f>
        <v>2000</v>
      </c>
      <c r="K106" s="56">
        <f>J106*I106</f>
        <v>22.8</v>
      </c>
      <c r="L106" s="60">
        <f t="shared" si="31"/>
        <v>0.20000000000000284</v>
      </c>
      <c r="M106" s="61">
        <f t="shared" ref="M106:M114" si="33">IF(ISERROR(L106/H106), "", L106/H106)</f>
        <v>8.8495575221240203E-3</v>
      </c>
    </row>
    <row r="107" spans="1:15" x14ac:dyDescent="0.2">
      <c r="A107" s="3" t="str">
        <f t="shared" ref="A107:A119" si="34">A106</f>
        <v>GENERAL SERVICE LESS THAN 50 KW SERVICE CLASSIFICATION</v>
      </c>
      <c r="C107" s="51"/>
      <c r="D107" s="64" t="s">
        <v>61</v>
      </c>
      <c r="E107" s="53"/>
      <c r="F107" s="54">
        <v>0</v>
      </c>
      <c r="G107" s="55">
        <v>1</v>
      </c>
      <c r="H107" s="56">
        <f t="shared" si="32"/>
        <v>0</v>
      </c>
      <c r="I107" s="104">
        <v>0</v>
      </c>
      <c r="J107" s="58">
        <v>1</v>
      </c>
      <c r="K107" s="56">
        <f t="shared" ref="K107:K114" si="35">J107*I107</f>
        <v>0</v>
      </c>
      <c r="L107" s="60">
        <f t="shared" si="31"/>
        <v>0</v>
      </c>
      <c r="M107" s="61" t="str">
        <f t="shared" si="33"/>
        <v/>
      </c>
    </row>
    <row r="108" spans="1:15" x14ac:dyDescent="0.2">
      <c r="A108" s="3" t="str">
        <f t="shared" si="34"/>
        <v>GENERAL SERVICE LESS THAN 50 KW SERVICE CLASSIFICATION</v>
      </c>
      <c r="C108" s="51"/>
      <c r="D108" s="65" t="s">
        <v>62</v>
      </c>
      <c r="E108" s="53"/>
      <c r="F108" s="62">
        <v>1.1999999999999999E-3</v>
      </c>
      <c r="G108" s="55">
        <f>IF($E97&gt;0, $E97, $E96)</f>
        <v>2000</v>
      </c>
      <c r="H108" s="56">
        <f t="shared" si="32"/>
        <v>2.4</v>
      </c>
      <c r="I108" s="78">
        <f>0.0012+0.0001</f>
        <v>1.2999999999999999E-3</v>
      </c>
      <c r="J108" s="58">
        <f>IF($E97&gt;0, $E97, $E96)</f>
        <v>2000</v>
      </c>
      <c r="K108" s="56">
        <f t="shared" si="35"/>
        <v>2.6</v>
      </c>
      <c r="L108" s="60">
        <f t="shared" si="31"/>
        <v>0.20000000000000018</v>
      </c>
      <c r="M108" s="61">
        <f t="shared" si="33"/>
        <v>8.3333333333333412E-2</v>
      </c>
    </row>
    <row r="109" spans="1:15" x14ac:dyDescent="0.2">
      <c r="A109" s="3" t="str">
        <f t="shared" si="34"/>
        <v>GENERAL SERVICE LESS THAN 50 KW SERVICE CLASSIFICATION</v>
      </c>
      <c r="B109" s="66" t="s">
        <v>63</v>
      </c>
      <c r="C109" s="51">
        <f>B4</f>
        <v>2</v>
      </c>
      <c r="D109" s="67" t="s">
        <v>64</v>
      </c>
      <c r="E109" s="68"/>
      <c r="F109" s="69"/>
      <c r="G109" s="70"/>
      <c r="H109" s="71">
        <f>SUM(H105:H108)</f>
        <v>62.76</v>
      </c>
      <c r="I109" s="72"/>
      <c r="J109" s="73"/>
      <c r="K109" s="71">
        <f>SUM(K105:K108)</f>
        <v>63.65</v>
      </c>
      <c r="L109" s="74">
        <f t="shared" si="31"/>
        <v>0.89000000000000057</v>
      </c>
      <c r="M109" s="75">
        <f>IF((H109)=0,"",(L109/H109))</f>
        <v>1.4181007010834936E-2</v>
      </c>
    </row>
    <row r="110" spans="1:15" x14ac:dyDescent="0.2">
      <c r="A110" s="3" t="str">
        <f t="shared" si="34"/>
        <v>GENERAL SERVICE LESS THAN 50 KW SERVICE CLASSIFICATION</v>
      </c>
      <c r="C110" s="51"/>
      <c r="D110" s="76" t="s">
        <v>65</v>
      </c>
      <c r="E110" s="53"/>
      <c r="F110" s="62">
        <f>IF((E96*12&gt;=150000), 0, IF(E95="RPP",(F125*0.64+F126*0.18+F127*0.18),IF(E95="Non-RPP (Retailer)",F128,F129)))</f>
        <v>0.10214000000000001</v>
      </c>
      <c r="G110" s="77">
        <f>IF(F110=0, 0, $E96*E98-E96)</f>
        <v>75.800000000000182</v>
      </c>
      <c r="H110" s="56">
        <f>G110*F110</f>
        <v>7.742212000000019</v>
      </c>
      <c r="I110" s="78">
        <f>IF((E96*12&gt;=150000), 0, IF(E95="RPP",(I125*0.64+I126*0.18+I127*0.18),IF(E95="Non-RPP (Retailer)",I128,I129)))</f>
        <v>0.10214000000000001</v>
      </c>
      <c r="J110" s="77">
        <f>IF(I110=0, 0, E96*E99-E96)</f>
        <v>75.800000000000182</v>
      </c>
      <c r="K110" s="56">
        <f>J110*I110</f>
        <v>7.742212000000019</v>
      </c>
      <c r="L110" s="60">
        <f>K110-H110</f>
        <v>0</v>
      </c>
      <c r="M110" s="61">
        <f>IF(ISERROR(L110/H110), "", L110/H110)</f>
        <v>0</v>
      </c>
    </row>
    <row r="111" spans="1:15" ht="25.5" x14ac:dyDescent="0.25">
      <c r="A111" s="3" t="str">
        <f t="shared" si="34"/>
        <v>GENERAL SERVICE LESS THAN 50 KW SERVICE CLASSIFICATION</v>
      </c>
      <c r="C111" s="51"/>
      <c r="D111" s="76" t="s">
        <v>103</v>
      </c>
      <c r="E111" s="53"/>
      <c r="F111" s="62">
        <v>-8.0000000000000004E-4</v>
      </c>
      <c r="G111" s="79">
        <f>IF($E97&gt;0, $E97, $E96)</f>
        <v>2000</v>
      </c>
      <c r="H111" s="56">
        <f t="shared" si="32"/>
        <v>-1.6</v>
      </c>
      <c r="I111" s="85">
        <f>-0.0036+(-0.001-0.0004+0.001+0.0004)</f>
        <v>-3.5999999999999999E-3</v>
      </c>
      <c r="J111" s="79">
        <f>IF($E97&gt;0, $E97, $E96)</f>
        <v>2000</v>
      </c>
      <c r="K111" s="56">
        <f t="shared" si="35"/>
        <v>-7.2</v>
      </c>
      <c r="L111" s="60">
        <f t="shared" si="31"/>
        <v>-5.6</v>
      </c>
      <c r="M111" s="61">
        <f t="shared" si="33"/>
        <v>3.4999999999999996</v>
      </c>
      <c r="O111" s="198"/>
    </row>
    <row r="112" spans="1:15" ht="15" x14ac:dyDescent="0.25">
      <c r="C112" s="51"/>
      <c r="D112" s="80" t="s">
        <v>66</v>
      </c>
      <c r="E112" s="81"/>
      <c r="F112" s="82">
        <v>0</v>
      </c>
      <c r="G112" s="83">
        <f>G111</f>
        <v>2000</v>
      </c>
      <c r="H112" s="84">
        <f t="shared" si="32"/>
        <v>0</v>
      </c>
      <c r="I112" s="85">
        <v>0</v>
      </c>
      <c r="J112" s="83">
        <f>J111</f>
        <v>2000</v>
      </c>
      <c r="K112" s="84">
        <f t="shared" si="35"/>
        <v>0</v>
      </c>
      <c r="L112" s="145">
        <f t="shared" si="31"/>
        <v>0</v>
      </c>
      <c r="M112" s="146" t="str">
        <f t="shared" si="33"/>
        <v/>
      </c>
      <c r="O112" s="198"/>
    </row>
    <row r="113" spans="1:15" ht="15" x14ac:dyDescent="0.25">
      <c r="C113" s="51"/>
      <c r="D113" s="80" t="s">
        <v>102</v>
      </c>
      <c r="E113" s="81"/>
      <c r="F113" s="82"/>
      <c r="G113" s="83"/>
      <c r="H113" s="84"/>
      <c r="I113" s="85">
        <f>CL27</f>
        <v>-2.0183759213232783E-3</v>
      </c>
      <c r="J113" s="83">
        <f>J112</f>
        <v>2000</v>
      </c>
      <c r="K113" s="84">
        <f t="shared" ref="K113" si="36">J113*I113</f>
        <v>-4.0367518426465567</v>
      </c>
      <c r="L113" s="145">
        <f t="shared" ref="L113" si="37">K113-H113</f>
        <v>-4.0367518426465567</v>
      </c>
      <c r="M113" s="146" t="str">
        <f t="shared" si="33"/>
        <v/>
      </c>
      <c r="O113" s="198"/>
    </row>
    <row r="114" spans="1:15" x14ac:dyDescent="0.2">
      <c r="A114" s="3" t="str">
        <f>A111</f>
        <v>GENERAL SERVICE LESS THAN 50 KW SERVICE CLASSIFICATION</v>
      </c>
      <c r="C114" s="51"/>
      <c r="D114" s="91" t="s">
        <v>67</v>
      </c>
      <c r="E114" s="53"/>
      <c r="F114" s="62"/>
      <c r="G114" s="79">
        <f>IF($E97&gt;0, $E97, $E96)</f>
        <v>2000</v>
      </c>
      <c r="H114" s="56">
        <f t="shared" si="32"/>
        <v>0</v>
      </c>
      <c r="I114" s="78"/>
      <c r="J114" s="79">
        <f>IF($E97&gt;0, $E97, $E96)</f>
        <v>2000</v>
      </c>
      <c r="K114" s="56">
        <f t="shared" si="35"/>
        <v>0</v>
      </c>
      <c r="L114" s="60">
        <f t="shared" si="31"/>
        <v>0</v>
      </c>
      <c r="M114" s="61" t="str">
        <f t="shared" si="33"/>
        <v/>
      </c>
    </row>
    <row r="115" spans="1:15" x14ac:dyDescent="0.2">
      <c r="A115" s="3" t="str">
        <f t="shared" si="34"/>
        <v>GENERAL SERVICE LESS THAN 50 KW SERVICE CLASSIFICATION</v>
      </c>
      <c r="C115" s="51"/>
      <c r="D115" s="91" t="s">
        <v>68</v>
      </c>
      <c r="E115" s="53"/>
      <c r="F115" s="62">
        <f>IF(OR(ISNUMBER(SEARCH("RESIDENTIAL", E94))=TRUE, ISNUMBER(SEARCH("GENERAL SERVICE LESS THAN 50", E94))=TRUE), 0.79, 0)</f>
        <v>0.79</v>
      </c>
      <c r="G115" s="55">
        <v>1</v>
      </c>
      <c r="H115" s="56">
        <f>G115*F115</f>
        <v>0.79</v>
      </c>
      <c r="I115" s="78">
        <f>IF(OR(ISNUMBER(SEARCH("RESIDENTIAL", E94))=TRUE, ISNUMBER(SEARCH("GENERAL SERVICE LESS THAN 50", E94))=TRUE), 0.79, 0)</f>
        <v>0.79</v>
      </c>
      <c r="J115" s="55">
        <v>1</v>
      </c>
      <c r="K115" s="56">
        <f>J115*I115</f>
        <v>0.79</v>
      </c>
      <c r="L115" s="60">
        <f t="shared" si="31"/>
        <v>0</v>
      </c>
      <c r="M115" s="61">
        <f>IF(ISERROR(L115/H115), "", L115/H115)</f>
        <v>0</v>
      </c>
    </row>
    <row r="116" spans="1:15" ht="25.5" x14ac:dyDescent="0.2">
      <c r="A116" s="3" t="str">
        <f t="shared" si="34"/>
        <v>GENERAL SERVICE LESS THAN 50 KW SERVICE CLASSIFICATION</v>
      </c>
      <c r="B116" s="34" t="s">
        <v>69</v>
      </c>
      <c r="C116" s="51">
        <f>B4</f>
        <v>2</v>
      </c>
      <c r="D116" s="92" t="s">
        <v>70</v>
      </c>
      <c r="E116" s="93"/>
      <c r="F116" s="94"/>
      <c r="G116" s="70"/>
      <c r="H116" s="95">
        <f>SUM(H109:H115)</f>
        <v>69.692212000000026</v>
      </c>
      <c r="I116" s="96"/>
      <c r="J116" s="73"/>
      <c r="K116" s="95">
        <f>SUM(K109:K115)</f>
        <v>60.945460157353452</v>
      </c>
      <c r="L116" s="74">
        <f t="shared" si="31"/>
        <v>-8.7467518426465745</v>
      </c>
      <c r="M116" s="75">
        <f>IF((H116)=0,"",(L116/H116))</f>
        <v>-0.12550544159290813</v>
      </c>
    </row>
    <row r="117" spans="1:15" x14ac:dyDescent="0.2">
      <c r="A117" s="3" t="str">
        <f t="shared" si="34"/>
        <v>GENERAL SERVICE LESS THAN 50 KW SERVICE CLASSIFICATION</v>
      </c>
      <c r="C117" s="51"/>
      <c r="D117" s="97" t="s">
        <v>71</v>
      </c>
      <c r="E117" s="53"/>
      <c r="F117" s="62">
        <v>6.8999999999999999E-3</v>
      </c>
      <c r="G117" s="77">
        <f>IF($E97&gt;0, $E97, $E96*$E98)</f>
        <v>2075.8000000000002</v>
      </c>
      <c r="H117" s="56">
        <f>G117*F117</f>
        <v>14.323020000000001</v>
      </c>
      <c r="I117" s="78">
        <v>6.7999999999999996E-3</v>
      </c>
      <c r="J117" s="77">
        <f>IF($E97&gt;0, $E97, $E96*$E99)</f>
        <v>2075.8000000000002</v>
      </c>
      <c r="K117" s="56">
        <f>J117*I117</f>
        <v>14.115440000000001</v>
      </c>
      <c r="L117" s="60">
        <f t="shared" si="31"/>
        <v>-0.2075800000000001</v>
      </c>
      <c r="M117" s="61">
        <f>IF(ISERROR(L117/H117), "", L117/H117)</f>
        <v>-1.4492753623188411E-2</v>
      </c>
    </row>
    <row r="118" spans="1:15" ht="25.5" x14ac:dyDescent="0.2">
      <c r="A118" s="3" t="str">
        <f t="shared" si="34"/>
        <v>GENERAL SERVICE LESS THAN 50 KW SERVICE CLASSIFICATION</v>
      </c>
      <c r="C118" s="51"/>
      <c r="D118" s="98" t="s">
        <v>72</v>
      </c>
      <c r="E118" s="53"/>
      <c r="F118" s="62">
        <v>1.4E-3</v>
      </c>
      <c r="G118" s="77">
        <f>IF($E97&gt;0, $E97, $E96*$E98)</f>
        <v>2075.8000000000002</v>
      </c>
      <c r="H118" s="56">
        <f>G118*F118</f>
        <v>2.90612</v>
      </c>
      <c r="I118" s="78">
        <v>1.5E-3</v>
      </c>
      <c r="J118" s="77">
        <f>IF($E97&gt;0, $E97, $E96*$E99)</f>
        <v>2075.8000000000002</v>
      </c>
      <c r="K118" s="56">
        <f>J118*I118</f>
        <v>3.1137000000000001</v>
      </c>
      <c r="L118" s="60">
        <f t="shared" si="31"/>
        <v>0.2075800000000001</v>
      </c>
      <c r="M118" s="61">
        <f>IF(ISERROR(L118/H118), "", L118/H118)</f>
        <v>7.1428571428571466E-2</v>
      </c>
    </row>
    <row r="119" spans="1:15" ht="25.5" x14ac:dyDescent="0.2">
      <c r="A119" s="3" t="str">
        <f t="shared" si="34"/>
        <v>GENERAL SERVICE LESS THAN 50 KW SERVICE CLASSIFICATION</v>
      </c>
      <c r="B119" s="34" t="s">
        <v>73</v>
      </c>
      <c r="C119" s="51">
        <f>B4</f>
        <v>2</v>
      </c>
      <c r="D119" s="92" t="s">
        <v>74</v>
      </c>
      <c r="E119" s="68"/>
      <c r="F119" s="94"/>
      <c r="G119" s="70"/>
      <c r="H119" s="95">
        <f>SUM(H116:H118)</f>
        <v>86.921352000000027</v>
      </c>
      <c r="I119" s="96"/>
      <c r="J119" s="99"/>
      <c r="K119" s="95">
        <f>SUM(K116:K118)</f>
        <v>78.174600157353453</v>
      </c>
      <c r="L119" s="74">
        <f t="shared" si="31"/>
        <v>-8.7467518426465745</v>
      </c>
      <c r="M119" s="75">
        <f>IF((H119)=0,"",(L119/H119))</f>
        <v>-0.10062834552604027</v>
      </c>
    </row>
    <row r="120" spans="1:15" ht="25.5" x14ac:dyDescent="0.2">
      <c r="A120" s="3" t="str">
        <f>A119</f>
        <v>GENERAL SERVICE LESS THAN 50 KW SERVICE CLASSIFICATION</v>
      </c>
      <c r="C120" s="51"/>
      <c r="D120" s="100" t="s">
        <v>75</v>
      </c>
      <c r="E120" s="53"/>
      <c r="F120" s="62">
        <v>4.4000000000000003E-3</v>
      </c>
      <c r="G120" s="77">
        <f>E96*E98</f>
        <v>2075.8000000000002</v>
      </c>
      <c r="H120" s="101">
        <f t="shared" ref="H120:H127" si="38">G120*F120</f>
        <v>9.1335200000000007</v>
      </c>
      <c r="I120" s="102">
        <v>3.5999999999999999E-3</v>
      </c>
      <c r="J120" s="77">
        <f>E96*E99</f>
        <v>2075.8000000000002</v>
      </c>
      <c r="K120" s="101">
        <f t="shared" ref="K120:K127" si="39">J120*I120</f>
        <v>7.4728800000000009</v>
      </c>
      <c r="L120" s="60">
        <f t="shared" si="31"/>
        <v>-1.6606399999999999</v>
      </c>
      <c r="M120" s="61">
        <f t="shared" ref="M120:M129" si="40">IF(ISERROR(L120/H120), "", L120/H120)</f>
        <v>-0.1818181818181818</v>
      </c>
    </row>
    <row r="121" spans="1:15" ht="25.5" x14ac:dyDescent="0.2">
      <c r="A121" s="3" t="str">
        <f>A120</f>
        <v>GENERAL SERVICE LESS THAN 50 KW SERVICE CLASSIFICATION</v>
      </c>
      <c r="C121" s="51"/>
      <c r="D121" s="100" t="s">
        <v>76</v>
      </c>
      <c r="E121" s="53"/>
      <c r="F121" s="62">
        <v>1.2999999999999999E-3</v>
      </c>
      <c r="G121" s="77">
        <f>E96*E98</f>
        <v>2075.8000000000002</v>
      </c>
      <c r="H121" s="101">
        <f t="shared" si="38"/>
        <v>2.6985399999999999</v>
      </c>
      <c r="I121" s="78">
        <v>1.2999999999999999E-3</v>
      </c>
      <c r="J121" s="77">
        <f>E96*E99</f>
        <v>2075.8000000000002</v>
      </c>
      <c r="K121" s="101">
        <f t="shared" si="39"/>
        <v>2.6985399999999999</v>
      </c>
      <c r="L121" s="60">
        <f t="shared" si="31"/>
        <v>0</v>
      </c>
      <c r="M121" s="61">
        <f t="shared" si="40"/>
        <v>0</v>
      </c>
    </row>
    <row r="122" spans="1:15" x14ac:dyDescent="0.2">
      <c r="A122" s="3" t="str">
        <f>A121</f>
        <v>GENERAL SERVICE LESS THAN 50 KW SERVICE CLASSIFICATION</v>
      </c>
      <c r="C122" s="51"/>
      <c r="D122" s="103" t="s">
        <v>77</v>
      </c>
      <c r="E122" s="53"/>
      <c r="F122" s="62">
        <v>0.25</v>
      </c>
      <c r="G122" s="55">
        <v>1</v>
      </c>
      <c r="H122" s="101">
        <f t="shared" si="38"/>
        <v>0.25</v>
      </c>
      <c r="I122" s="104">
        <v>0.25</v>
      </c>
      <c r="J122" s="58">
        <v>1</v>
      </c>
      <c r="K122" s="101">
        <f t="shared" si="39"/>
        <v>0.25</v>
      </c>
      <c r="L122" s="60">
        <f t="shared" si="31"/>
        <v>0</v>
      </c>
      <c r="M122" s="61">
        <f t="shared" si="40"/>
        <v>0</v>
      </c>
    </row>
    <row r="123" spans="1:15" x14ac:dyDescent="0.2">
      <c r="A123" s="3" t="str">
        <f>A122</f>
        <v>GENERAL SERVICE LESS THAN 50 KW SERVICE CLASSIFICATION</v>
      </c>
      <c r="C123" s="51"/>
      <c r="D123" s="103" t="s">
        <v>78</v>
      </c>
      <c r="E123" s="53"/>
      <c r="F123" s="62">
        <v>7.0000000000000001E-3</v>
      </c>
      <c r="G123" s="79">
        <f>E96</f>
        <v>2000</v>
      </c>
      <c r="H123" s="101">
        <f t="shared" si="38"/>
        <v>14</v>
      </c>
      <c r="I123" s="105">
        <f>IF(ISERROR(FIND("RESIDENTIAL", UPPER(E94))), 0.007, 0)</f>
        <v>7.0000000000000001E-3</v>
      </c>
      <c r="J123" s="79">
        <f>E96</f>
        <v>2000</v>
      </c>
      <c r="K123" s="101">
        <f t="shared" si="39"/>
        <v>14</v>
      </c>
      <c r="L123" s="60">
        <f t="shared" si="31"/>
        <v>0</v>
      </c>
      <c r="M123" s="61">
        <f t="shared" si="40"/>
        <v>0</v>
      </c>
    </row>
    <row r="124" spans="1:15" ht="25.5" x14ac:dyDescent="0.2">
      <c r="C124" s="51"/>
      <c r="D124" s="100" t="s">
        <v>79</v>
      </c>
      <c r="E124" s="53"/>
      <c r="F124" s="106"/>
      <c r="G124" s="107"/>
      <c r="H124" s="107"/>
      <c r="I124" s="102">
        <v>1.1000000000000001E-3</v>
      </c>
      <c r="J124" s="77">
        <f>E96*E98</f>
        <v>2075.8000000000002</v>
      </c>
      <c r="K124" s="101">
        <f>J124*I124</f>
        <v>2.2833800000000002</v>
      </c>
      <c r="L124" s="60">
        <f t="shared" si="31"/>
        <v>2.2833800000000002</v>
      </c>
      <c r="M124" s="107"/>
    </row>
    <row r="125" spans="1:15" x14ac:dyDescent="0.2">
      <c r="A125" s="3" t="str">
        <f>A123</f>
        <v>GENERAL SERVICE LESS THAN 50 KW SERVICE CLASSIFICATION</v>
      </c>
      <c r="B125" s="34" t="s">
        <v>12</v>
      </c>
      <c r="C125" s="51"/>
      <c r="D125" s="109" t="s">
        <v>80</v>
      </c>
      <c r="E125" s="53"/>
      <c r="F125" s="110">
        <v>0.08</v>
      </c>
      <c r="G125" s="111">
        <f>IF(AND(E96*12&gt;=150000),0.64*E96*E98,0.64*E96)</f>
        <v>1280</v>
      </c>
      <c r="H125" s="101">
        <f t="shared" si="38"/>
        <v>102.4</v>
      </c>
      <c r="I125" s="63">
        <v>0.08</v>
      </c>
      <c r="J125" s="111">
        <f>IF(AND(E96*12&gt;=150000),0.64*E96*E99,0.64*E96)</f>
        <v>1280</v>
      </c>
      <c r="K125" s="101">
        <f t="shared" si="39"/>
        <v>102.4</v>
      </c>
      <c r="L125" s="60">
        <f t="shared" si="31"/>
        <v>0</v>
      </c>
      <c r="M125" s="61">
        <f t="shared" si="40"/>
        <v>0</v>
      </c>
    </row>
    <row r="126" spans="1:15" x14ac:dyDescent="0.2">
      <c r="A126" s="3" t="str">
        <f t="shared" ref="A126:A136" si="41">A125</f>
        <v>GENERAL SERVICE LESS THAN 50 KW SERVICE CLASSIFICATION</v>
      </c>
      <c r="B126" s="34" t="s">
        <v>12</v>
      </c>
      <c r="C126" s="51"/>
      <c r="D126" s="109" t="s">
        <v>81</v>
      </c>
      <c r="E126" s="53"/>
      <c r="F126" s="110">
        <v>0.122</v>
      </c>
      <c r="G126" s="111">
        <f>IF(AND(E96*12&gt;=150000),0.18*E96*E98,0.18*E96)</f>
        <v>360</v>
      </c>
      <c r="H126" s="101">
        <f t="shared" si="38"/>
        <v>43.92</v>
      </c>
      <c r="I126" s="63">
        <v>0.122</v>
      </c>
      <c r="J126" s="111">
        <f>IF(AND(E96*12&gt;=150000),0.18*E96*E99,0.18*E96)</f>
        <v>360</v>
      </c>
      <c r="K126" s="101">
        <f t="shared" si="39"/>
        <v>43.92</v>
      </c>
      <c r="L126" s="60">
        <f t="shared" si="31"/>
        <v>0</v>
      </c>
      <c r="M126" s="61">
        <f t="shared" si="40"/>
        <v>0</v>
      </c>
    </row>
    <row r="127" spans="1:15" x14ac:dyDescent="0.2">
      <c r="A127" s="3" t="str">
        <f t="shared" si="41"/>
        <v>GENERAL SERVICE LESS THAN 50 KW SERVICE CLASSIFICATION</v>
      </c>
      <c r="B127" s="34" t="s">
        <v>12</v>
      </c>
      <c r="C127" s="51"/>
      <c r="D127" s="34" t="s">
        <v>82</v>
      </c>
      <c r="E127" s="53"/>
      <c r="F127" s="110">
        <v>0.161</v>
      </c>
      <c r="G127" s="111">
        <f>IF(AND(E96*12&gt;=150000),0.18*E96*E98,0.18*E96)</f>
        <v>360</v>
      </c>
      <c r="H127" s="101">
        <f t="shared" si="38"/>
        <v>57.96</v>
      </c>
      <c r="I127" s="63">
        <v>0.161</v>
      </c>
      <c r="J127" s="111">
        <f>IF(AND(E96*12&gt;=150000),0.18*E96*E99,0.18*E96)</f>
        <v>360</v>
      </c>
      <c r="K127" s="101">
        <f t="shared" si="39"/>
        <v>57.96</v>
      </c>
      <c r="L127" s="60">
        <f t="shared" si="31"/>
        <v>0</v>
      </c>
      <c r="M127" s="61">
        <f t="shared" si="40"/>
        <v>0</v>
      </c>
    </row>
    <row r="128" spans="1:15" x14ac:dyDescent="0.2">
      <c r="A128" s="3" t="str">
        <f t="shared" si="41"/>
        <v>GENERAL SERVICE LESS THAN 50 KW SERVICE CLASSIFICATION</v>
      </c>
      <c r="B128" s="3" t="s">
        <v>24</v>
      </c>
      <c r="C128" s="51"/>
      <c r="D128" s="109" t="s">
        <v>83</v>
      </c>
      <c r="E128" s="53"/>
      <c r="F128" s="112"/>
      <c r="G128" s="111"/>
      <c r="H128" s="101">
        <f>G128*F128</f>
        <v>0</v>
      </c>
      <c r="I128" s="63">
        <f>F128</f>
        <v>0</v>
      </c>
      <c r="J128" s="111"/>
      <c r="K128" s="101">
        <f>J128*I128</f>
        <v>0</v>
      </c>
      <c r="L128" s="60">
        <f t="shared" si="31"/>
        <v>0</v>
      </c>
      <c r="M128" s="61" t="str">
        <f t="shared" si="40"/>
        <v/>
      </c>
    </row>
    <row r="129" spans="1:20" ht="13.5" thickBot="1" x14ac:dyDescent="0.25">
      <c r="A129" s="3" t="str">
        <f t="shared" si="41"/>
        <v>GENERAL SERVICE LESS THAN 50 KW SERVICE CLASSIFICATION</v>
      </c>
      <c r="B129" s="3" t="s">
        <v>18</v>
      </c>
      <c r="C129" s="51"/>
      <c r="D129" s="109" t="s">
        <v>84</v>
      </c>
      <c r="E129" s="53"/>
      <c r="F129" s="112"/>
      <c r="G129" s="111"/>
      <c r="H129" s="101">
        <f>G129*F129</f>
        <v>0</v>
      </c>
      <c r="I129" s="113">
        <f>F129</f>
        <v>0</v>
      </c>
      <c r="J129" s="111"/>
      <c r="K129" s="101">
        <f>J129*I129</f>
        <v>0</v>
      </c>
      <c r="L129" s="60">
        <f t="shared" si="31"/>
        <v>0</v>
      </c>
      <c r="M129" s="61" t="str">
        <f t="shared" si="40"/>
        <v/>
      </c>
    </row>
    <row r="130" spans="1:20" ht="13.5" thickBot="1" x14ac:dyDescent="0.25">
      <c r="A130" s="3" t="str">
        <f t="shared" si="41"/>
        <v>GENERAL SERVICE LESS THAN 50 KW SERVICE CLASSIFICATION</v>
      </c>
      <c r="B130" s="34"/>
      <c r="C130" s="51"/>
      <c r="D130" s="114"/>
      <c r="E130" s="115"/>
      <c r="F130" s="116"/>
      <c r="G130" s="117"/>
      <c r="H130" s="118"/>
      <c r="I130" s="116"/>
      <c r="J130" s="119"/>
      <c r="K130" s="118"/>
      <c r="L130" s="120"/>
      <c r="M130" s="121"/>
    </row>
    <row r="131" spans="1:20" x14ac:dyDescent="0.2">
      <c r="A131" s="3" t="str">
        <f t="shared" si="41"/>
        <v>GENERAL SERVICE LESS THAN 50 KW SERVICE CLASSIFICATION</v>
      </c>
      <c r="B131" s="34" t="s">
        <v>12</v>
      </c>
      <c r="C131" s="51"/>
      <c r="D131" s="122" t="s">
        <v>85</v>
      </c>
      <c r="E131" s="103"/>
      <c r="F131" s="123"/>
      <c r="G131" s="124"/>
      <c r="H131" s="125">
        <f>SUM(H120:H127,H119)</f>
        <v>317.28341200000006</v>
      </c>
      <c r="I131" s="126"/>
      <c r="J131" s="126"/>
      <c r="K131" s="125">
        <f>SUM(K120:K127,K119)</f>
        <v>309.1594001573535</v>
      </c>
      <c r="L131" s="127">
        <f>K131-H131</f>
        <v>-8.1240118426465529</v>
      </c>
      <c r="M131" s="128">
        <f>IF((H131)=0,"",(L131/H131))</f>
        <v>-2.5604905694365614E-2</v>
      </c>
    </row>
    <row r="132" spans="1:20" x14ac:dyDescent="0.2">
      <c r="A132" s="3" t="str">
        <f t="shared" si="41"/>
        <v>GENERAL SERVICE LESS THAN 50 KW SERVICE CLASSIFICATION</v>
      </c>
      <c r="B132" s="34" t="s">
        <v>12</v>
      </c>
      <c r="C132" s="51"/>
      <c r="D132" s="129" t="s">
        <v>86</v>
      </c>
      <c r="E132" s="103"/>
      <c r="F132" s="123">
        <v>0.13</v>
      </c>
      <c r="G132" s="130"/>
      <c r="H132" s="131">
        <f>H131*F132</f>
        <v>41.246843560000009</v>
      </c>
      <c r="I132" s="132">
        <v>0.13</v>
      </c>
      <c r="J132" s="55"/>
      <c r="K132" s="131">
        <f>K131*I132</f>
        <v>40.190722020455958</v>
      </c>
      <c r="L132" s="133">
        <f>K132-H132</f>
        <v>-1.0561215395440513</v>
      </c>
      <c r="M132" s="134">
        <f>IF((H132)=0,"",(L132/H132))</f>
        <v>-2.56049056943656E-2</v>
      </c>
    </row>
    <row r="133" spans="1:20" x14ac:dyDescent="0.2">
      <c r="A133" s="3" t="str">
        <f t="shared" si="41"/>
        <v>GENERAL SERVICE LESS THAN 50 KW SERVICE CLASSIFICATION</v>
      </c>
      <c r="B133" s="34" t="s">
        <v>12</v>
      </c>
      <c r="C133" s="51"/>
      <c r="D133" s="135" t="s">
        <v>87</v>
      </c>
      <c r="E133" s="103"/>
      <c r="F133" s="136"/>
      <c r="G133" s="130"/>
      <c r="H133" s="131">
        <f>H131+H132</f>
        <v>358.53025556000006</v>
      </c>
      <c r="I133" s="55"/>
      <c r="J133" s="55"/>
      <c r="K133" s="131">
        <f>K131+K132</f>
        <v>349.35012217780945</v>
      </c>
      <c r="L133" s="133">
        <f>K133-H133</f>
        <v>-9.1801333821906042</v>
      </c>
      <c r="M133" s="134">
        <f>IF((H133)=0,"",(L133/H133))</f>
        <v>-2.5604905694365614E-2</v>
      </c>
    </row>
    <row r="134" spans="1:20" x14ac:dyDescent="0.2">
      <c r="A134" s="3" t="str">
        <f t="shared" si="41"/>
        <v>GENERAL SERVICE LESS THAN 50 KW SERVICE CLASSIFICATION</v>
      </c>
      <c r="B134" s="34" t="s">
        <v>12</v>
      </c>
      <c r="C134" s="51"/>
      <c r="D134" s="208" t="s">
        <v>88</v>
      </c>
      <c r="E134" s="208"/>
      <c r="F134" s="136"/>
      <c r="G134" s="130"/>
      <c r="H134" s="137">
        <f>ROUND(-H133*10%,2)</f>
        <v>-35.85</v>
      </c>
      <c r="I134" s="107"/>
      <c r="J134" s="107"/>
      <c r="K134" s="107"/>
      <c r="L134" s="133">
        <f>K134-H134</f>
        <v>35.85</v>
      </c>
      <c r="M134" s="134">
        <f>IF((H134)=0,"",(L134/H134))</f>
        <v>-1</v>
      </c>
    </row>
    <row r="135" spans="1:20" ht="13.5" thickBot="1" x14ac:dyDescent="0.25">
      <c r="A135" s="3" t="str">
        <f t="shared" si="41"/>
        <v>GENERAL SERVICE LESS THAN 50 KW SERVICE CLASSIFICATION</v>
      </c>
      <c r="B135" s="34" t="s">
        <v>89</v>
      </c>
      <c r="C135" s="51">
        <f>B4</f>
        <v>2</v>
      </c>
      <c r="D135" s="209" t="s">
        <v>90</v>
      </c>
      <c r="E135" s="209"/>
      <c r="F135" s="138"/>
      <c r="G135" s="139"/>
      <c r="H135" s="140">
        <f>H133+H134</f>
        <v>322.68025556000003</v>
      </c>
      <c r="I135" s="141"/>
      <c r="J135" s="141"/>
      <c r="K135" s="140">
        <f>K133+K134</f>
        <v>349.35012217780945</v>
      </c>
      <c r="L135" s="142">
        <f>K135-H135</f>
        <v>26.669866617809419</v>
      </c>
      <c r="M135" s="143">
        <f>IF((H135)=0,"",(L135/H135))</f>
        <v>8.2651064508191929E-2</v>
      </c>
    </row>
    <row r="136" spans="1:20" ht="13.5" thickBot="1" x14ac:dyDescent="0.25">
      <c r="A136" s="3" t="str">
        <f t="shared" si="41"/>
        <v>GENERAL SERVICE LESS THAN 50 KW SERVICE CLASSIFICATION</v>
      </c>
      <c r="B136" s="3" t="s">
        <v>12</v>
      </c>
      <c r="C136" s="51"/>
      <c r="D136" s="114"/>
      <c r="E136" s="115"/>
      <c r="F136" s="116"/>
      <c r="G136" s="117"/>
      <c r="H136" s="118"/>
      <c r="I136" s="116"/>
      <c r="J136" s="119"/>
      <c r="K136" s="118"/>
      <c r="L136" s="120"/>
      <c r="M136" s="121"/>
    </row>
    <row r="138" spans="1:20" x14ac:dyDescent="0.2">
      <c r="D138" s="30" t="s">
        <v>42</v>
      </c>
      <c r="E138" s="210" t="str">
        <f>D5</f>
        <v>GENERAL SERVICE 50 TO 4,999 KW SERVICE CLASSIFICATION</v>
      </c>
      <c r="F138" s="210"/>
      <c r="G138" s="210"/>
      <c r="H138" s="210"/>
      <c r="I138" s="210"/>
      <c r="J138" s="210"/>
      <c r="K138" s="3" t="str">
        <f>IF(N5="DEMAND - INTERVAL","RTSR - INTERVAL METERED","")</f>
        <v/>
      </c>
      <c r="T138" s="3" t="s">
        <v>43</v>
      </c>
    </row>
    <row r="139" spans="1:20" x14ac:dyDescent="0.2">
      <c r="D139" s="30" t="s">
        <v>44</v>
      </c>
      <c r="E139" s="212" t="str">
        <f>H5</f>
        <v>Non-RPP (Other)</v>
      </c>
      <c r="F139" s="212"/>
      <c r="G139" s="212"/>
      <c r="H139" s="31"/>
      <c r="I139" s="31"/>
    </row>
    <row r="140" spans="1:20" ht="15.75" x14ac:dyDescent="0.2">
      <c r="D140" s="30" t="s">
        <v>45</v>
      </c>
      <c r="E140" s="32">
        <f>L5</f>
        <v>56000</v>
      </c>
      <c r="F140" s="33" t="s">
        <v>11</v>
      </c>
      <c r="G140" s="34"/>
      <c r="J140" s="35"/>
      <c r="K140" s="35"/>
      <c r="L140" s="35"/>
      <c r="M140" s="35"/>
    </row>
    <row r="141" spans="1:20" ht="15.75" x14ac:dyDescent="0.25">
      <c r="D141" s="30" t="s">
        <v>46</v>
      </c>
      <c r="E141" s="32">
        <f>M5</f>
        <v>150</v>
      </c>
      <c r="F141" s="36" t="s">
        <v>17</v>
      </c>
      <c r="G141" s="37"/>
      <c r="H141" s="38"/>
      <c r="I141" s="38"/>
      <c r="J141" s="38"/>
    </row>
    <row r="142" spans="1:20" x14ac:dyDescent="0.2">
      <c r="D142" s="30" t="s">
        <v>47</v>
      </c>
      <c r="E142" s="39">
        <f>J5</f>
        <v>1.0379</v>
      </c>
    </row>
    <row r="143" spans="1:20" x14ac:dyDescent="0.2">
      <c r="D143" s="30" t="s">
        <v>48</v>
      </c>
      <c r="E143" s="39">
        <f>K5</f>
        <v>1.0379</v>
      </c>
    </row>
    <row r="144" spans="1:20" x14ac:dyDescent="0.2">
      <c r="D144" s="33" t="s">
        <v>49</v>
      </c>
      <c r="E144" s="40" t="str">
        <f>I5</f>
        <v>No</v>
      </c>
    </row>
    <row r="145" spans="1:15" x14ac:dyDescent="0.2">
      <c r="D145" s="34"/>
    </row>
    <row r="146" spans="1:15" x14ac:dyDescent="0.2">
      <c r="D146" s="34"/>
      <c r="E146" s="41"/>
      <c r="F146" s="200" t="s">
        <v>50</v>
      </c>
      <c r="G146" s="213"/>
      <c r="H146" s="201"/>
      <c r="I146" s="200" t="s">
        <v>51</v>
      </c>
      <c r="J146" s="213"/>
      <c r="K146" s="201"/>
      <c r="L146" s="200" t="s">
        <v>52</v>
      </c>
      <c r="M146" s="201"/>
    </row>
    <row r="147" spans="1:15" x14ac:dyDescent="0.2">
      <c r="D147" s="34"/>
      <c r="E147" s="202"/>
      <c r="F147" s="42" t="s">
        <v>53</v>
      </c>
      <c r="G147" s="42" t="s">
        <v>54</v>
      </c>
      <c r="H147" s="43" t="s">
        <v>55</v>
      </c>
      <c r="I147" s="42" t="s">
        <v>53</v>
      </c>
      <c r="J147" s="144" t="s">
        <v>54</v>
      </c>
      <c r="K147" s="43" t="s">
        <v>55</v>
      </c>
      <c r="L147" s="204" t="s">
        <v>56</v>
      </c>
      <c r="M147" s="206" t="s">
        <v>57</v>
      </c>
    </row>
    <row r="148" spans="1:15" x14ac:dyDescent="0.2">
      <c r="D148" s="34"/>
      <c r="E148" s="203"/>
      <c r="F148" s="47" t="s">
        <v>58</v>
      </c>
      <c r="G148" s="47"/>
      <c r="H148" s="48" t="s">
        <v>58</v>
      </c>
      <c r="I148" s="47" t="s">
        <v>58</v>
      </c>
      <c r="J148" s="48"/>
      <c r="K148" s="48" t="s">
        <v>58</v>
      </c>
      <c r="L148" s="205"/>
      <c r="M148" s="207"/>
    </row>
    <row r="149" spans="1:15" x14ac:dyDescent="0.2">
      <c r="A149" s="3" t="str">
        <f>$E138</f>
        <v>GENERAL SERVICE 50 TO 4,999 KW SERVICE CLASSIFICATION</v>
      </c>
      <c r="C149" s="51"/>
      <c r="D149" s="52" t="s">
        <v>59</v>
      </c>
      <c r="E149" s="53"/>
      <c r="F149" s="54">
        <v>269.88</v>
      </c>
      <c r="G149" s="55">
        <v>1</v>
      </c>
      <c r="H149" s="56">
        <f>G149*F149</f>
        <v>269.88</v>
      </c>
      <c r="I149" s="104">
        <v>273.39</v>
      </c>
      <c r="J149" s="58">
        <v>1</v>
      </c>
      <c r="K149" s="56">
        <f>J149*I149</f>
        <v>273.39</v>
      </c>
      <c r="L149" s="60">
        <f t="shared" ref="L149:L173" si="42">K149-H149</f>
        <v>3.5099999999999909</v>
      </c>
      <c r="M149" s="61">
        <f>IF(ISERROR(L149/H149), "", L149/H149)</f>
        <v>1.3005780346820775E-2</v>
      </c>
    </row>
    <row r="150" spans="1:15" x14ac:dyDescent="0.2">
      <c r="A150" s="3" t="str">
        <f>A149</f>
        <v>GENERAL SERVICE 50 TO 4,999 KW SERVICE CLASSIFICATION</v>
      </c>
      <c r="C150" s="51"/>
      <c r="D150" s="52" t="s">
        <v>60</v>
      </c>
      <c r="E150" s="53"/>
      <c r="F150" s="62">
        <v>2.1297999999999999</v>
      </c>
      <c r="G150" s="55">
        <f>IF($E141&gt;0, $E141, $E140)</f>
        <v>150</v>
      </c>
      <c r="H150" s="56">
        <f t="shared" ref="H150:H158" si="43">G150*F150</f>
        <v>319.46999999999997</v>
      </c>
      <c r="I150" s="78">
        <v>2.1575000000000002</v>
      </c>
      <c r="J150" s="58">
        <f>IF($E141&gt;0, $E141, $E140)</f>
        <v>150</v>
      </c>
      <c r="K150" s="56">
        <f>J150*I150</f>
        <v>323.62500000000006</v>
      </c>
      <c r="L150" s="60">
        <f t="shared" si="42"/>
        <v>4.1550000000000864</v>
      </c>
      <c r="M150" s="61">
        <f t="shared" ref="M150:M158" si="44">IF(ISERROR(L150/H150), "", L150/H150)</f>
        <v>1.3005916048455525E-2</v>
      </c>
    </row>
    <row r="151" spans="1:15" x14ac:dyDescent="0.2">
      <c r="A151" s="3" t="str">
        <f t="shared" ref="A151:A163" si="45">A150</f>
        <v>GENERAL SERVICE 50 TO 4,999 KW SERVICE CLASSIFICATION</v>
      </c>
      <c r="C151" s="51"/>
      <c r="D151" s="64" t="s">
        <v>61</v>
      </c>
      <c r="E151" s="53"/>
      <c r="F151" s="54">
        <v>0</v>
      </c>
      <c r="G151" s="55">
        <v>1</v>
      </c>
      <c r="H151" s="56">
        <f t="shared" si="43"/>
        <v>0</v>
      </c>
      <c r="I151" s="104">
        <v>0</v>
      </c>
      <c r="J151" s="58">
        <v>1</v>
      </c>
      <c r="K151" s="56">
        <f t="shared" ref="K151:K158" si="46">J151*I151</f>
        <v>0</v>
      </c>
      <c r="L151" s="60">
        <f t="shared" si="42"/>
        <v>0</v>
      </c>
      <c r="M151" s="61" t="str">
        <f t="shared" si="44"/>
        <v/>
      </c>
    </row>
    <row r="152" spans="1:15" x14ac:dyDescent="0.2">
      <c r="A152" s="3" t="str">
        <f t="shared" si="45"/>
        <v>GENERAL SERVICE 50 TO 4,999 KW SERVICE CLASSIFICATION</v>
      </c>
      <c r="C152" s="51"/>
      <c r="D152" s="65" t="s">
        <v>62</v>
      </c>
      <c r="E152" s="53"/>
      <c r="F152" s="62">
        <v>0.3483</v>
      </c>
      <c r="G152" s="55">
        <f>IF($E141&gt;0, $E141, $E140)</f>
        <v>150</v>
      </c>
      <c r="H152" s="56">
        <f t="shared" si="43"/>
        <v>52.244999999999997</v>
      </c>
      <c r="I152" s="78">
        <f>0.3483+0.0191</f>
        <v>0.3674</v>
      </c>
      <c r="J152" s="58">
        <f>IF($E141&gt;0, $E141, $E140)</f>
        <v>150</v>
      </c>
      <c r="K152" s="56">
        <f t="shared" si="46"/>
        <v>55.11</v>
      </c>
      <c r="L152" s="60">
        <f t="shared" si="42"/>
        <v>2.865000000000002</v>
      </c>
      <c r="M152" s="61">
        <f t="shared" si="44"/>
        <v>5.4837783519954102E-2</v>
      </c>
    </row>
    <row r="153" spans="1:15" x14ac:dyDescent="0.2">
      <c r="A153" s="3" t="str">
        <f t="shared" si="45"/>
        <v>GENERAL SERVICE 50 TO 4,999 KW SERVICE CLASSIFICATION</v>
      </c>
      <c r="B153" s="66" t="s">
        <v>63</v>
      </c>
      <c r="C153" s="51">
        <f>B5</f>
        <v>3</v>
      </c>
      <c r="D153" s="67" t="s">
        <v>64</v>
      </c>
      <c r="E153" s="68"/>
      <c r="F153" s="69"/>
      <c r="G153" s="70"/>
      <c r="H153" s="71">
        <f>SUM(H149:H152)</f>
        <v>641.59499999999991</v>
      </c>
      <c r="I153" s="72"/>
      <c r="J153" s="73"/>
      <c r="K153" s="71">
        <f>SUM(K149:K152)</f>
        <v>652.12500000000011</v>
      </c>
      <c r="L153" s="74">
        <f t="shared" si="42"/>
        <v>10.5300000000002</v>
      </c>
      <c r="M153" s="75">
        <f>IF((H153)=0,"",(L153/H153))</f>
        <v>1.64122226638303E-2</v>
      </c>
    </row>
    <row r="154" spans="1:15" x14ac:dyDescent="0.2">
      <c r="A154" s="3" t="str">
        <f t="shared" si="45"/>
        <v>GENERAL SERVICE 50 TO 4,999 KW SERVICE CLASSIFICATION</v>
      </c>
      <c r="C154" s="51"/>
      <c r="D154" s="76" t="s">
        <v>65</v>
      </c>
      <c r="E154" s="53"/>
      <c r="F154" s="62">
        <f>IF((E140*12&gt;=150000), 0, IF(E139="RPP",(F169*0.64+F170*0.18+F171*0.18),IF(E139="Non-RPP (Retailer)",F172,F173)))</f>
        <v>0</v>
      </c>
      <c r="G154" s="77">
        <f>IF(F154=0, 0, $E140*E142-E140)</f>
        <v>0</v>
      </c>
      <c r="H154" s="56">
        <f>G154*F154</f>
        <v>0</v>
      </c>
      <c r="I154" s="78">
        <f>IF((E140*12&gt;=150000), 0, IF(E139="RPP",(I169*0.64+I170*0.18+I171*0.18),IF(E139="Non-RPP (Retailer)",I172,I173)))</f>
        <v>0</v>
      </c>
      <c r="J154" s="77">
        <f>IF(I154=0, 0, E140*E143-E140)</f>
        <v>0</v>
      </c>
      <c r="K154" s="56">
        <f>J154*I154</f>
        <v>0</v>
      </c>
      <c r="L154" s="60">
        <f>K154-H154</f>
        <v>0</v>
      </c>
      <c r="M154" s="61" t="str">
        <f>IF(ISERROR(L154/H154), "", L154/H154)</f>
        <v/>
      </c>
    </row>
    <row r="155" spans="1:15" ht="25.5" x14ac:dyDescent="0.25">
      <c r="A155" s="3" t="str">
        <f t="shared" si="45"/>
        <v>GENERAL SERVICE 50 TO 4,999 KW SERVICE CLASSIFICATION</v>
      </c>
      <c r="C155" s="51"/>
      <c r="D155" s="76" t="s">
        <v>103</v>
      </c>
      <c r="E155" s="53"/>
      <c r="F155" s="62">
        <f>-0.3801+0.0619</f>
        <v>-0.31819999999999998</v>
      </c>
      <c r="G155" s="79">
        <f>IF($E141&gt;0, $E141, $E140)</f>
        <v>150</v>
      </c>
      <c r="H155" s="56">
        <f t="shared" si="43"/>
        <v>-47.73</v>
      </c>
      <c r="I155" s="85">
        <f>-1.38214+(-0.3801-0.1433+0.3801+0.1433)</f>
        <v>-1.3821399999999999</v>
      </c>
      <c r="J155" s="79">
        <f>IF($E141&gt;0, $E141, $E140)</f>
        <v>150</v>
      </c>
      <c r="K155" s="56">
        <f t="shared" si="46"/>
        <v>-207.321</v>
      </c>
      <c r="L155" s="60">
        <f t="shared" si="42"/>
        <v>-159.59100000000001</v>
      </c>
      <c r="M155" s="61">
        <f t="shared" si="44"/>
        <v>3.3436203645505973</v>
      </c>
      <c r="O155" s="198"/>
    </row>
    <row r="156" spans="1:15" ht="25.5" x14ac:dyDescent="0.25">
      <c r="C156" s="51"/>
      <c r="D156" s="80" t="s">
        <v>91</v>
      </c>
      <c r="E156" s="147">
        <v>2</v>
      </c>
      <c r="F156" s="148">
        <v>-2.6463000000000001</v>
      </c>
      <c r="G156" s="83">
        <f>G155</f>
        <v>150</v>
      </c>
      <c r="H156" s="84">
        <f t="shared" si="43"/>
        <v>-396.94499999999999</v>
      </c>
      <c r="I156" s="149">
        <f>IF(E156=1,CH28,IF(E156=2,CG28,999999))</f>
        <v>2.4888316270008159</v>
      </c>
      <c r="J156" s="83">
        <f>J155</f>
        <v>150</v>
      </c>
      <c r="K156" s="84">
        <f t="shared" si="46"/>
        <v>373.32474405012238</v>
      </c>
      <c r="L156" s="145">
        <f t="shared" si="42"/>
        <v>770.26974405012243</v>
      </c>
      <c r="M156" s="146">
        <f t="shared" si="44"/>
        <v>-1.9404948898465089</v>
      </c>
      <c r="O156" s="198"/>
    </row>
    <row r="157" spans="1:15" ht="15" x14ac:dyDescent="0.25">
      <c r="C157" s="51"/>
      <c r="D157" s="80" t="s">
        <v>102</v>
      </c>
      <c r="E157" s="147"/>
      <c r="F157" s="148"/>
      <c r="G157" s="83"/>
      <c r="H157" s="84"/>
      <c r="I157" s="149">
        <f>CL28</f>
        <v>-0.78512499932245561</v>
      </c>
      <c r="J157" s="83">
        <f>J156</f>
        <v>150</v>
      </c>
      <c r="K157" s="84">
        <f t="shared" ref="K157" si="47">J157*I157</f>
        <v>-117.76874989836834</v>
      </c>
      <c r="L157" s="145">
        <f t="shared" ref="L157" si="48">K157-H157</f>
        <v>-117.76874989836834</v>
      </c>
      <c r="M157" s="146" t="str">
        <f t="shared" ref="M157" si="49">IF(ISERROR(L157/H157), "", L157/H157)</f>
        <v/>
      </c>
      <c r="O157" s="198"/>
    </row>
    <row r="158" spans="1:15" x14ac:dyDescent="0.2">
      <c r="A158" s="3" t="str">
        <f>A155</f>
        <v>GENERAL SERVICE 50 TO 4,999 KW SERVICE CLASSIFICATION</v>
      </c>
      <c r="C158" s="51"/>
      <c r="D158" s="91" t="s">
        <v>67</v>
      </c>
      <c r="E158" s="53"/>
      <c r="F158" s="62"/>
      <c r="G158" s="79">
        <f>IF($E141&gt;0, $E141, $E140)</f>
        <v>150</v>
      </c>
      <c r="H158" s="56">
        <f t="shared" si="43"/>
        <v>0</v>
      </c>
      <c r="I158" s="78"/>
      <c r="J158" s="79">
        <f>IF($E141&gt;0, $E141, $E140)</f>
        <v>150</v>
      </c>
      <c r="K158" s="56">
        <f t="shared" si="46"/>
        <v>0</v>
      </c>
      <c r="L158" s="60">
        <f t="shared" si="42"/>
        <v>0</v>
      </c>
      <c r="M158" s="61" t="str">
        <f t="shared" si="44"/>
        <v/>
      </c>
    </row>
    <row r="159" spans="1:15" x14ac:dyDescent="0.2">
      <c r="A159" s="3" t="str">
        <f t="shared" si="45"/>
        <v>GENERAL SERVICE 50 TO 4,999 KW SERVICE CLASSIFICATION</v>
      </c>
      <c r="C159" s="51"/>
      <c r="D159" s="91" t="s">
        <v>68</v>
      </c>
      <c r="E159" s="53"/>
      <c r="F159" s="62">
        <f>IF(OR(ISNUMBER(SEARCH("RESIDENTIAL", E138))=TRUE, ISNUMBER(SEARCH("GENERAL SERVICE LESS THAN 50", E138))=TRUE), 0.79, 0)</f>
        <v>0</v>
      </c>
      <c r="G159" s="55">
        <v>1</v>
      </c>
      <c r="H159" s="56">
        <f>G159*F159</f>
        <v>0</v>
      </c>
      <c r="I159" s="78">
        <f>IF(OR(ISNUMBER(SEARCH("RESIDENTIAL", E138))=TRUE, ISNUMBER(SEARCH("GENERAL SERVICE LESS THAN 50", E138))=TRUE), 0.79, 0)</f>
        <v>0</v>
      </c>
      <c r="J159" s="55">
        <v>1</v>
      </c>
      <c r="K159" s="56">
        <f>J159*I159</f>
        <v>0</v>
      </c>
      <c r="L159" s="60">
        <f t="shared" si="42"/>
        <v>0</v>
      </c>
      <c r="M159" s="61" t="str">
        <f>IF(ISERROR(L159/H159), "", L159/H159)</f>
        <v/>
      </c>
    </row>
    <row r="160" spans="1:15" ht="25.5" x14ac:dyDescent="0.2">
      <c r="A160" s="3" t="str">
        <f t="shared" si="45"/>
        <v>GENERAL SERVICE 50 TO 4,999 KW SERVICE CLASSIFICATION</v>
      </c>
      <c r="B160" s="34" t="s">
        <v>69</v>
      </c>
      <c r="C160" s="51">
        <f>B5</f>
        <v>3</v>
      </c>
      <c r="D160" s="92" t="s">
        <v>70</v>
      </c>
      <c r="E160" s="93"/>
      <c r="F160" s="94"/>
      <c r="G160" s="70"/>
      <c r="H160" s="95">
        <f>SUM(H153:H159)</f>
        <v>196.9199999999999</v>
      </c>
      <c r="I160" s="96"/>
      <c r="J160" s="73"/>
      <c r="K160" s="95">
        <f>SUM(K153:K159)</f>
        <v>700.35999415175411</v>
      </c>
      <c r="L160" s="74">
        <f t="shared" si="42"/>
        <v>503.43999415175421</v>
      </c>
      <c r="M160" s="75">
        <f>IF((H160)=0,"",(L160/H160))</f>
        <v>2.556571166726358</v>
      </c>
    </row>
    <row r="161" spans="1:13" x14ac:dyDescent="0.2">
      <c r="A161" s="3" t="str">
        <f t="shared" si="45"/>
        <v>GENERAL SERVICE 50 TO 4,999 KW SERVICE CLASSIFICATION</v>
      </c>
      <c r="C161" s="51"/>
      <c r="D161" s="97" t="s">
        <v>71</v>
      </c>
      <c r="E161" s="53"/>
      <c r="F161" s="62">
        <v>2.8188</v>
      </c>
      <c r="G161" s="77">
        <f>IF($E141&gt;0, $E141, $E140*$E142)</f>
        <v>150</v>
      </c>
      <c r="H161" s="56">
        <f>G161*F161</f>
        <v>422.82</v>
      </c>
      <c r="I161" s="78">
        <v>2.7690000000000001</v>
      </c>
      <c r="J161" s="77">
        <f>IF($E141&gt;0, $E141, $E140*$E143)</f>
        <v>150</v>
      </c>
      <c r="K161" s="56">
        <f>J161*I161</f>
        <v>415.35</v>
      </c>
      <c r="L161" s="60">
        <f t="shared" si="42"/>
        <v>-7.4699999999999704</v>
      </c>
      <c r="M161" s="61">
        <f>IF(ISERROR(L161/H161), "", L161/H161)</f>
        <v>-1.7667092379735988E-2</v>
      </c>
    </row>
    <row r="162" spans="1:13" ht="25.5" x14ac:dyDescent="0.2">
      <c r="A162" s="3" t="str">
        <f t="shared" si="45"/>
        <v>GENERAL SERVICE 50 TO 4,999 KW SERVICE CLASSIFICATION</v>
      </c>
      <c r="C162" s="51"/>
      <c r="D162" s="98" t="s">
        <v>72</v>
      </c>
      <c r="E162" s="53"/>
      <c r="F162" s="62">
        <v>0.49209999999999998</v>
      </c>
      <c r="G162" s="77">
        <f>IF($E141&gt;0, $E141, $E140*$E142)</f>
        <v>150</v>
      </c>
      <c r="H162" s="56">
        <f>G162*F162</f>
        <v>73.814999999999998</v>
      </c>
      <c r="I162" s="78">
        <v>0.51470000000000005</v>
      </c>
      <c r="J162" s="77">
        <f>IF($E141&gt;0, $E141, $E140*$E143)</f>
        <v>150</v>
      </c>
      <c r="K162" s="56">
        <f>J162*I162</f>
        <v>77.205000000000013</v>
      </c>
      <c r="L162" s="60">
        <f t="shared" si="42"/>
        <v>3.3900000000000148</v>
      </c>
      <c r="M162" s="61">
        <f>IF(ISERROR(L162/H162), "", L162/H162)</f>
        <v>4.5925624872993495E-2</v>
      </c>
    </row>
    <row r="163" spans="1:13" ht="25.5" x14ac:dyDescent="0.2">
      <c r="A163" s="3" t="str">
        <f t="shared" si="45"/>
        <v>GENERAL SERVICE 50 TO 4,999 KW SERVICE CLASSIFICATION</v>
      </c>
      <c r="B163" s="34" t="s">
        <v>73</v>
      </c>
      <c r="C163" s="51">
        <f>B5</f>
        <v>3</v>
      </c>
      <c r="D163" s="92" t="s">
        <v>74</v>
      </c>
      <c r="E163" s="68"/>
      <c r="F163" s="94"/>
      <c r="G163" s="70"/>
      <c r="H163" s="95">
        <f>SUM(H160:H162)</f>
        <v>693.55499999999984</v>
      </c>
      <c r="I163" s="96"/>
      <c r="J163" s="99"/>
      <c r="K163" s="95">
        <f>SUM(K160:K162)</f>
        <v>1192.9149941517539</v>
      </c>
      <c r="L163" s="74">
        <f t="shared" si="42"/>
        <v>499.35999415175411</v>
      </c>
      <c r="M163" s="75">
        <f>IF((H163)=0,"",(L163/H163))</f>
        <v>0.7200005683064129</v>
      </c>
    </row>
    <row r="164" spans="1:13" ht="25.5" x14ac:dyDescent="0.2">
      <c r="A164" s="3" t="str">
        <f>A163</f>
        <v>GENERAL SERVICE 50 TO 4,999 KW SERVICE CLASSIFICATION</v>
      </c>
      <c r="C164" s="51"/>
      <c r="D164" s="100" t="s">
        <v>75</v>
      </c>
      <c r="E164" s="53"/>
      <c r="F164" s="62">
        <v>4.4000000000000003E-3</v>
      </c>
      <c r="G164" s="77">
        <f>E140*E142</f>
        <v>58122.400000000001</v>
      </c>
      <c r="H164" s="101">
        <f t="shared" ref="H164:H171" si="50">G164*F164</f>
        <v>255.73856000000004</v>
      </c>
      <c r="I164" s="102">
        <v>3.5999999999999999E-3</v>
      </c>
      <c r="J164" s="77">
        <f>E140*E143</f>
        <v>58122.400000000001</v>
      </c>
      <c r="K164" s="101">
        <f t="shared" ref="K164:K171" si="51">J164*I164</f>
        <v>209.24064000000001</v>
      </c>
      <c r="L164" s="60">
        <f t="shared" si="42"/>
        <v>-46.497920000000022</v>
      </c>
      <c r="M164" s="61">
        <f t="shared" ref="M164:M173" si="52">IF(ISERROR(L164/H164), "", L164/H164)</f>
        <v>-0.18181818181818188</v>
      </c>
    </row>
    <row r="165" spans="1:13" ht="25.5" x14ac:dyDescent="0.2">
      <c r="A165" s="3" t="str">
        <f>A164</f>
        <v>GENERAL SERVICE 50 TO 4,999 KW SERVICE CLASSIFICATION</v>
      </c>
      <c r="C165" s="51"/>
      <c r="D165" s="100" t="s">
        <v>76</v>
      </c>
      <c r="E165" s="53"/>
      <c r="F165" s="62">
        <v>1.2999999999999999E-3</v>
      </c>
      <c r="G165" s="77">
        <f>E140*E142</f>
        <v>58122.400000000001</v>
      </c>
      <c r="H165" s="101">
        <f t="shared" si="50"/>
        <v>75.559119999999993</v>
      </c>
      <c r="I165" s="78">
        <v>1.2999999999999999E-3</v>
      </c>
      <c r="J165" s="77">
        <f>E140*E143</f>
        <v>58122.400000000001</v>
      </c>
      <c r="K165" s="101">
        <f t="shared" si="51"/>
        <v>75.559119999999993</v>
      </c>
      <c r="L165" s="60">
        <f t="shared" si="42"/>
        <v>0</v>
      </c>
      <c r="M165" s="61">
        <f t="shared" si="52"/>
        <v>0</v>
      </c>
    </row>
    <row r="166" spans="1:13" x14ac:dyDescent="0.2">
      <c r="A166" s="3" t="str">
        <f>A165</f>
        <v>GENERAL SERVICE 50 TO 4,999 KW SERVICE CLASSIFICATION</v>
      </c>
      <c r="C166" s="51"/>
      <c r="D166" s="103" t="s">
        <v>77</v>
      </c>
      <c r="E166" s="53"/>
      <c r="F166" s="62">
        <v>0.25</v>
      </c>
      <c r="G166" s="55">
        <v>1</v>
      </c>
      <c r="H166" s="101">
        <f t="shared" si="50"/>
        <v>0.25</v>
      </c>
      <c r="I166" s="104">
        <v>0.25</v>
      </c>
      <c r="J166" s="58">
        <v>1</v>
      </c>
      <c r="K166" s="101">
        <f t="shared" si="51"/>
        <v>0.25</v>
      </c>
      <c r="L166" s="60">
        <f t="shared" si="42"/>
        <v>0</v>
      </c>
      <c r="M166" s="61">
        <f t="shared" si="52"/>
        <v>0</v>
      </c>
    </row>
    <row r="167" spans="1:13" x14ac:dyDescent="0.2">
      <c r="A167" s="3" t="str">
        <f>A166</f>
        <v>GENERAL SERVICE 50 TO 4,999 KW SERVICE CLASSIFICATION</v>
      </c>
      <c r="C167" s="51"/>
      <c r="D167" s="103" t="s">
        <v>78</v>
      </c>
      <c r="E167" s="53"/>
      <c r="F167" s="62">
        <v>7.0000000000000001E-3</v>
      </c>
      <c r="G167" s="79">
        <f>E140</f>
        <v>56000</v>
      </c>
      <c r="H167" s="101">
        <f t="shared" si="50"/>
        <v>392</v>
      </c>
      <c r="I167" s="105">
        <f>IF(ISERROR(FIND("RESIDENTIAL", UPPER(E138))), 0.007, 0)</f>
        <v>7.0000000000000001E-3</v>
      </c>
      <c r="J167" s="79">
        <f>E140</f>
        <v>56000</v>
      </c>
      <c r="K167" s="101">
        <f t="shared" si="51"/>
        <v>392</v>
      </c>
      <c r="L167" s="60">
        <f t="shared" si="42"/>
        <v>0</v>
      </c>
      <c r="M167" s="61">
        <f t="shared" si="52"/>
        <v>0</v>
      </c>
    </row>
    <row r="168" spans="1:13" ht="25.5" x14ac:dyDescent="0.2">
      <c r="C168" s="51"/>
      <c r="D168" s="100" t="s">
        <v>79</v>
      </c>
      <c r="E168" s="53"/>
      <c r="F168" s="106"/>
      <c r="G168" s="107"/>
      <c r="H168" s="107"/>
      <c r="I168" s="102">
        <v>1.1000000000000001E-3</v>
      </c>
      <c r="J168" s="77">
        <f>E140*E142</f>
        <v>58122.400000000001</v>
      </c>
      <c r="K168" s="101">
        <f>J168*I168</f>
        <v>63.934640000000009</v>
      </c>
      <c r="L168" s="60">
        <f t="shared" si="42"/>
        <v>63.934640000000009</v>
      </c>
      <c r="M168" s="107"/>
    </row>
    <row r="169" spans="1:13" x14ac:dyDescent="0.2">
      <c r="A169" s="3" t="str">
        <f>A167</f>
        <v>GENERAL SERVICE 50 TO 4,999 KW SERVICE CLASSIFICATION</v>
      </c>
      <c r="B169" s="34" t="s">
        <v>12</v>
      </c>
      <c r="C169" s="51"/>
      <c r="D169" s="109" t="s">
        <v>80</v>
      </c>
      <c r="E169" s="53"/>
      <c r="F169" s="110"/>
      <c r="G169" s="111"/>
      <c r="H169" s="101">
        <f t="shared" si="50"/>
        <v>0</v>
      </c>
      <c r="I169" s="63"/>
      <c r="J169" s="111"/>
      <c r="K169" s="101">
        <f t="shared" si="51"/>
        <v>0</v>
      </c>
      <c r="L169" s="60">
        <f t="shared" si="42"/>
        <v>0</v>
      </c>
      <c r="M169" s="61" t="str">
        <f t="shared" si="52"/>
        <v/>
      </c>
    </row>
    <row r="170" spans="1:13" x14ac:dyDescent="0.2">
      <c r="A170" s="3" t="str">
        <f t="shared" ref="A170:A192" si="53">A169</f>
        <v>GENERAL SERVICE 50 TO 4,999 KW SERVICE CLASSIFICATION</v>
      </c>
      <c r="B170" s="34" t="s">
        <v>12</v>
      </c>
      <c r="C170" s="51"/>
      <c r="D170" s="109" t="s">
        <v>81</v>
      </c>
      <c r="E170" s="53"/>
      <c r="F170" s="110"/>
      <c r="G170" s="111"/>
      <c r="H170" s="101">
        <f t="shared" si="50"/>
        <v>0</v>
      </c>
      <c r="I170" s="63"/>
      <c r="J170" s="111"/>
      <c r="K170" s="101">
        <f t="shared" si="51"/>
        <v>0</v>
      </c>
      <c r="L170" s="60">
        <f t="shared" si="42"/>
        <v>0</v>
      </c>
      <c r="M170" s="61" t="str">
        <f t="shared" si="52"/>
        <v/>
      </c>
    </row>
    <row r="171" spans="1:13" x14ac:dyDescent="0.2">
      <c r="A171" s="3" t="str">
        <f t="shared" si="53"/>
        <v>GENERAL SERVICE 50 TO 4,999 KW SERVICE CLASSIFICATION</v>
      </c>
      <c r="B171" s="34" t="s">
        <v>12</v>
      </c>
      <c r="C171" s="51"/>
      <c r="D171" s="34" t="s">
        <v>82</v>
      </c>
      <c r="E171" s="53"/>
      <c r="F171" s="110"/>
      <c r="G171" s="111"/>
      <c r="H171" s="101">
        <f t="shared" si="50"/>
        <v>0</v>
      </c>
      <c r="I171" s="63"/>
      <c r="J171" s="111"/>
      <c r="K171" s="101">
        <f t="shared" si="51"/>
        <v>0</v>
      </c>
      <c r="L171" s="60">
        <f t="shared" si="42"/>
        <v>0</v>
      </c>
      <c r="M171" s="61" t="str">
        <f t="shared" si="52"/>
        <v/>
      </c>
    </row>
    <row r="172" spans="1:13" x14ac:dyDescent="0.2">
      <c r="A172" s="3" t="str">
        <f t="shared" si="53"/>
        <v>GENERAL SERVICE 50 TO 4,999 KW SERVICE CLASSIFICATION</v>
      </c>
      <c r="B172" s="3" t="s">
        <v>24</v>
      </c>
      <c r="C172" s="51"/>
      <c r="D172" s="109" t="s">
        <v>83</v>
      </c>
      <c r="E172" s="53"/>
      <c r="F172" s="112"/>
      <c r="G172" s="111"/>
      <c r="H172" s="101">
        <f>G172*F172</f>
        <v>0</v>
      </c>
      <c r="I172" s="63">
        <f>F172</f>
        <v>0</v>
      </c>
      <c r="J172" s="111"/>
      <c r="K172" s="101">
        <f>J172*I172</f>
        <v>0</v>
      </c>
      <c r="L172" s="60">
        <f t="shared" si="42"/>
        <v>0</v>
      </c>
      <c r="M172" s="61" t="str">
        <f t="shared" si="52"/>
        <v/>
      </c>
    </row>
    <row r="173" spans="1:13" ht="13.5" thickBot="1" x14ac:dyDescent="0.25">
      <c r="A173" s="3" t="str">
        <f>A172</f>
        <v>GENERAL SERVICE 50 TO 4,999 KW SERVICE CLASSIFICATION</v>
      </c>
      <c r="B173" s="3" t="s">
        <v>18</v>
      </c>
      <c r="C173" s="51"/>
      <c r="D173" s="109" t="s">
        <v>84</v>
      </c>
      <c r="E173" s="53"/>
      <c r="F173" s="112">
        <f>0.0954</f>
        <v>9.5399999999999999E-2</v>
      </c>
      <c r="G173" s="111">
        <f>IF(AND(E140*12&gt;=150000),E140*E142,E140)</f>
        <v>58122.400000000001</v>
      </c>
      <c r="H173" s="101">
        <f>G173*F173</f>
        <v>5544.8769600000005</v>
      </c>
      <c r="I173" s="113">
        <f>F173</f>
        <v>9.5399999999999999E-2</v>
      </c>
      <c r="J173" s="111">
        <f>IF(AND(E140*12&gt;=150000),E140*E143,E140)</f>
        <v>58122.400000000001</v>
      </c>
      <c r="K173" s="101">
        <f>J173*I173</f>
        <v>5544.8769600000005</v>
      </c>
      <c r="L173" s="60">
        <f t="shared" si="42"/>
        <v>0</v>
      </c>
      <c r="M173" s="61">
        <f t="shared" si="52"/>
        <v>0</v>
      </c>
    </row>
    <row r="174" spans="1:13" ht="13.5" thickBot="1" x14ac:dyDescent="0.25">
      <c r="A174" s="3" t="str">
        <f t="shared" si="53"/>
        <v>GENERAL SERVICE 50 TO 4,999 KW SERVICE CLASSIFICATION</v>
      </c>
      <c r="B174" s="34"/>
      <c r="C174" s="51"/>
      <c r="D174" s="114"/>
      <c r="E174" s="115"/>
      <c r="F174" s="116"/>
      <c r="G174" s="117"/>
      <c r="H174" s="118"/>
      <c r="I174" s="116"/>
      <c r="J174" s="119"/>
      <c r="K174" s="118"/>
      <c r="L174" s="120"/>
      <c r="M174" s="121"/>
    </row>
    <row r="175" spans="1:13" hidden="1" x14ac:dyDescent="0.2">
      <c r="A175" s="3" t="str">
        <f t="shared" si="53"/>
        <v>GENERAL SERVICE 50 TO 4,999 KW SERVICE CLASSIFICATION</v>
      </c>
      <c r="B175" s="34" t="s">
        <v>12</v>
      </c>
      <c r="C175" s="51"/>
      <c r="D175" s="122" t="s">
        <v>85</v>
      </c>
      <c r="E175" s="103"/>
      <c r="F175" s="123"/>
      <c r="G175" s="123"/>
      <c r="H175" s="123"/>
      <c r="I175" s="123"/>
      <c r="J175" s="123"/>
      <c r="K175" s="123"/>
      <c r="L175" s="123"/>
      <c r="M175" s="123"/>
    </row>
    <row r="176" spans="1:13" hidden="1" x14ac:dyDescent="0.2">
      <c r="A176" s="3" t="str">
        <f t="shared" si="53"/>
        <v>GENERAL SERVICE 50 TO 4,999 KW SERVICE CLASSIFICATION</v>
      </c>
      <c r="B176" s="34" t="s">
        <v>12</v>
      </c>
      <c r="C176" s="51"/>
      <c r="D176" s="129" t="s">
        <v>86</v>
      </c>
      <c r="E176" s="103"/>
      <c r="F176" s="123"/>
      <c r="G176" s="123"/>
      <c r="H176" s="123"/>
      <c r="I176" s="123"/>
      <c r="J176" s="123"/>
      <c r="K176" s="123"/>
      <c r="L176" s="123"/>
      <c r="M176" s="123"/>
    </row>
    <row r="177" spans="1:13" hidden="1" x14ac:dyDescent="0.2">
      <c r="A177" s="3" t="str">
        <f t="shared" si="53"/>
        <v>GENERAL SERVICE 50 TO 4,999 KW SERVICE CLASSIFICATION</v>
      </c>
      <c r="B177" s="34" t="s">
        <v>12</v>
      </c>
      <c r="C177" s="51"/>
      <c r="D177" s="135" t="s">
        <v>87</v>
      </c>
      <c r="E177" s="103"/>
      <c r="F177" s="123"/>
      <c r="G177" s="123"/>
      <c r="H177" s="123"/>
      <c r="I177" s="123"/>
      <c r="J177" s="123"/>
      <c r="K177" s="123"/>
      <c r="L177" s="123"/>
      <c r="M177" s="123"/>
    </row>
    <row r="178" spans="1:13" hidden="1" x14ac:dyDescent="0.2">
      <c r="A178" s="3" t="str">
        <f t="shared" si="53"/>
        <v>GENERAL SERVICE 50 TO 4,999 KW SERVICE CLASSIFICATION</v>
      </c>
      <c r="B178" s="34" t="s">
        <v>12</v>
      </c>
      <c r="C178" s="51"/>
      <c r="D178" s="208" t="s">
        <v>88</v>
      </c>
      <c r="E178" s="214"/>
      <c r="F178" s="123"/>
      <c r="G178" s="123"/>
      <c r="H178" s="123"/>
      <c r="I178" s="123"/>
      <c r="J178" s="123"/>
      <c r="K178" s="123"/>
      <c r="L178" s="123"/>
      <c r="M178" s="123"/>
    </row>
    <row r="179" spans="1:13" ht="13.5" hidden="1" thickBot="1" x14ac:dyDescent="0.25">
      <c r="A179" s="3" t="str">
        <f t="shared" si="53"/>
        <v>GENERAL SERVICE 50 TO 4,999 KW SERVICE CLASSIFICATION</v>
      </c>
      <c r="B179" s="34" t="s">
        <v>89</v>
      </c>
      <c r="C179" s="51"/>
      <c r="D179" s="215" t="s">
        <v>90</v>
      </c>
      <c r="E179" s="216"/>
      <c r="F179" s="123"/>
      <c r="G179" s="123"/>
      <c r="H179" s="123"/>
      <c r="I179" s="123"/>
      <c r="J179" s="123"/>
      <c r="K179" s="123"/>
      <c r="L179" s="123"/>
      <c r="M179" s="123"/>
    </row>
    <row r="180" spans="1:13" ht="13.5" hidden="1" thickBot="1" x14ac:dyDescent="0.25">
      <c r="A180" s="3" t="str">
        <f t="shared" si="53"/>
        <v>GENERAL SERVICE 50 TO 4,999 KW SERVICE CLASSIFICATION</v>
      </c>
      <c r="B180" s="3" t="s">
        <v>12</v>
      </c>
      <c r="C180" s="51"/>
      <c r="D180" s="114"/>
      <c r="E180" s="115"/>
      <c r="F180" s="116"/>
      <c r="G180" s="117"/>
      <c r="H180" s="118"/>
      <c r="I180" s="116"/>
      <c r="J180" s="119"/>
      <c r="K180" s="118"/>
      <c r="L180" s="120"/>
      <c r="M180" s="121"/>
    </row>
    <row r="181" spans="1:13" hidden="1" x14ac:dyDescent="0.2">
      <c r="A181" s="3" t="str">
        <f t="shared" si="53"/>
        <v>GENERAL SERVICE 50 TO 4,999 KW SERVICE CLASSIFICATION</v>
      </c>
      <c r="B181" s="3" t="s">
        <v>24</v>
      </c>
      <c r="C181" s="51"/>
      <c r="D181" s="122" t="s">
        <v>92</v>
      </c>
      <c r="E181" s="103"/>
      <c r="F181" s="123"/>
      <c r="G181" s="123"/>
      <c r="H181" s="123"/>
      <c r="I181" s="123"/>
      <c r="J181" s="123"/>
      <c r="K181" s="123"/>
      <c r="L181" s="123"/>
      <c r="M181" s="123"/>
    </row>
    <row r="182" spans="1:13" hidden="1" x14ac:dyDescent="0.2">
      <c r="A182" s="3" t="str">
        <f t="shared" si="53"/>
        <v>GENERAL SERVICE 50 TO 4,999 KW SERVICE CLASSIFICATION</v>
      </c>
      <c r="B182" s="3" t="s">
        <v>24</v>
      </c>
      <c r="C182" s="51"/>
      <c r="D182" s="129" t="s">
        <v>86</v>
      </c>
      <c r="E182" s="103"/>
      <c r="F182" s="123"/>
      <c r="G182" s="123"/>
      <c r="H182" s="123"/>
      <c r="I182" s="123"/>
      <c r="J182" s="123"/>
      <c r="K182" s="123"/>
      <c r="L182" s="123"/>
      <c r="M182" s="123"/>
    </row>
    <row r="183" spans="1:13" hidden="1" x14ac:dyDescent="0.2">
      <c r="A183" s="3" t="str">
        <f t="shared" si="53"/>
        <v>GENERAL SERVICE 50 TO 4,999 KW SERVICE CLASSIFICATION</v>
      </c>
      <c r="B183" s="3" t="s">
        <v>24</v>
      </c>
      <c r="C183" s="51"/>
      <c r="D183" s="135" t="s">
        <v>87</v>
      </c>
      <c r="E183" s="103"/>
      <c r="F183" s="123"/>
      <c r="G183" s="123"/>
      <c r="H183" s="123"/>
      <c r="I183" s="123"/>
      <c r="J183" s="123"/>
      <c r="K183" s="123"/>
      <c r="L183" s="123"/>
      <c r="M183" s="123"/>
    </row>
    <row r="184" spans="1:13" hidden="1" x14ac:dyDescent="0.2">
      <c r="A184" s="3" t="str">
        <f t="shared" si="53"/>
        <v>GENERAL SERVICE 50 TO 4,999 KW SERVICE CLASSIFICATION</v>
      </c>
      <c r="B184" s="3" t="s">
        <v>24</v>
      </c>
      <c r="C184" s="51"/>
      <c r="D184" s="208" t="s">
        <v>88</v>
      </c>
      <c r="E184" s="214"/>
      <c r="F184" s="123"/>
      <c r="G184" s="123"/>
      <c r="H184" s="123"/>
      <c r="I184" s="123"/>
      <c r="J184" s="123"/>
      <c r="K184" s="123"/>
      <c r="L184" s="123"/>
      <c r="M184" s="123"/>
    </row>
    <row r="185" spans="1:13" ht="13.5" hidden="1" thickBot="1" x14ac:dyDescent="0.25">
      <c r="A185" s="3" t="str">
        <f t="shared" si="53"/>
        <v>GENERAL SERVICE 50 TO 4,999 KW SERVICE CLASSIFICATION</v>
      </c>
      <c r="B185" s="3" t="s">
        <v>93</v>
      </c>
      <c r="C185" s="51"/>
      <c r="D185" s="215" t="s">
        <v>92</v>
      </c>
      <c r="E185" s="216"/>
      <c r="F185" s="123"/>
      <c r="G185" s="123"/>
      <c r="H185" s="123"/>
      <c r="I185" s="123"/>
      <c r="J185" s="123"/>
      <c r="K185" s="123"/>
      <c r="L185" s="123"/>
      <c r="M185" s="123"/>
    </row>
    <row r="186" spans="1:13" ht="13.5" hidden="1" thickBot="1" x14ac:dyDescent="0.25">
      <c r="A186" s="3" t="str">
        <f t="shared" si="53"/>
        <v>GENERAL SERVICE 50 TO 4,999 KW SERVICE CLASSIFICATION</v>
      </c>
      <c r="B186" s="3" t="s">
        <v>24</v>
      </c>
      <c r="C186" s="51"/>
      <c r="D186" s="114"/>
      <c r="E186" s="115"/>
      <c r="F186" s="150"/>
      <c r="G186" s="151"/>
      <c r="H186" s="152"/>
      <c r="I186" s="150"/>
      <c r="J186" s="117"/>
      <c r="K186" s="152"/>
      <c r="L186" s="153"/>
      <c r="M186" s="121"/>
    </row>
    <row r="187" spans="1:13" x14ac:dyDescent="0.2">
      <c r="A187" s="3" t="str">
        <f>A186</f>
        <v>GENERAL SERVICE 50 TO 4,999 KW SERVICE CLASSIFICATION</v>
      </c>
      <c r="B187" s="3" t="s">
        <v>18</v>
      </c>
      <c r="C187" s="51"/>
      <c r="D187" s="122" t="s">
        <v>94</v>
      </c>
      <c r="E187" s="103"/>
      <c r="F187" s="123"/>
      <c r="G187" s="124"/>
      <c r="H187" s="125">
        <f>SUM(H173,H164:H167,H163)</f>
        <v>6961.9796399999996</v>
      </c>
      <c r="I187" s="126"/>
      <c r="J187" s="126"/>
      <c r="K187" s="125">
        <f>SUM(K173,K164:K167,K163)</f>
        <v>7414.8417141517548</v>
      </c>
      <c r="L187" s="127">
        <f>K187-H187</f>
        <v>452.86207415175522</v>
      </c>
      <c r="M187" s="128">
        <f>IF((H187)=0,"",(L187/H187))</f>
        <v>6.5047888326165121E-2</v>
      </c>
    </row>
    <row r="188" spans="1:13" x14ac:dyDescent="0.2">
      <c r="A188" s="3" t="str">
        <f t="shared" si="53"/>
        <v>GENERAL SERVICE 50 TO 4,999 KW SERVICE CLASSIFICATION</v>
      </c>
      <c r="B188" s="3" t="s">
        <v>18</v>
      </c>
      <c r="C188" s="51"/>
      <c r="D188" s="129" t="s">
        <v>86</v>
      </c>
      <c r="E188" s="103"/>
      <c r="F188" s="123">
        <v>0.13</v>
      </c>
      <c r="G188" s="124"/>
      <c r="H188" s="131">
        <f>H187*F188</f>
        <v>905.05735319999997</v>
      </c>
      <c r="I188" s="123">
        <v>0.13</v>
      </c>
      <c r="J188" s="132"/>
      <c r="K188" s="131">
        <f>K187*I188</f>
        <v>963.9294228397282</v>
      </c>
      <c r="L188" s="133">
        <f>K188-H188</f>
        <v>58.872069639728238</v>
      </c>
      <c r="M188" s="134">
        <f>IF((H188)=0,"",(L188/H188))</f>
        <v>6.504788832616519E-2</v>
      </c>
    </row>
    <row r="189" spans="1:13" x14ac:dyDescent="0.2">
      <c r="A189" s="3" t="str">
        <f t="shared" si="53"/>
        <v>GENERAL SERVICE 50 TO 4,999 KW SERVICE CLASSIFICATION</v>
      </c>
      <c r="B189" s="3" t="s">
        <v>18</v>
      </c>
      <c r="C189" s="51"/>
      <c r="D189" s="135" t="s">
        <v>87</v>
      </c>
      <c r="E189" s="103"/>
      <c r="F189" s="136"/>
      <c r="G189" s="130"/>
      <c r="H189" s="131">
        <f>H187+H188</f>
        <v>7867.0369931999994</v>
      </c>
      <c r="I189" s="55"/>
      <c r="J189" s="55"/>
      <c r="K189" s="131">
        <f>K187+K188</f>
        <v>8378.7711369914832</v>
      </c>
      <c r="L189" s="133">
        <f>K189-H189</f>
        <v>511.7341437914838</v>
      </c>
      <c r="M189" s="134">
        <f>IF((H189)=0,"",(L189/H189))</f>
        <v>6.5047888326165176E-2</v>
      </c>
    </row>
    <row r="190" spans="1:13" x14ac:dyDescent="0.2">
      <c r="A190" s="3" t="str">
        <f t="shared" si="53"/>
        <v>GENERAL SERVICE 50 TO 4,999 KW SERVICE CLASSIFICATION</v>
      </c>
      <c r="B190" s="3" t="s">
        <v>18</v>
      </c>
      <c r="C190" s="51"/>
      <c r="D190" s="208" t="s">
        <v>88</v>
      </c>
      <c r="E190" s="208"/>
      <c r="F190" s="136"/>
      <c r="G190" s="130"/>
      <c r="H190" s="137">
        <v>0</v>
      </c>
      <c r="I190" s="107"/>
      <c r="J190" s="107"/>
      <c r="K190" s="107"/>
      <c r="L190" s="133">
        <f>K190-H190</f>
        <v>0</v>
      </c>
      <c r="M190" s="134" t="str">
        <f>IF((H190)=0,"",(L190/H190))</f>
        <v/>
      </c>
    </row>
    <row r="191" spans="1:13" ht="13.5" thickBot="1" x14ac:dyDescent="0.25">
      <c r="A191" s="3" t="str">
        <f t="shared" si="53"/>
        <v>GENERAL SERVICE 50 TO 4,999 KW SERVICE CLASSIFICATION</v>
      </c>
      <c r="B191" s="3" t="s">
        <v>95</v>
      </c>
      <c r="C191" s="51">
        <f>B5</f>
        <v>3</v>
      </c>
      <c r="D191" s="209" t="s">
        <v>94</v>
      </c>
      <c r="E191" s="209"/>
      <c r="F191" s="154"/>
      <c r="G191" s="155"/>
      <c r="H191" s="156">
        <f>SUM(H189:H190)</f>
        <v>7867.0369931999994</v>
      </c>
      <c r="I191" s="157"/>
      <c r="J191" s="157"/>
      <c r="K191" s="156">
        <f>SUM(K189:K190)</f>
        <v>8378.7711369914832</v>
      </c>
      <c r="L191" s="158">
        <f>K191-H191</f>
        <v>511.7341437914838</v>
      </c>
      <c r="M191" s="159">
        <f>IF((H191)=0,"",(L191/H191))</f>
        <v>6.5047888326165176E-2</v>
      </c>
    </row>
    <row r="192" spans="1:13" ht="13.5" thickBot="1" x14ac:dyDescent="0.25">
      <c r="A192" s="3" t="str">
        <f t="shared" si="53"/>
        <v>GENERAL SERVICE 50 TO 4,999 KW SERVICE CLASSIFICATION</v>
      </c>
      <c r="B192" s="3" t="s">
        <v>18</v>
      </c>
      <c r="C192" s="51"/>
      <c r="D192" s="114"/>
      <c r="E192" s="115"/>
      <c r="F192" s="160"/>
      <c r="G192" s="161"/>
      <c r="H192" s="162"/>
      <c r="I192" s="160"/>
      <c r="J192" s="163"/>
      <c r="K192" s="162"/>
      <c r="L192" s="164"/>
      <c r="M192" s="165"/>
    </row>
    <row r="194" spans="1:20" x14ac:dyDescent="0.2">
      <c r="D194" s="30" t="s">
        <v>42</v>
      </c>
      <c r="E194" s="210" t="str">
        <f>D6</f>
        <v>UNMETERED SCATTERED LOAD SERVICE CLASSIFICATION</v>
      </c>
      <c r="F194" s="210"/>
      <c r="G194" s="210"/>
      <c r="H194" s="210"/>
      <c r="I194" s="210"/>
      <c r="J194" s="210"/>
      <c r="K194" s="3" t="str">
        <f>IF(N6="DEMAND - INTERVAL","RTSR - INTERVAL METERED","")</f>
        <v/>
      </c>
      <c r="T194" s="3" t="s">
        <v>43</v>
      </c>
    </row>
    <row r="195" spans="1:20" x14ac:dyDescent="0.2">
      <c r="D195" s="30" t="s">
        <v>44</v>
      </c>
      <c r="E195" s="212" t="str">
        <f>H6</f>
        <v>RPP</v>
      </c>
      <c r="F195" s="212"/>
      <c r="G195" s="212"/>
      <c r="H195" s="31"/>
      <c r="I195" s="31"/>
    </row>
    <row r="196" spans="1:20" ht="15.75" x14ac:dyDescent="0.2">
      <c r="D196" s="30" t="s">
        <v>45</v>
      </c>
      <c r="E196" s="32">
        <f>L6</f>
        <v>900</v>
      </c>
      <c r="F196" s="33" t="s">
        <v>11</v>
      </c>
      <c r="G196" s="34"/>
      <c r="J196" s="35"/>
      <c r="K196" s="35"/>
      <c r="L196" s="35"/>
      <c r="M196" s="35"/>
    </row>
    <row r="197" spans="1:20" ht="15.75" x14ac:dyDescent="0.25">
      <c r="D197" s="30" t="s">
        <v>46</v>
      </c>
      <c r="E197" s="32">
        <f>M6</f>
        <v>0</v>
      </c>
      <c r="F197" s="36" t="s">
        <v>17</v>
      </c>
      <c r="G197" s="37"/>
      <c r="H197" s="38"/>
      <c r="I197" s="38"/>
      <c r="J197" s="38"/>
    </row>
    <row r="198" spans="1:20" x14ac:dyDescent="0.2">
      <c r="D198" s="30" t="s">
        <v>47</v>
      </c>
      <c r="E198" s="39">
        <f>J6</f>
        <v>1.0379</v>
      </c>
    </row>
    <row r="199" spans="1:20" x14ac:dyDescent="0.2">
      <c r="D199" s="30" t="s">
        <v>48</v>
      </c>
      <c r="E199" s="39">
        <f>K6</f>
        <v>1.0379</v>
      </c>
    </row>
    <row r="200" spans="1:20" x14ac:dyDescent="0.2">
      <c r="D200" s="33" t="s">
        <v>49</v>
      </c>
      <c r="E200" s="40" t="str">
        <f>I6</f>
        <v>Yes</v>
      </c>
    </row>
    <row r="201" spans="1:20" x14ac:dyDescent="0.2">
      <c r="D201" s="34"/>
    </row>
    <row r="202" spans="1:20" x14ac:dyDescent="0.2">
      <c r="D202" s="34"/>
      <c r="E202" s="41"/>
      <c r="F202" s="200" t="s">
        <v>50</v>
      </c>
      <c r="G202" s="213"/>
      <c r="H202" s="201"/>
      <c r="I202" s="200" t="s">
        <v>51</v>
      </c>
      <c r="J202" s="213"/>
      <c r="K202" s="201"/>
      <c r="L202" s="200" t="s">
        <v>52</v>
      </c>
      <c r="M202" s="201"/>
    </row>
    <row r="203" spans="1:20" x14ac:dyDescent="0.2">
      <c r="D203" s="34"/>
      <c r="E203" s="202"/>
      <c r="F203" s="42" t="s">
        <v>53</v>
      </c>
      <c r="G203" s="42" t="s">
        <v>54</v>
      </c>
      <c r="H203" s="43" t="s">
        <v>55</v>
      </c>
      <c r="I203" s="42" t="s">
        <v>53</v>
      </c>
      <c r="J203" s="144" t="s">
        <v>54</v>
      </c>
      <c r="K203" s="43" t="s">
        <v>55</v>
      </c>
      <c r="L203" s="204" t="s">
        <v>56</v>
      </c>
      <c r="M203" s="206" t="s">
        <v>57</v>
      </c>
    </row>
    <row r="204" spans="1:20" x14ac:dyDescent="0.2">
      <c r="D204" s="34"/>
      <c r="E204" s="203"/>
      <c r="F204" s="47" t="s">
        <v>58</v>
      </c>
      <c r="G204" s="47"/>
      <c r="H204" s="48" t="s">
        <v>58</v>
      </c>
      <c r="I204" s="47" t="s">
        <v>58</v>
      </c>
      <c r="J204" s="48"/>
      <c r="K204" s="48" t="s">
        <v>58</v>
      </c>
      <c r="L204" s="205"/>
      <c r="M204" s="207"/>
    </row>
    <row r="205" spans="1:20" x14ac:dyDescent="0.2">
      <c r="A205" s="3" t="str">
        <f>$E194</f>
        <v>UNMETERED SCATTERED LOAD SERVICE CLASSIFICATION</v>
      </c>
      <c r="C205" s="51"/>
      <c r="D205" s="52" t="s">
        <v>59</v>
      </c>
      <c r="E205" s="53"/>
      <c r="F205" s="54">
        <v>20.309999999999999</v>
      </c>
      <c r="G205" s="55">
        <v>1</v>
      </c>
      <c r="H205" s="56">
        <f>G205*F205</f>
        <v>20.309999999999999</v>
      </c>
      <c r="I205" s="104">
        <v>20.57</v>
      </c>
      <c r="J205" s="58">
        <v>1</v>
      </c>
      <c r="K205" s="56">
        <f>J205*I205</f>
        <v>20.57</v>
      </c>
      <c r="L205" s="60">
        <f t="shared" ref="L205:L229" si="54">K205-H205</f>
        <v>0.26000000000000156</v>
      </c>
      <c r="M205" s="61">
        <f>IF(ISERROR(L205/H205), "", L205/H205)</f>
        <v>1.280157557853282E-2</v>
      </c>
    </row>
    <row r="206" spans="1:20" x14ac:dyDescent="0.2">
      <c r="A206" s="3" t="str">
        <f>A205</f>
        <v>UNMETERED SCATTERED LOAD SERVICE CLASSIFICATION</v>
      </c>
      <c r="C206" s="51"/>
      <c r="D206" s="52" t="s">
        <v>60</v>
      </c>
      <c r="E206" s="53"/>
      <c r="F206" s="62">
        <v>6.1000000000000004E-3</v>
      </c>
      <c r="G206" s="55">
        <f>IF($E197&gt;0, $E197, $E196)</f>
        <v>900</v>
      </c>
      <c r="H206" s="56">
        <f t="shared" ref="H206:H214" si="55">G206*F206</f>
        <v>5.49</v>
      </c>
      <c r="I206" s="78">
        <v>6.1999999999999998E-3</v>
      </c>
      <c r="J206" s="58">
        <f>IF($E197&gt;0, $E197, $E196)</f>
        <v>900</v>
      </c>
      <c r="K206" s="56">
        <f>J206*I206</f>
        <v>5.58</v>
      </c>
      <c r="L206" s="60">
        <f t="shared" si="54"/>
        <v>8.9999999999999858E-2</v>
      </c>
      <c r="M206" s="61">
        <f t="shared" ref="M206:M214" si="56">IF(ISERROR(L206/H206), "", L206/H206)</f>
        <v>1.6393442622950793E-2</v>
      </c>
    </row>
    <row r="207" spans="1:20" x14ac:dyDescent="0.2">
      <c r="A207" s="3" t="str">
        <f t="shared" ref="A207:A219" si="57">A206</f>
        <v>UNMETERED SCATTERED LOAD SERVICE CLASSIFICATION</v>
      </c>
      <c r="C207" s="51"/>
      <c r="D207" s="64" t="s">
        <v>61</v>
      </c>
      <c r="E207" s="53"/>
      <c r="F207" s="54">
        <v>0</v>
      </c>
      <c r="G207" s="55">
        <v>1</v>
      </c>
      <c r="H207" s="56">
        <f t="shared" si="55"/>
        <v>0</v>
      </c>
      <c r="I207" s="104">
        <v>0</v>
      </c>
      <c r="J207" s="58">
        <v>1</v>
      </c>
      <c r="K207" s="56">
        <f t="shared" ref="K207:K214" si="58">J207*I207</f>
        <v>0</v>
      </c>
      <c r="L207" s="60">
        <f t="shared" si="54"/>
        <v>0</v>
      </c>
      <c r="M207" s="61" t="str">
        <f t="shared" si="56"/>
        <v/>
      </c>
    </row>
    <row r="208" spans="1:20" x14ac:dyDescent="0.2">
      <c r="A208" s="3" t="str">
        <f t="shared" si="57"/>
        <v>UNMETERED SCATTERED LOAD SERVICE CLASSIFICATION</v>
      </c>
      <c r="C208" s="51"/>
      <c r="D208" s="65" t="s">
        <v>62</v>
      </c>
      <c r="E208" s="53"/>
      <c r="F208" s="62">
        <v>5.0000000000000001E-4</v>
      </c>
      <c r="G208" s="55">
        <f>IF($E197&gt;0, $E197, $E196)</f>
        <v>900</v>
      </c>
      <c r="H208" s="56">
        <f t="shared" si="55"/>
        <v>0.45</v>
      </c>
      <c r="I208" s="78">
        <f>0.0005+0.0001</f>
        <v>6.0000000000000006E-4</v>
      </c>
      <c r="J208" s="58">
        <f>IF($E197&gt;0, $E197, $E196)</f>
        <v>900</v>
      </c>
      <c r="K208" s="56">
        <f t="shared" si="58"/>
        <v>0.54</v>
      </c>
      <c r="L208" s="60">
        <f t="shared" si="54"/>
        <v>9.0000000000000024E-2</v>
      </c>
      <c r="M208" s="61">
        <f t="shared" si="56"/>
        <v>0.20000000000000004</v>
      </c>
    </row>
    <row r="209" spans="1:16" x14ac:dyDescent="0.2">
      <c r="A209" s="3" t="str">
        <f t="shared" si="57"/>
        <v>UNMETERED SCATTERED LOAD SERVICE CLASSIFICATION</v>
      </c>
      <c r="B209" s="66" t="s">
        <v>63</v>
      </c>
      <c r="C209" s="51">
        <f>B6</f>
        <v>4</v>
      </c>
      <c r="D209" s="67" t="s">
        <v>64</v>
      </c>
      <c r="E209" s="68"/>
      <c r="F209" s="69"/>
      <c r="G209" s="70"/>
      <c r="H209" s="71">
        <f>SUM(H205:H208)</f>
        <v>26.249999999999996</v>
      </c>
      <c r="I209" s="72"/>
      <c r="J209" s="73"/>
      <c r="K209" s="71">
        <f>SUM(K205:K208)</f>
        <v>26.689999999999998</v>
      </c>
      <c r="L209" s="74">
        <f t="shared" si="54"/>
        <v>0.44000000000000128</v>
      </c>
      <c r="M209" s="75">
        <f>IF((H209)=0,"",(L209/H209))</f>
        <v>1.6761904761904815E-2</v>
      </c>
    </row>
    <row r="210" spans="1:16" x14ac:dyDescent="0.2">
      <c r="A210" s="3" t="str">
        <f t="shared" si="57"/>
        <v>UNMETERED SCATTERED LOAD SERVICE CLASSIFICATION</v>
      </c>
      <c r="C210" s="51"/>
      <c r="D210" s="76" t="s">
        <v>65</v>
      </c>
      <c r="E210" s="53"/>
      <c r="F210" s="62">
        <f>IF((E196*12&gt;=150000), 0, IF(E195="RPP",(F225*0.64+F226*0.18+F227*0.18),IF(E195="Non-RPP (Retailer)",F228,F229)))</f>
        <v>0.10214000000000001</v>
      </c>
      <c r="G210" s="77">
        <f>IF(F210=0, 0, $E196*E198-E196)</f>
        <v>34.110000000000014</v>
      </c>
      <c r="H210" s="56">
        <f>G210*F210</f>
        <v>3.4839954000000017</v>
      </c>
      <c r="I210" s="78">
        <f>IF((E196*12&gt;=150000), 0, IF(E195="RPP",(I225*0.64+I226*0.18+I227*0.18),IF(E195="Non-RPP (Retailer)",I228,I229)))</f>
        <v>0.10214000000000001</v>
      </c>
      <c r="J210" s="77">
        <f>IF(I210=0, 0, E196*E199-E196)</f>
        <v>34.110000000000014</v>
      </c>
      <c r="K210" s="56">
        <f>J210*I210</f>
        <v>3.4839954000000017</v>
      </c>
      <c r="L210" s="60">
        <f>K210-H210</f>
        <v>0</v>
      </c>
      <c r="M210" s="61">
        <f>IF(ISERROR(L210/H210), "", L210/H210)</f>
        <v>0</v>
      </c>
    </row>
    <row r="211" spans="1:16" ht="25.5" x14ac:dyDescent="0.25">
      <c r="A211" s="3" t="str">
        <f t="shared" si="57"/>
        <v>UNMETERED SCATTERED LOAD SERVICE CLASSIFICATION</v>
      </c>
      <c r="C211" s="51"/>
      <c r="D211" s="76" t="s">
        <v>103</v>
      </c>
      <c r="E211" s="53"/>
      <c r="F211" s="62">
        <v>1E-4</v>
      </c>
      <c r="G211" s="79">
        <f>IF($E197&gt;0, $E197, $E196)</f>
        <v>900</v>
      </c>
      <c r="H211" s="56">
        <f t="shared" si="55"/>
        <v>9.0000000000000011E-2</v>
      </c>
      <c r="I211" s="85">
        <f>-0.0037+(-0.001-0.0004+0.001+0.0004)</f>
        <v>-3.7000000000000002E-3</v>
      </c>
      <c r="J211" s="79">
        <f>IF($E197&gt;0, $E197, $E196)</f>
        <v>900</v>
      </c>
      <c r="K211" s="56">
        <f t="shared" si="58"/>
        <v>-3.33</v>
      </c>
      <c r="L211" s="60">
        <f t="shared" si="54"/>
        <v>-3.42</v>
      </c>
      <c r="M211" s="166">
        <f t="shared" si="56"/>
        <v>-37.999999999999993</v>
      </c>
      <c r="O211" s="199"/>
      <c r="P211" s="198"/>
    </row>
    <row r="212" spans="1:16" ht="15" x14ac:dyDescent="0.25">
      <c r="C212" s="51"/>
      <c r="D212" s="80" t="s">
        <v>66</v>
      </c>
      <c r="E212" s="81"/>
      <c r="F212" s="82">
        <v>0</v>
      </c>
      <c r="G212" s="83">
        <f>G211</f>
        <v>900</v>
      </c>
      <c r="H212" s="84">
        <f t="shared" si="55"/>
        <v>0</v>
      </c>
      <c r="I212" s="85">
        <v>0</v>
      </c>
      <c r="J212" s="83">
        <f>J211</f>
        <v>900</v>
      </c>
      <c r="K212" s="84">
        <f t="shared" si="58"/>
        <v>0</v>
      </c>
      <c r="L212" s="145">
        <f t="shared" si="54"/>
        <v>0</v>
      </c>
      <c r="M212" s="146" t="str">
        <f t="shared" si="56"/>
        <v/>
      </c>
      <c r="O212" s="198"/>
      <c r="P212" s="198"/>
    </row>
    <row r="213" spans="1:16" ht="15" x14ac:dyDescent="0.25">
      <c r="C213" s="51"/>
      <c r="D213" s="80" t="s">
        <v>102</v>
      </c>
      <c r="E213" s="81"/>
      <c r="F213" s="82"/>
      <c r="G213" s="83"/>
      <c r="H213" s="84"/>
      <c r="I213" s="85">
        <f>CL29</f>
        <v>-2.0183759213232783E-3</v>
      </c>
      <c r="J213" s="83">
        <f>J212</f>
        <v>900</v>
      </c>
      <c r="K213" s="84">
        <f t="shared" ref="K213" si="59">J213*I213</f>
        <v>-1.8165383291909505</v>
      </c>
      <c r="L213" s="145">
        <f t="shared" ref="L213" si="60">K213-H213</f>
        <v>-1.8165383291909505</v>
      </c>
      <c r="M213" s="146" t="str">
        <f t="shared" ref="M213" si="61">IF(ISERROR(L213/H213), "", L213/H213)</f>
        <v/>
      </c>
      <c r="O213" s="198"/>
      <c r="P213" s="198"/>
    </row>
    <row r="214" spans="1:16" x14ac:dyDescent="0.2">
      <c r="A214" s="3" t="str">
        <f>A211</f>
        <v>UNMETERED SCATTERED LOAD SERVICE CLASSIFICATION</v>
      </c>
      <c r="C214" s="51"/>
      <c r="D214" s="91" t="s">
        <v>67</v>
      </c>
      <c r="E214" s="53"/>
      <c r="F214" s="62"/>
      <c r="G214" s="79">
        <f>IF($E197&gt;0, $E197, $E196)</f>
        <v>900</v>
      </c>
      <c r="H214" s="56">
        <f t="shared" si="55"/>
        <v>0</v>
      </c>
      <c r="I214" s="78"/>
      <c r="J214" s="79">
        <f>IF($E197&gt;0, $E197, $E196)</f>
        <v>900</v>
      </c>
      <c r="K214" s="56">
        <f t="shared" si="58"/>
        <v>0</v>
      </c>
      <c r="L214" s="60">
        <f t="shared" si="54"/>
        <v>0</v>
      </c>
      <c r="M214" s="61" t="str">
        <f t="shared" si="56"/>
        <v/>
      </c>
    </row>
    <row r="215" spans="1:16" x14ac:dyDescent="0.2">
      <c r="A215" s="3" t="str">
        <f t="shared" si="57"/>
        <v>UNMETERED SCATTERED LOAD SERVICE CLASSIFICATION</v>
      </c>
      <c r="C215" s="51"/>
      <c r="D215" s="91" t="s">
        <v>68</v>
      </c>
      <c r="E215" s="53"/>
      <c r="F215" s="62">
        <f>IF(OR(ISNUMBER(SEARCH("RESIDENTIAL", E194))=TRUE, ISNUMBER(SEARCH("GENERAL SERVICE LESS THAN 50", E194))=TRUE), 0.79, 0)</f>
        <v>0</v>
      </c>
      <c r="G215" s="55">
        <v>1</v>
      </c>
      <c r="H215" s="56">
        <f>G215*F215</f>
        <v>0</v>
      </c>
      <c r="I215" s="78">
        <f>IF(OR(ISNUMBER(SEARCH("RESIDENTIAL", E194))=TRUE, ISNUMBER(SEARCH("GENERAL SERVICE LESS THAN 50", E194))=TRUE), 0.79, 0)</f>
        <v>0</v>
      </c>
      <c r="J215" s="55">
        <v>1</v>
      </c>
      <c r="K215" s="56">
        <f>J215*I215</f>
        <v>0</v>
      </c>
      <c r="L215" s="60">
        <f t="shared" si="54"/>
        <v>0</v>
      </c>
      <c r="M215" s="61" t="str">
        <f>IF(ISERROR(L215/H215), "", L215/H215)</f>
        <v/>
      </c>
    </row>
    <row r="216" spans="1:16" ht="25.5" x14ac:dyDescent="0.2">
      <c r="A216" s="3" t="str">
        <f t="shared" si="57"/>
        <v>UNMETERED SCATTERED LOAD SERVICE CLASSIFICATION</v>
      </c>
      <c r="B216" s="34" t="s">
        <v>69</v>
      </c>
      <c r="C216" s="51">
        <f>B6</f>
        <v>4</v>
      </c>
      <c r="D216" s="92" t="s">
        <v>70</v>
      </c>
      <c r="E216" s="93"/>
      <c r="F216" s="94"/>
      <c r="G216" s="70"/>
      <c r="H216" s="95">
        <f>SUM(H209:H215)</f>
        <v>29.823995399999998</v>
      </c>
      <c r="I216" s="96"/>
      <c r="J216" s="73"/>
      <c r="K216" s="95">
        <f>SUM(K209:K215)</f>
        <v>25.027457070809046</v>
      </c>
      <c r="L216" s="74">
        <f t="shared" si="54"/>
        <v>-4.7965383291909518</v>
      </c>
      <c r="M216" s="75">
        <f>IF((H216)=0,"",(L216/H216))</f>
        <v>-0.16082816084363238</v>
      </c>
    </row>
    <row r="217" spans="1:16" x14ac:dyDescent="0.2">
      <c r="A217" s="3" t="str">
        <f t="shared" si="57"/>
        <v>UNMETERED SCATTERED LOAD SERVICE CLASSIFICATION</v>
      </c>
      <c r="C217" s="51"/>
      <c r="D217" s="97" t="s">
        <v>71</v>
      </c>
      <c r="E217" s="53"/>
      <c r="F217" s="62">
        <v>6.8999999999999999E-3</v>
      </c>
      <c r="G217" s="77">
        <f>IF($E197&gt;0, $E197, $E196*$E198)</f>
        <v>934.11</v>
      </c>
      <c r="H217" s="56">
        <f>G217*F217</f>
        <v>6.4453589999999998</v>
      </c>
      <c r="I217" s="78">
        <v>6.7999999999999996E-3</v>
      </c>
      <c r="J217" s="77">
        <f>IF($E197&gt;0, $E197, $E196*$E199)</f>
        <v>934.11</v>
      </c>
      <c r="K217" s="56">
        <f>J217*I217</f>
        <v>6.3519480000000001</v>
      </c>
      <c r="L217" s="60">
        <f t="shared" si="54"/>
        <v>-9.3410999999999689E-2</v>
      </c>
      <c r="M217" s="61">
        <f>IF(ISERROR(L217/H217), "", L217/H217)</f>
        <v>-1.4492753623188357E-2</v>
      </c>
    </row>
    <row r="218" spans="1:16" ht="25.5" x14ac:dyDescent="0.2">
      <c r="A218" s="3" t="str">
        <f t="shared" si="57"/>
        <v>UNMETERED SCATTERED LOAD SERVICE CLASSIFICATION</v>
      </c>
      <c r="C218" s="51"/>
      <c r="D218" s="98" t="s">
        <v>72</v>
      </c>
      <c r="E218" s="53"/>
      <c r="F218" s="62">
        <v>1.4E-3</v>
      </c>
      <c r="G218" s="77">
        <f>IF($E197&gt;0, $E197, $E196*$E198)</f>
        <v>934.11</v>
      </c>
      <c r="H218" s="56">
        <f>G218*F218</f>
        <v>1.3077540000000001</v>
      </c>
      <c r="I218" s="78">
        <v>1.5E-3</v>
      </c>
      <c r="J218" s="77">
        <f>IF($E197&gt;0, $E197, $E196*$E199)</f>
        <v>934.11</v>
      </c>
      <c r="K218" s="56">
        <f>J218*I218</f>
        <v>1.401165</v>
      </c>
      <c r="L218" s="60">
        <f t="shared" si="54"/>
        <v>9.3410999999999911E-2</v>
      </c>
      <c r="M218" s="61">
        <f>IF(ISERROR(L218/H218), "", L218/H218)</f>
        <v>7.1428571428571355E-2</v>
      </c>
    </row>
    <row r="219" spans="1:16" ht="25.5" x14ac:dyDescent="0.2">
      <c r="A219" s="3" t="str">
        <f t="shared" si="57"/>
        <v>UNMETERED SCATTERED LOAD SERVICE CLASSIFICATION</v>
      </c>
      <c r="B219" s="34" t="s">
        <v>73</v>
      </c>
      <c r="C219" s="51">
        <f>B6</f>
        <v>4</v>
      </c>
      <c r="D219" s="92" t="s">
        <v>74</v>
      </c>
      <c r="E219" s="68"/>
      <c r="F219" s="94"/>
      <c r="G219" s="70"/>
      <c r="H219" s="95">
        <f>SUM(H216:H218)</f>
        <v>37.5771084</v>
      </c>
      <c r="I219" s="96"/>
      <c r="J219" s="99"/>
      <c r="K219" s="95">
        <f>SUM(K216:K218)</f>
        <v>32.780570070809048</v>
      </c>
      <c r="L219" s="74">
        <f t="shared" si="54"/>
        <v>-4.7965383291909518</v>
      </c>
      <c r="M219" s="75">
        <f>IF((H219)=0,"",(L219/H219))</f>
        <v>-0.12764522161026504</v>
      </c>
    </row>
    <row r="220" spans="1:16" ht="25.5" x14ac:dyDescent="0.2">
      <c r="A220" s="3" t="str">
        <f>A219</f>
        <v>UNMETERED SCATTERED LOAD SERVICE CLASSIFICATION</v>
      </c>
      <c r="C220" s="51"/>
      <c r="D220" s="100" t="s">
        <v>75</v>
      </c>
      <c r="E220" s="53"/>
      <c r="F220" s="62">
        <v>4.4000000000000003E-3</v>
      </c>
      <c r="G220" s="77">
        <f>E196*E198</f>
        <v>934.11</v>
      </c>
      <c r="H220" s="101">
        <f t="shared" ref="H220:H227" si="62">G220*F220</f>
        <v>4.1100840000000005</v>
      </c>
      <c r="I220" s="102">
        <v>3.5999999999999999E-3</v>
      </c>
      <c r="J220" s="77">
        <f>E196*E199</f>
        <v>934.11</v>
      </c>
      <c r="K220" s="101">
        <f t="shared" ref="K220:K227" si="63">J220*I220</f>
        <v>3.3627959999999999</v>
      </c>
      <c r="L220" s="60">
        <f t="shared" si="54"/>
        <v>-0.74728800000000062</v>
      </c>
      <c r="M220" s="61">
        <f>IF(ISERROR(L220/H220), "", L220/H220)</f>
        <v>-0.18181818181818193</v>
      </c>
    </row>
    <row r="221" spans="1:16" ht="25.5" x14ac:dyDescent="0.2">
      <c r="A221" s="3" t="str">
        <f>A220</f>
        <v>UNMETERED SCATTERED LOAD SERVICE CLASSIFICATION</v>
      </c>
      <c r="C221" s="51"/>
      <c r="D221" s="100" t="s">
        <v>76</v>
      </c>
      <c r="E221" s="53"/>
      <c r="F221" s="62">
        <v>1.2999999999999999E-3</v>
      </c>
      <c r="G221" s="77">
        <f>E196*E198</f>
        <v>934.11</v>
      </c>
      <c r="H221" s="101">
        <f t="shared" si="62"/>
        <v>1.214343</v>
      </c>
      <c r="I221" s="78">
        <v>1.2999999999999999E-3</v>
      </c>
      <c r="J221" s="77">
        <f>E196*E199</f>
        <v>934.11</v>
      </c>
      <c r="K221" s="101">
        <f t="shared" si="63"/>
        <v>1.214343</v>
      </c>
      <c r="L221" s="60">
        <f t="shared" si="54"/>
        <v>0</v>
      </c>
      <c r="M221" s="61">
        <f>IF(ISERROR(L221/H221), "", L221/H221)</f>
        <v>0</v>
      </c>
    </row>
    <row r="222" spans="1:16" x14ac:dyDescent="0.2">
      <c r="A222" s="3" t="str">
        <f>A221</f>
        <v>UNMETERED SCATTERED LOAD SERVICE CLASSIFICATION</v>
      </c>
      <c r="C222" s="51"/>
      <c r="D222" s="103" t="s">
        <v>77</v>
      </c>
      <c r="E222" s="53"/>
      <c r="F222" s="62">
        <v>0.25</v>
      </c>
      <c r="G222" s="55">
        <v>1</v>
      </c>
      <c r="H222" s="101">
        <f t="shared" si="62"/>
        <v>0.25</v>
      </c>
      <c r="I222" s="104">
        <v>0.25</v>
      </c>
      <c r="J222" s="58">
        <v>1</v>
      </c>
      <c r="K222" s="101">
        <f t="shared" si="63"/>
        <v>0.25</v>
      </c>
      <c r="L222" s="60">
        <f t="shared" si="54"/>
        <v>0</v>
      </c>
      <c r="M222" s="61">
        <f>IF(ISERROR(L222/H222), "", L222/H222)</f>
        <v>0</v>
      </c>
    </row>
    <row r="223" spans="1:16" x14ac:dyDescent="0.2">
      <c r="A223" s="3" t="str">
        <f>A222</f>
        <v>UNMETERED SCATTERED LOAD SERVICE CLASSIFICATION</v>
      </c>
      <c r="C223" s="51"/>
      <c r="D223" s="103" t="s">
        <v>78</v>
      </c>
      <c r="E223" s="53"/>
      <c r="F223" s="62">
        <v>7.0000000000000001E-3</v>
      </c>
      <c r="G223" s="79">
        <f>E196</f>
        <v>900</v>
      </c>
      <c r="H223" s="101">
        <f t="shared" si="62"/>
        <v>6.3</v>
      </c>
      <c r="I223" s="105">
        <f>IF(ISERROR(FIND("RESIDENTIAL", UPPER(E194))), 0.007, 0)</f>
        <v>7.0000000000000001E-3</v>
      </c>
      <c r="J223" s="79">
        <f>E196</f>
        <v>900</v>
      </c>
      <c r="K223" s="101">
        <f t="shared" si="63"/>
        <v>6.3</v>
      </c>
      <c r="L223" s="60">
        <f t="shared" si="54"/>
        <v>0</v>
      </c>
      <c r="M223" s="61">
        <f>IF(ISERROR(L223/H223), "", L223/H223)</f>
        <v>0</v>
      </c>
    </row>
    <row r="224" spans="1:16" ht="25.5" x14ac:dyDescent="0.2">
      <c r="A224" s="3" t="str">
        <f>A223</f>
        <v>UNMETERED SCATTERED LOAD SERVICE CLASSIFICATION</v>
      </c>
      <c r="C224" s="51"/>
      <c r="D224" s="100" t="s">
        <v>79</v>
      </c>
      <c r="E224" s="53"/>
      <c r="F224" s="106"/>
      <c r="G224" s="107"/>
      <c r="H224" s="107"/>
      <c r="I224" s="102">
        <v>1.1000000000000001E-3</v>
      </c>
      <c r="J224" s="77">
        <f>E196*E199</f>
        <v>934.11</v>
      </c>
      <c r="K224" s="101">
        <f>J224*I224</f>
        <v>1.0275210000000001</v>
      </c>
      <c r="L224" s="60">
        <f t="shared" si="54"/>
        <v>1.0275210000000001</v>
      </c>
      <c r="M224" s="107"/>
    </row>
    <row r="225" spans="1:13" x14ac:dyDescent="0.2">
      <c r="A225" s="3" t="str">
        <f>A223</f>
        <v>UNMETERED SCATTERED LOAD SERVICE CLASSIFICATION</v>
      </c>
      <c r="B225" s="34" t="s">
        <v>12</v>
      </c>
      <c r="C225" s="51"/>
      <c r="D225" s="109" t="s">
        <v>80</v>
      </c>
      <c r="E225" s="53"/>
      <c r="F225" s="110">
        <v>0.08</v>
      </c>
      <c r="G225" s="111">
        <f>IF(AND(E196*12&gt;=150000),0.64*E196*E198,0.64*E196)</f>
        <v>576</v>
      </c>
      <c r="H225" s="101">
        <f t="shared" si="62"/>
        <v>46.08</v>
      </c>
      <c r="I225" s="63">
        <v>0.08</v>
      </c>
      <c r="J225" s="111">
        <f>IF(AND(E196*12&gt;=150000),0.64*E196*E199,0.64*E196)</f>
        <v>576</v>
      </c>
      <c r="K225" s="101">
        <f t="shared" si="63"/>
        <v>46.08</v>
      </c>
      <c r="L225" s="60">
        <f t="shared" si="54"/>
        <v>0</v>
      </c>
      <c r="M225" s="61">
        <f>IF(ISERROR(L225/H225), "", L225/H225)</f>
        <v>0</v>
      </c>
    </row>
    <row r="226" spans="1:13" x14ac:dyDescent="0.2">
      <c r="A226" s="3" t="str">
        <f t="shared" ref="A226:A248" si="64">A225</f>
        <v>UNMETERED SCATTERED LOAD SERVICE CLASSIFICATION</v>
      </c>
      <c r="B226" s="34" t="s">
        <v>12</v>
      </c>
      <c r="C226" s="51"/>
      <c r="D226" s="109" t="s">
        <v>81</v>
      </c>
      <c r="E226" s="53"/>
      <c r="F226" s="110">
        <v>0.122</v>
      </c>
      <c r="G226" s="111">
        <f>IF(AND(E196*12&gt;=150000),0.18*E196*E198,0.18*E196)</f>
        <v>162</v>
      </c>
      <c r="H226" s="101">
        <f t="shared" si="62"/>
        <v>19.763999999999999</v>
      </c>
      <c r="I226" s="63">
        <v>0.122</v>
      </c>
      <c r="J226" s="111">
        <f>IF(AND(E196*12&gt;=150000),0.18*E196*E199,0.18*E196)</f>
        <v>162</v>
      </c>
      <c r="K226" s="101">
        <f t="shared" si="63"/>
        <v>19.763999999999999</v>
      </c>
      <c r="L226" s="60">
        <f t="shared" si="54"/>
        <v>0</v>
      </c>
      <c r="M226" s="61">
        <f>IF(ISERROR(L226/H226), "", L226/H226)</f>
        <v>0</v>
      </c>
    </row>
    <row r="227" spans="1:13" x14ac:dyDescent="0.2">
      <c r="A227" s="3" t="str">
        <f t="shared" si="64"/>
        <v>UNMETERED SCATTERED LOAD SERVICE CLASSIFICATION</v>
      </c>
      <c r="B227" s="34" t="s">
        <v>12</v>
      </c>
      <c r="C227" s="51"/>
      <c r="D227" s="34" t="s">
        <v>82</v>
      </c>
      <c r="E227" s="53"/>
      <c r="F227" s="110">
        <v>0.161</v>
      </c>
      <c r="G227" s="111">
        <f>IF(AND(E196*12&gt;=150000),0.18*E196*E198,0.18*E196)</f>
        <v>162</v>
      </c>
      <c r="H227" s="101">
        <f t="shared" si="62"/>
        <v>26.082000000000001</v>
      </c>
      <c r="I227" s="63">
        <v>0.161</v>
      </c>
      <c r="J227" s="111">
        <f>IF(AND(E196*12&gt;=150000),0.18*E196*E199,0.18*E196)</f>
        <v>162</v>
      </c>
      <c r="K227" s="101">
        <f t="shared" si="63"/>
        <v>26.082000000000001</v>
      </c>
      <c r="L227" s="60">
        <f t="shared" si="54"/>
        <v>0</v>
      </c>
      <c r="M227" s="61">
        <f>IF(ISERROR(L227/H227), "", L227/H227)</f>
        <v>0</v>
      </c>
    </row>
    <row r="228" spans="1:13" x14ac:dyDescent="0.2">
      <c r="A228" s="3" t="str">
        <f t="shared" si="64"/>
        <v>UNMETERED SCATTERED LOAD SERVICE CLASSIFICATION</v>
      </c>
      <c r="B228" s="3" t="s">
        <v>24</v>
      </c>
      <c r="C228" s="51"/>
      <c r="D228" s="109" t="s">
        <v>83</v>
      </c>
      <c r="E228" s="53"/>
      <c r="F228" s="112"/>
      <c r="G228" s="111"/>
      <c r="H228" s="101">
        <f>G228*F228</f>
        <v>0</v>
      </c>
      <c r="I228" s="63">
        <f>F228</f>
        <v>0</v>
      </c>
      <c r="J228" s="111"/>
      <c r="K228" s="101">
        <f>J228*I228</f>
        <v>0</v>
      </c>
      <c r="L228" s="60">
        <f t="shared" si="54"/>
        <v>0</v>
      </c>
      <c r="M228" s="61" t="str">
        <f>IF(ISERROR(L228/H228), "", L228/H228)</f>
        <v/>
      </c>
    </row>
    <row r="229" spans="1:13" ht="13.5" thickBot="1" x14ac:dyDescent="0.25">
      <c r="A229" s="3" t="str">
        <f t="shared" si="64"/>
        <v>UNMETERED SCATTERED LOAD SERVICE CLASSIFICATION</v>
      </c>
      <c r="B229" s="3" t="s">
        <v>18</v>
      </c>
      <c r="C229" s="51"/>
      <c r="D229" s="109" t="s">
        <v>84</v>
      </c>
      <c r="E229" s="53"/>
      <c r="F229" s="112"/>
      <c r="G229" s="111"/>
      <c r="H229" s="101">
        <f>G229*F229</f>
        <v>0</v>
      </c>
      <c r="I229" s="113">
        <f>F229</f>
        <v>0</v>
      </c>
      <c r="J229" s="111"/>
      <c r="K229" s="101">
        <f>J229*I229</f>
        <v>0</v>
      </c>
      <c r="L229" s="60">
        <f t="shared" si="54"/>
        <v>0</v>
      </c>
      <c r="M229" s="61" t="str">
        <f>IF(ISERROR(L229/H229), "", L229/H229)</f>
        <v/>
      </c>
    </row>
    <row r="230" spans="1:13" ht="13.5" thickBot="1" x14ac:dyDescent="0.25">
      <c r="A230" s="3" t="str">
        <f t="shared" si="64"/>
        <v>UNMETERED SCATTERED LOAD SERVICE CLASSIFICATION</v>
      </c>
      <c r="B230" s="34"/>
      <c r="C230" s="51"/>
      <c r="D230" s="114"/>
      <c r="E230" s="115"/>
      <c r="F230" s="116"/>
      <c r="G230" s="117"/>
      <c r="H230" s="118"/>
      <c r="I230" s="116"/>
      <c r="J230" s="119"/>
      <c r="K230" s="118"/>
      <c r="L230" s="120"/>
      <c r="M230" s="121"/>
    </row>
    <row r="231" spans="1:13" x14ac:dyDescent="0.2">
      <c r="A231" s="3" t="str">
        <f t="shared" si="64"/>
        <v>UNMETERED SCATTERED LOAD SERVICE CLASSIFICATION</v>
      </c>
      <c r="B231" s="34" t="s">
        <v>12</v>
      </c>
      <c r="C231" s="51"/>
      <c r="D231" s="122" t="s">
        <v>85</v>
      </c>
      <c r="E231" s="103"/>
      <c r="F231" s="123"/>
      <c r="G231" s="124"/>
      <c r="H231" s="125">
        <f>SUM(H220:H227,H219)</f>
        <v>141.3775354</v>
      </c>
      <c r="I231" s="126"/>
      <c r="J231" s="126"/>
      <c r="K231" s="125">
        <f>SUM(K220:K227,K219)</f>
        <v>136.86123007080903</v>
      </c>
      <c r="L231" s="127">
        <f>K231-H231</f>
        <v>-4.5163053291909705</v>
      </c>
      <c r="M231" s="128">
        <f>IF((H231)=0,"",(L231/H231))</f>
        <v>-3.1944999722996803E-2</v>
      </c>
    </row>
    <row r="232" spans="1:13" x14ac:dyDescent="0.2">
      <c r="A232" s="3" t="str">
        <f t="shared" si="64"/>
        <v>UNMETERED SCATTERED LOAD SERVICE CLASSIFICATION</v>
      </c>
      <c r="B232" s="34" t="s">
        <v>12</v>
      </c>
      <c r="C232" s="51"/>
      <c r="D232" s="129" t="s">
        <v>86</v>
      </c>
      <c r="E232" s="103"/>
      <c r="F232" s="123">
        <v>0.13</v>
      </c>
      <c r="G232" s="130"/>
      <c r="H232" s="131">
        <f>H231*F232</f>
        <v>18.379079602000001</v>
      </c>
      <c r="I232" s="132">
        <v>0.13</v>
      </c>
      <c r="J232" s="55"/>
      <c r="K232" s="131">
        <f>K231*I232</f>
        <v>17.791959909205175</v>
      </c>
      <c r="L232" s="133">
        <f>K232-H232</f>
        <v>-0.58711969279482545</v>
      </c>
      <c r="M232" s="134">
        <f>IF((H232)=0,"",(L232/H232))</f>
        <v>-3.1944999722996761E-2</v>
      </c>
    </row>
    <row r="233" spans="1:13" x14ac:dyDescent="0.2">
      <c r="A233" s="3" t="str">
        <f t="shared" si="64"/>
        <v>UNMETERED SCATTERED LOAD SERVICE CLASSIFICATION</v>
      </c>
      <c r="B233" s="34" t="s">
        <v>12</v>
      </c>
      <c r="C233" s="51"/>
      <c r="D233" s="135" t="s">
        <v>87</v>
      </c>
      <c r="E233" s="103"/>
      <c r="F233" s="136"/>
      <c r="G233" s="130"/>
      <c r="H233" s="131">
        <f>H231+H232</f>
        <v>159.75661500199999</v>
      </c>
      <c r="I233" s="55"/>
      <c r="J233" s="55"/>
      <c r="K233" s="131">
        <f>K231+K232</f>
        <v>154.65318998001419</v>
      </c>
      <c r="L233" s="133">
        <f>K233-H233</f>
        <v>-5.1034250219857995</v>
      </c>
      <c r="M233" s="134">
        <f>IF((H233)=0,"",(L233/H233))</f>
        <v>-3.1944999722996824E-2</v>
      </c>
    </row>
    <row r="234" spans="1:13" x14ac:dyDescent="0.2">
      <c r="A234" s="3" t="str">
        <f t="shared" si="64"/>
        <v>UNMETERED SCATTERED LOAD SERVICE CLASSIFICATION</v>
      </c>
      <c r="B234" s="34" t="s">
        <v>12</v>
      </c>
      <c r="C234" s="51"/>
      <c r="D234" s="208" t="s">
        <v>88</v>
      </c>
      <c r="E234" s="208"/>
      <c r="F234" s="136"/>
      <c r="G234" s="130"/>
      <c r="H234" s="137">
        <f>ROUND(-H233*10%,2)</f>
        <v>-15.98</v>
      </c>
      <c r="I234" s="107"/>
      <c r="J234" s="107"/>
      <c r="K234" s="107"/>
      <c r="L234" s="133">
        <f>K234-H234</f>
        <v>15.98</v>
      </c>
      <c r="M234" s="134">
        <f>IF((H234)=0,"",(L234/H234))</f>
        <v>-1</v>
      </c>
    </row>
    <row r="235" spans="1:13" ht="13.5" thickBot="1" x14ac:dyDescent="0.25">
      <c r="A235" s="3" t="str">
        <f t="shared" si="64"/>
        <v>UNMETERED SCATTERED LOAD SERVICE CLASSIFICATION</v>
      </c>
      <c r="B235" s="34" t="s">
        <v>89</v>
      </c>
      <c r="C235" s="51">
        <f>B6</f>
        <v>4</v>
      </c>
      <c r="D235" s="209" t="s">
        <v>90</v>
      </c>
      <c r="E235" s="209"/>
      <c r="F235" s="138"/>
      <c r="G235" s="139"/>
      <c r="H235" s="140">
        <f>H233+H234</f>
        <v>143.776615002</v>
      </c>
      <c r="I235" s="141"/>
      <c r="J235" s="141"/>
      <c r="K235" s="140">
        <f>K233+K234</f>
        <v>154.65318998001419</v>
      </c>
      <c r="L235" s="142">
        <f>K235-H235</f>
        <v>10.87657497801419</v>
      </c>
      <c r="M235" s="143">
        <f>IF((H235)=0,"",(L235/H235))</f>
        <v>7.5649124009929514E-2</v>
      </c>
    </row>
    <row r="236" spans="1:13" ht="13.5" thickBot="1" x14ac:dyDescent="0.25">
      <c r="A236" s="3" t="str">
        <f t="shared" si="64"/>
        <v>UNMETERED SCATTERED LOAD SERVICE CLASSIFICATION</v>
      </c>
      <c r="B236" s="3" t="s">
        <v>12</v>
      </c>
      <c r="C236" s="51"/>
      <c r="D236" s="114"/>
      <c r="E236" s="115"/>
      <c r="F236" s="116"/>
      <c r="G236" s="117"/>
      <c r="H236" s="118"/>
      <c r="I236" s="116"/>
      <c r="J236" s="119"/>
      <c r="K236" s="118"/>
      <c r="L236" s="120"/>
      <c r="M236" s="121"/>
    </row>
    <row r="237" spans="1:13" hidden="1" x14ac:dyDescent="0.2">
      <c r="A237" s="3" t="str">
        <f t="shared" si="64"/>
        <v>UNMETERED SCATTERED LOAD SERVICE CLASSIFICATION</v>
      </c>
      <c r="B237" s="3" t="s">
        <v>24</v>
      </c>
      <c r="C237" s="51"/>
      <c r="D237" s="122" t="s">
        <v>92</v>
      </c>
      <c r="E237" s="103"/>
      <c r="F237" s="123"/>
      <c r="G237" s="123"/>
      <c r="H237" s="123"/>
      <c r="I237" s="123"/>
      <c r="J237" s="123"/>
      <c r="K237" s="123"/>
      <c r="L237" s="123"/>
      <c r="M237" s="123"/>
    </row>
    <row r="238" spans="1:13" hidden="1" x14ac:dyDescent="0.2">
      <c r="A238" s="3" t="str">
        <f t="shared" si="64"/>
        <v>UNMETERED SCATTERED LOAD SERVICE CLASSIFICATION</v>
      </c>
      <c r="B238" s="3" t="s">
        <v>24</v>
      </c>
      <c r="C238" s="51"/>
      <c r="D238" s="129" t="s">
        <v>86</v>
      </c>
      <c r="E238" s="103"/>
      <c r="F238" s="123"/>
      <c r="G238" s="123"/>
      <c r="H238" s="123"/>
      <c r="I238" s="123"/>
      <c r="J238" s="123"/>
      <c r="K238" s="123"/>
      <c r="L238" s="123"/>
      <c r="M238" s="123"/>
    </row>
    <row r="239" spans="1:13" hidden="1" x14ac:dyDescent="0.2">
      <c r="A239" s="3" t="str">
        <f t="shared" si="64"/>
        <v>UNMETERED SCATTERED LOAD SERVICE CLASSIFICATION</v>
      </c>
      <c r="B239" s="3" t="s">
        <v>24</v>
      </c>
      <c r="C239" s="51"/>
      <c r="D239" s="135" t="s">
        <v>87</v>
      </c>
      <c r="E239" s="103"/>
      <c r="F239" s="123"/>
      <c r="G239" s="123"/>
      <c r="H239" s="123"/>
      <c r="I239" s="123"/>
      <c r="J239" s="123"/>
      <c r="K239" s="123"/>
      <c r="L239" s="123"/>
      <c r="M239" s="123"/>
    </row>
    <row r="240" spans="1:13" hidden="1" x14ac:dyDescent="0.2">
      <c r="A240" s="3" t="str">
        <f t="shared" si="64"/>
        <v>UNMETERED SCATTERED LOAD SERVICE CLASSIFICATION</v>
      </c>
      <c r="B240" s="3" t="s">
        <v>24</v>
      </c>
      <c r="C240" s="51"/>
      <c r="D240" s="208" t="s">
        <v>88</v>
      </c>
      <c r="E240" s="208"/>
      <c r="F240" s="123"/>
      <c r="G240" s="123"/>
      <c r="H240" s="123"/>
      <c r="I240" s="123"/>
      <c r="J240" s="123"/>
      <c r="K240" s="123"/>
      <c r="L240" s="123"/>
      <c r="M240" s="123"/>
    </row>
    <row r="241" spans="1:20" ht="13.5" hidden="1" thickBot="1" x14ac:dyDescent="0.25">
      <c r="A241" s="3" t="str">
        <f t="shared" si="64"/>
        <v>UNMETERED SCATTERED LOAD SERVICE CLASSIFICATION</v>
      </c>
      <c r="B241" s="3" t="s">
        <v>93</v>
      </c>
      <c r="C241" s="51"/>
      <c r="D241" s="209" t="s">
        <v>92</v>
      </c>
      <c r="E241" s="209"/>
      <c r="F241" s="123"/>
      <c r="G241" s="123"/>
      <c r="H241" s="123"/>
      <c r="I241" s="123"/>
      <c r="J241" s="123"/>
      <c r="K241" s="123"/>
      <c r="L241" s="123"/>
      <c r="M241" s="123"/>
    </row>
    <row r="242" spans="1:20" ht="13.5" hidden="1" thickBot="1" x14ac:dyDescent="0.25">
      <c r="A242" s="3" t="str">
        <f t="shared" si="64"/>
        <v>UNMETERED SCATTERED LOAD SERVICE CLASSIFICATION</v>
      </c>
      <c r="B242" s="3" t="s">
        <v>24</v>
      </c>
      <c r="C242" s="51"/>
      <c r="D242" s="114"/>
      <c r="E242" s="115"/>
      <c r="F242" s="150"/>
      <c r="G242" s="151"/>
      <c r="H242" s="152"/>
      <c r="I242" s="150"/>
      <c r="J242" s="117"/>
      <c r="K242" s="152"/>
      <c r="L242" s="153"/>
      <c r="M242" s="121"/>
    </row>
    <row r="243" spans="1:20" hidden="1" x14ac:dyDescent="0.2">
      <c r="A243" s="3" t="str">
        <f t="shared" si="64"/>
        <v>UNMETERED SCATTERED LOAD SERVICE CLASSIFICATION</v>
      </c>
      <c r="B243" s="3" t="s">
        <v>18</v>
      </c>
      <c r="C243" s="51"/>
      <c r="D243" s="122" t="s">
        <v>94</v>
      </c>
      <c r="E243" s="103"/>
      <c r="F243" s="123"/>
      <c r="G243" s="123"/>
      <c r="H243" s="123"/>
      <c r="I243" s="123"/>
      <c r="J243" s="123"/>
      <c r="K243" s="123"/>
      <c r="L243" s="123"/>
      <c r="M243" s="123"/>
    </row>
    <row r="244" spans="1:20" hidden="1" x14ac:dyDescent="0.2">
      <c r="A244" s="3" t="str">
        <f t="shared" si="64"/>
        <v>UNMETERED SCATTERED LOAD SERVICE CLASSIFICATION</v>
      </c>
      <c r="B244" s="3" t="s">
        <v>18</v>
      </c>
      <c r="C244" s="51"/>
      <c r="D244" s="129" t="s">
        <v>86</v>
      </c>
      <c r="E244" s="103"/>
      <c r="F244" s="123"/>
      <c r="G244" s="123"/>
      <c r="H244" s="123"/>
      <c r="I244" s="123"/>
      <c r="J244" s="123"/>
      <c r="K244" s="123"/>
      <c r="L244" s="123"/>
      <c r="M244" s="123"/>
    </row>
    <row r="245" spans="1:20" hidden="1" x14ac:dyDescent="0.2">
      <c r="A245" s="3" t="str">
        <f t="shared" si="64"/>
        <v>UNMETERED SCATTERED LOAD SERVICE CLASSIFICATION</v>
      </c>
      <c r="B245" s="3" t="s">
        <v>18</v>
      </c>
      <c r="C245" s="51"/>
      <c r="D245" s="135" t="s">
        <v>87</v>
      </c>
      <c r="E245" s="103"/>
      <c r="F245" s="123"/>
      <c r="G245" s="123"/>
      <c r="H245" s="123"/>
      <c r="I245" s="123"/>
      <c r="J245" s="123"/>
      <c r="K245" s="123"/>
      <c r="L245" s="123"/>
      <c r="M245" s="123"/>
    </row>
    <row r="246" spans="1:20" hidden="1" x14ac:dyDescent="0.2">
      <c r="A246" s="3" t="str">
        <f t="shared" si="64"/>
        <v>UNMETERED SCATTERED LOAD SERVICE CLASSIFICATION</v>
      </c>
      <c r="B246" s="3" t="s">
        <v>18</v>
      </c>
      <c r="C246" s="51"/>
      <c r="D246" s="208" t="s">
        <v>88</v>
      </c>
      <c r="E246" s="208"/>
      <c r="F246" s="123"/>
      <c r="G246" s="123"/>
      <c r="H246" s="123"/>
      <c r="I246" s="123"/>
      <c r="J246" s="123"/>
      <c r="K246" s="123"/>
      <c r="L246" s="123"/>
      <c r="M246" s="123"/>
    </row>
    <row r="247" spans="1:20" ht="13.5" hidden="1" thickBot="1" x14ac:dyDescent="0.25">
      <c r="A247" s="3" t="str">
        <f t="shared" si="64"/>
        <v>UNMETERED SCATTERED LOAD SERVICE CLASSIFICATION</v>
      </c>
      <c r="B247" s="3" t="s">
        <v>95</v>
      </c>
      <c r="C247" s="51"/>
      <c r="D247" s="209" t="s">
        <v>94</v>
      </c>
      <c r="E247" s="209"/>
      <c r="F247" s="123"/>
      <c r="G247" s="123"/>
      <c r="H247" s="123"/>
      <c r="I247" s="123"/>
      <c r="J247" s="123"/>
      <c r="K247" s="123"/>
      <c r="L247" s="123"/>
      <c r="M247" s="123"/>
    </row>
    <row r="248" spans="1:20" ht="13.5" hidden="1" thickBot="1" x14ac:dyDescent="0.25">
      <c r="A248" s="3" t="str">
        <f t="shared" si="64"/>
        <v>UNMETERED SCATTERED LOAD SERVICE CLASSIFICATION</v>
      </c>
      <c r="B248" s="3" t="s">
        <v>18</v>
      </c>
      <c r="C248" s="51"/>
      <c r="D248" s="114"/>
      <c r="E248" s="115"/>
      <c r="F248" s="160"/>
      <c r="G248" s="161"/>
      <c r="H248" s="162"/>
      <c r="I248" s="160"/>
      <c r="J248" s="163"/>
      <c r="K248" s="162"/>
      <c r="L248" s="164"/>
      <c r="M248" s="165"/>
    </row>
    <row r="250" spans="1:20" x14ac:dyDescent="0.2">
      <c r="D250" s="30" t="s">
        <v>42</v>
      </c>
      <c r="E250" s="210" t="str">
        <f>D7</f>
        <v>STREET LIGHTING SERVICE CLASSIFICATION</v>
      </c>
      <c r="F250" s="210"/>
      <c r="G250" s="210"/>
      <c r="H250" s="210"/>
      <c r="I250" s="210"/>
      <c r="J250" s="210"/>
      <c r="K250" s="3" t="str">
        <f>IF(N7="DEMAND - INTERVAL","RTSR - INTERVAL METERED","")</f>
        <v/>
      </c>
      <c r="T250" s="3" t="s">
        <v>43</v>
      </c>
    </row>
    <row r="251" spans="1:20" x14ac:dyDescent="0.2">
      <c r="D251" s="30" t="s">
        <v>44</v>
      </c>
      <c r="E251" s="212" t="str">
        <f>H7</f>
        <v>RPP</v>
      </c>
      <c r="F251" s="212"/>
      <c r="G251" s="212"/>
      <c r="H251" s="31"/>
      <c r="I251" s="31"/>
    </row>
    <row r="252" spans="1:20" ht="15.75" x14ac:dyDescent="0.2">
      <c r="D252" s="30" t="s">
        <v>45</v>
      </c>
      <c r="E252" s="32">
        <f>L7</f>
        <v>50</v>
      </c>
      <c r="F252" s="33" t="s">
        <v>11</v>
      </c>
      <c r="G252" s="34"/>
      <c r="J252" s="35"/>
      <c r="K252" s="35"/>
      <c r="L252" s="35"/>
      <c r="M252" s="35"/>
    </row>
    <row r="253" spans="1:20" ht="15.75" x14ac:dyDescent="0.25">
      <c r="D253" s="30" t="s">
        <v>46</v>
      </c>
      <c r="E253" s="167">
        <f>M7</f>
        <v>0.14000000000000001</v>
      </c>
      <c r="F253" s="36" t="s">
        <v>17</v>
      </c>
      <c r="G253" s="37"/>
      <c r="H253" s="38"/>
      <c r="I253" s="38"/>
      <c r="J253" s="38"/>
    </row>
    <row r="254" spans="1:20" x14ac:dyDescent="0.2">
      <c r="D254" s="30" t="s">
        <v>47</v>
      </c>
      <c r="E254" s="39">
        <f>J7</f>
        <v>1.0379</v>
      </c>
    </row>
    <row r="255" spans="1:20" x14ac:dyDescent="0.2">
      <c r="D255" s="30" t="s">
        <v>48</v>
      </c>
      <c r="E255" s="39">
        <f>K7</f>
        <v>1.0379</v>
      </c>
    </row>
    <row r="256" spans="1:20" x14ac:dyDescent="0.2">
      <c r="D256" s="33" t="s">
        <v>49</v>
      </c>
      <c r="E256" s="40" t="str">
        <f>I7</f>
        <v>Yes</v>
      </c>
    </row>
    <row r="257" spans="1:15" x14ac:dyDescent="0.2">
      <c r="D257" s="34"/>
    </row>
    <row r="258" spans="1:15" x14ac:dyDescent="0.2">
      <c r="D258" s="34"/>
      <c r="E258" s="41"/>
      <c r="F258" s="200" t="s">
        <v>50</v>
      </c>
      <c r="G258" s="213"/>
      <c r="H258" s="201"/>
      <c r="I258" s="200" t="s">
        <v>51</v>
      </c>
      <c r="J258" s="213"/>
      <c r="K258" s="201"/>
      <c r="L258" s="200" t="s">
        <v>52</v>
      </c>
      <c r="M258" s="201"/>
    </row>
    <row r="259" spans="1:15" x14ac:dyDescent="0.2">
      <c r="D259" s="34"/>
      <c r="E259" s="202"/>
      <c r="F259" s="42" t="s">
        <v>53</v>
      </c>
      <c r="G259" s="42" t="s">
        <v>54</v>
      </c>
      <c r="H259" s="43" t="s">
        <v>55</v>
      </c>
      <c r="I259" s="42" t="s">
        <v>53</v>
      </c>
      <c r="J259" s="144" t="s">
        <v>54</v>
      </c>
      <c r="K259" s="43" t="s">
        <v>55</v>
      </c>
      <c r="L259" s="204" t="s">
        <v>56</v>
      </c>
      <c r="M259" s="206" t="s">
        <v>57</v>
      </c>
    </row>
    <row r="260" spans="1:15" x14ac:dyDescent="0.2">
      <c r="D260" s="34"/>
      <c r="E260" s="203"/>
      <c r="F260" s="47" t="s">
        <v>58</v>
      </c>
      <c r="G260" s="47"/>
      <c r="H260" s="48" t="s">
        <v>58</v>
      </c>
      <c r="I260" s="47" t="s">
        <v>58</v>
      </c>
      <c r="J260" s="48"/>
      <c r="K260" s="48" t="s">
        <v>58</v>
      </c>
      <c r="L260" s="205"/>
      <c r="M260" s="207"/>
    </row>
    <row r="261" spans="1:15" x14ac:dyDescent="0.2">
      <c r="A261" s="3" t="str">
        <f>$E250</f>
        <v>STREET LIGHTING SERVICE CLASSIFICATION</v>
      </c>
      <c r="C261" s="51"/>
      <c r="D261" s="52" t="s">
        <v>59</v>
      </c>
      <c r="E261" s="53"/>
      <c r="F261" s="54">
        <v>7.52</v>
      </c>
      <c r="G261" s="55">
        <v>1</v>
      </c>
      <c r="H261" s="56">
        <f>G261*F261</f>
        <v>7.52</v>
      </c>
      <c r="I261" s="104">
        <v>7.62</v>
      </c>
      <c r="J261" s="58">
        <v>1</v>
      </c>
      <c r="K261" s="56">
        <f>J261*I261</f>
        <v>7.62</v>
      </c>
      <c r="L261" s="60">
        <f t="shared" ref="L261:L285" si="65">K261-H261</f>
        <v>0.10000000000000053</v>
      </c>
      <c r="M261" s="61">
        <f>IF(ISERROR(L261/H261), "", L261/H261)</f>
        <v>1.3297872340425603E-2</v>
      </c>
    </row>
    <row r="262" spans="1:15" x14ac:dyDescent="0.2">
      <c r="A262" s="3" t="str">
        <f>A261</f>
        <v>STREET LIGHTING SERVICE CLASSIFICATION</v>
      </c>
      <c r="C262" s="51"/>
      <c r="D262" s="52" t="s">
        <v>60</v>
      </c>
      <c r="E262" s="53"/>
      <c r="F262" s="62">
        <v>29.411200000000001</v>
      </c>
      <c r="G262" s="55">
        <f>IF($E253&gt;0, $E253, $E252)</f>
        <v>0.14000000000000001</v>
      </c>
      <c r="H262" s="56">
        <f t="shared" ref="H262:H270" si="66">G262*F262</f>
        <v>4.1175680000000003</v>
      </c>
      <c r="I262" s="78">
        <v>29.793500000000002</v>
      </c>
      <c r="J262" s="58">
        <f>IF($E253&gt;0, $E253, $E252)</f>
        <v>0.14000000000000001</v>
      </c>
      <c r="K262" s="56">
        <f>J262*I262</f>
        <v>4.1710900000000004</v>
      </c>
      <c r="L262" s="60">
        <f t="shared" si="65"/>
        <v>5.352200000000007E-2</v>
      </c>
      <c r="M262" s="61">
        <f t="shared" ref="M262:M270" si="67">IF(ISERROR(L262/H262), "", L262/H262)</f>
        <v>1.2998449570231765E-2</v>
      </c>
    </row>
    <row r="263" spans="1:15" x14ac:dyDescent="0.2">
      <c r="A263" s="3" t="str">
        <f t="shared" ref="A263:A275" si="68">A262</f>
        <v>STREET LIGHTING SERVICE CLASSIFICATION</v>
      </c>
      <c r="C263" s="51"/>
      <c r="D263" s="64" t="s">
        <v>61</v>
      </c>
      <c r="E263" s="53"/>
      <c r="F263" s="54">
        <v>0</v>
      </c>
      <c r="G263" s="55">
        <v>1</v>
      </c>
      <c r="H263" s="56">
        <f t="shared" si="66"/>
        <v>0</v>
      </c>
      <c r="I263" s="104">
        <v>0</v>
      </c>
      <c r="J263" s="58">
        <v>1</v>
      </c>
      <c r="K263" s="56">
        <f t="shared" ref="K263:K270" si="69">J263*I263</f>
        <v>0</v>
      </c>
      <c r="L263" s="60">
        <f t="shared" si="65"/>
        <v>0</v>
      </c>
      <c r="M263" s="61" t="str">
        <f t="shared" si="67"/>
        <v/>
      </c>
    </row>
    <row r="264" spans="1:15" x14ac:dyDescent="0.2">
      <c r="A264" s="3" t="str">
        <f t="shared" si="68"/>
        <v>STREET LIGHTING SERVICE CLASSIFICATION</v>
      </c>
      <c r="C264" s="51"/>
      <c r="D264" s="65" t="s">
        <v>62</v>
      </c>
      <c r="E264" s="53"/>
      <c r="F264" s="62">
        <v>0</v>
      </c>
      <c r="G264" s="55">
        <f>IF($E253&gt;0, $E253, $E252)</f>
        <v>0.14000000000000001</v>
      </c>
      <c r="H264" s="56">
        <f t="shared" si="66"/>
        <v>0</v>
      </c>
      <c r="I264" s="78">
        <v>0.41260000000000002</v>
      </c>
      <c r="J264" s="58">
        <f>IF($E253&gt;0, $E253, $E252)</f>
        <v>0.14000000000000001</v>
      </c>
      <c r="K264" s="56">
        <f t="shared" si="69"/>
        <v>5.776400000000001E-2</v>
      </c>
      <c r="L264" s="60">
        <f t="shared" si="65"/>
        <v>5.776400000000001E-2</v>
      </c>
      <c r="M264" s="61" t="str">
        <f t="shared" si="67"/>
        <v/>
      </c>
    </row>
    <row r="265" spans="1:15" x14ac:dyDescent="0.2">
      <c r="A265" s="3" t="str">
        <f t="shared" si="68"/>
        <v>STREET LIGHTING SERVICE CLASSIFICATION</v>
      </c>
      <c r="B265" s="66" t="s">
        <v>63</v>
      </c>
      <c r="C265" s="51">
        <f>B7</f>
        <v>5</v>
      </c>
      <c r="D265" s="67" t="s">
        <v>64</v>
      </c>
      <c r="E265" s="68"/>
      <c r="F265" s="69"/>
      <c r="G265" s="70"/>
      <c r="H265" s="71">
        <f>SUM(H261:H264)</f>
        <v>11.637568</v>
      </c>
      <c r="I265" s="72"/>
      <c r="J265" s="73"/>
      <c r="K265" s="71">
        <f>SUM(K261:K264)</f>
        <v>11.848854000000001</v>
      </c>
      <c r="L265" s="74">
        <f t="shared" si="65"/>
        <v>0.2112860000000012</v>
      </c>
      <c r="M265" s="75">
        <f>IF((H265)=0,"",(L265/H265))</f>
        <v>1.8155511529556793E-2</v>
      </c>
    </row>
    <row r="266" spans="1:15" x14ac:dyDescent="0.2">
      <c r="A266" s="3" t="str">
        <f t="shared" si="68"/>
        <v>STREET LIGHTING SERVICE CLASSIFICATION</v>
      </c>
      <c r="C266" s="51"/>
      <c r="D266" s="76" t="s">
        <v>65</v>
      </c>
      <c r="E266" s="53"/>
      <c r="F266" s="62">
        <f>IF((E252*12&gt;=150000), 0, IF(E251="RPP",(F281*0.64+F282*0.18+F283*0.18),IF(E251="Non-RPP (Retailer)",F284,F285)))</f>
        <v>0.10214000000000001</v>
      </c>
      <c r="G266" s="77">
        <f>IF(F266=0, 0, $E252*E254-E252)</f>
        <v>1.8950000000000031</v>
      </c>
      <c r="H266" s="56">
        <f>G266*F266</f>
        <v>0.19355530000000035</v>
      </c>
      <c r="I266" s="78">
        <f>IF((E252*12&gt;=150000), 0, IF(E251="RPP",(I281*0.64+I282*0.18+I283*0.18),IF(E251="Non-RPP (Retailer)",I284,I285)))</f>
        <v>0.10214000000000001</v>
      </c>
      <c r="J266" s="77">
        <f>IF(I266=0, 0, E252*E255-E252)</f>
        <v>1.8950000000000031</v>
      </c>
      <c r="K266" s="56">
        <f>J266*I266</f>
        <v>0.19355530000000035</v>
      </c>
      <c r="L266" s="60">
        <f>K266-H266</f>
        <v>0</v>
      </c>
      <c r="M266" s="61">
        <f>IF(ISERROR(L266/H266), "", L266/H266)</f>
        <v>0</v>
      </c>
    </row>
    <row r="267" spans="1:15" ht="25.5" x14ac:dyDescent="0.25">
      <c r="A267" s="3" t="str">
        <f t="shared" si="68"/>
        <v>STREET LIGHTING SERVICE CLASSIFICATION</v>
      </c>
      <c r="C267" s="51"/>
      <c r="D267" s="76" t="s">
        <v>103</v>
      </c>
      <c r="E267" s="53"/>
      <c r="F267" s="62">
        <v>-0.29380000000000001</v>
      </c>
      <c r="G267" s="168">
        <f>IF($E253&gt;0, $E253, $E252)</f>
        <v>0.14000000000000001</v>
      </c>
      <c r="H267" s="56">
        <f t="shared" si="66"/>
        <v>-4.1132000000000002E-2</v>
      </c>
      <c r="I267" s="85">
        <f>-1.3409+(-0.3511-0.1324+0.3511+0.1324)</f>
        <v>-1.3409</v>
      </c>
      <c r="J267" s="168">
        <f>IF($E253&gt;0, $E253, $E252)</f>
        <v>0.14000000000000001</v>
      </c>
      <c r="K267" s="56">
        <f t="shared" si="69"/>
        <v>-0.187726</v>
      </c>
      <c r="L267" s="60">
        <f t="shared" si="65"/>
        <v>-0.146594</v>
      </c>
      <c r="M267" s="61">
        <f t="shared" si="67"/>
        <v>3.5639891082368957</v>
      </c>
      <c r="O267" s="198"/>
    </row>
    <row r="268" spans="1:15" ht="15" x14ac:dyDescent="0.25">
      <c r="C268" s="51"/>
      <c r="D268" s="80" t="s">
        <v>66</v>
      </c>
      <c r="E268" s="81"/>
      <c r="F268" s="82">
        <v>0</v>
      </c>
      <c r="G268" s="83">
        <f>G267</f>
        <v>0.14000000000000001</v>
      </c>
      <c r="H268" s="84">
        <f t="shared" si="66"/>
        <v>0</v>
      </c>
      <c r="I268" s="85">
        <v>0</v>
      </c>
      <c r="J268" s="197">
        <f>J267</f>
        <v>0.14000000000000001</v>
      </c>
      <c r="K268" s="84">
        <f t="shared" si="69"/>
        <v>0</v>
      </c>
      <c r="L268" s="145">
        <f t="shared" si="65"/>
        <v>0</v>
      </c>
      <c r="M268" s="146" t="str">
        <f t="shared" si="67"/>
        <v/>
      </c>
      <c r="O268" s="198"/>
    </row>
    <row r="269" spans="1:15" ht="15" x14ac:dyDescent="0.25">
      <c r="C269" s="51"/>
      <c r="D269" s="80" t="s">
        <v>102</v>
      </c>
      <c r="E269" s="81"/>
      <c r="F269" s="82"/>
      <c r="G269" s="83"/>
      <c r="H269" s="84"/>
      <c r="I269" s="85">
        <f>CL30</f>
        <v>-0.72523463289141077</v>
      </c>
      <c r="J269" s="197">
        <f>J268</f>
        <v>0.14000000000000001</v>
      </c>
      <c r="K269" s="84">
        <f t="shared" ref="K269" si="70">J269*I269</f>
        <v>-0.10153284860479751</v>
      </c>
      <c r="L269" s="145">
        <f t="shared" ref="L269" si="71">K269-H269</f>
        <v>-0.10153284860479751</v>
      </c>
      <c r="M269" s="146" t="str">
        <f t="shared" ref="M269" si="72">IF(ISERROR(L269/H269), "", L269/H269)</f>
        <v/>
      </c>
      <c r="O269" s="198"/>
    </row>
    <row r="270" spans="1:15" x14ac:dyDescent="0.2">
      <c r="A270" s="3" t="str">
        <f>A267</f>
        <v>STREET LIGHTING SERVICE CLASSIFICATION</v>
      </c>
      <c r="C270" s="51"/>
      <c r="D270" s="91" t="s">
        <v>67</v>
      </c>
      <c r="E270" s="53"/>
      <c r="F270" s="62"/>
      <c r="G270" s="79">
        <f>IF($E253&gt;0, $E253, $E252)</f>
        <v>0.14000000000000001</v>
      </c>
      <c r="H270" s="56">
        <f t="shared" si="66"/>
        <v>0</v>
      </c>
      <c r="I270" s="78"/>
      <c r="J270" s="79">
        <f>IF($E253&gt;0, $E253, $E252)</f>
        <v>0.14000000000000001</v>
      </c>
      <c r="K270" s="56">
        <f t="shared" si="69"/>
        <v>0</v>
      </c>
      <c r="L270" s="60">
        <f t="shared" si="65"/>
        <v>0</v>
      </c>
      <c r="M270" s="61" t="str">
        <f t="shared" si="67"/>
        <v/>
      </c>
    </row>
    <row r="271" spans="1:15" x14ac:dyDescent="0.2">
      <c r="A271" s="3" t="str">
        <f t="shared" si="68"/>
        <v>STREET LIGHTING SERVICE CLASSIFICATION</v>
      </c>
      <c r="C271" s="51"/>
      <c r="D271" s="91" t="s">
        <v>68</v>
      </c>
      <c r="E271" s="53"/>
      <c r="F271" s="62">
        <f>IF(OR(ISNUMBER(SEARCH("RESIDENTIAL", E250))=TRUE, ISNUMBER(SEARCH("GENERAL SERVICE LESS THAN 50", E250))=TRUE), 0.79, 0)</f>
        <v>0</v>
      </c>
      <c r="G271" s="55">
        <v>1</v>
      </c>
      <c r="H271" s="56">
        <f>G271*F271</f>
        <v>0</v>
      </c>
      <c r="I271" s="78">
        <f>IF(OR(ISNUMBER(SEARCH("RESIDENTIAL", E250))=TRUE, ISNUMBER(SEARCH("GENERAL SERVICE LESS THAN 50", E250))=TRUE), 0.79, 0)</f>
        <v>0</v>
      </c>
      <c r="J271" s="55">
        <v>1</v>
      </c>
      <c r="K271" s="56">
        <f>J271*I271</f>
        <v>0</v>
      </c>
      <c r="L271" s="60">
        <f t="shared" si="65"/>
        <v>0</v>
      </c>
      <c r="M271" s="61" t="str">
        <f>IF(ISERROR(L271/H271), "", L271/H271)</f>
        <v/>
      </c>
    </row>
    <row r="272" spans="1:15" ht="25.5" x14ac:dyDescent="0.2">
      <c r="A272" s="3" t="str">
        <f t="shared" si="68"/>
        <v>STREET LIGHTING SERVICE CLASSIFICATION</v>
      </c>
      <c r="B272" s="34" t="s">
        <v>69</v>
      </c>
      <c r="C272" s="51">
        <f>B7</f>
        <v>5</v>
      </c>
      <c r="D272" s="92" t="s">
        <v>70</v>
      </c>
      <c r="E272" s="93"/>
      <c r="F272" s="94"/>
      <c r="G272" s="70"/>
      <c r="H272" s="95">
        <f>SUM(H265:H271)</f>
        <v>11.789991300000001</v>
      </c>
      <c r="I272" s="96"/>
      <c r="J272" s="73"/>
      <c r="K272" s="95">
        <f>SUM(K265:K271)</f>
        <v>11.753150451395204</v>
      </c>
      <c r="L272" s="74">
        <f t="shared" si="65"/>
        <v>-3.6840848604796861E-2</v>
      </c>
      <c r="M272" s="75">
        <f>IF((H272)=0,"",(L272/H272))</f>
        <v>-3.1247562162999101E-3</v>
      </c>
    </row>
    <row r="273" spans="1:13" x14ac:dyDescent="0.2">
      <c r="A273" s="3" t="str">
        <f t="shared" si="68"/>
        <v>STREET LIGHTING SERVICE CLASSIFICATION</v>
      </c>
      <c r="C273" s="51"/>
      <c r="D273" s="97" t="s">
        <v>71</v>
      </c>
      <c r="E273" s="53"/>
      <c r="F273" s="62">
        <v>2.1255000000000002</v>
      </c>
      <c r="G273" s="169">
        <f>IF($E253&gt;0, $E253, $E252*$E254)</f>
        <v>0.14000000000000001</v>
      </c>
      <c r="H273" s="56">
        <f>G273*F273</f>
        <v>0.29757000000000006</v>
      </c>
      <c r="I273" s="78">
        <v>2.0878999999999999</v>
      </c>
      <c r="J273" s="169">
        <f>IF($E253&gt;0, $E253, $E252*$E255)</f>
        <v>0.14000000000000001</v>
      </c>
      <c r="K273" s="56">
        <f>J273*I273</f>
        <v>0.29230600000000001</v>
      </c>
      <c r="L273" s="60">
        <f t="shared" si="65"/>
        <v>-5.2640000000000464E-3</v>
      </c>
      <c r="M273" s="61">
        <f>IF(ISERROR(L273/H273), "", L273/H273)</f>
        <v>-1.7689955304634356E-2</v>
      </c>
    </row>
    <row r="274" spans="1:13" ht="25.5" x14ac:dyDescent="0.2">
      <c r="A274" s="3" t="str">
        <f t="shared" si="68"/>
        <v>STREET LIGHTING SERVICE CLASSIFICATION</v>
      </c>
      <c r="C274" s="51"/>
      <c r="D274" s="98" t="s">
        <v>72</v>
      </c>
      <c r="E274" s="53"/>
      <c r="F274" s="62">
        <v>0.3805</v>
      </c>
      <c r="G274" s="169">
        <f>IF($E253&gt;0, $E253, $E252*$E254)</f>
        <v>0.14000000000000001</v>
      </c>
      <c r="H274" s="56">
        <f>G274*F274</f>
        <v>5.3270000000000005E-2</v>
      </c>
      <c r="I274" s="78">
        <v>0.39800000000000002</v>
      </c>
      <c r="J274" s="169">
        <f>IF($E253&gt;0, $E253, $E252*$E255)</f>
        <v>0.14000000000000001</v>
      </c>
      <c r="K274" s="56">
        <f>J274*I274</f>
        <v>5.5720000000000006E-2</v>
      </c>
      <c r="L274" s="60">
        <f t="shared" si="65"/>
        <v>2.4500000000000008E-3</v>
      </c>
      <c r="M274" s="61">
        <f>IF(ISERROR(L274/H274), "", L274/H274)</f>
        <v>4.5992115637319329E-2</v>
      </c>
    </row>
    <row r="275" spans="1:13" ht="25.5" x14ac:dyDescent="0.2">
      <c r="A275" s="3" t="str">
        <f t="shared" si="68"/>
        <v>STREET LIGHTING SERVICE CLASSIFICATION</v>
      </c>
      <c r="B275" s="34" t="s">
        <v>73</v>
      </c>
      <c r="C275" s="51">
        <f>B7</f>
        <v>5</v>
      </c>
      <c r="D275" s="92" t="s">
        <v>74</v>
      </c>
      <c r="E275" s="68"/>
      <c r="F275" s="94"/>
      <c r="G275" s="70"/>
      <c r="H275" s="95">
        <f>SUM(H272:H274)</f>
        <v>12.1408313</v>
      </c>
      <c r="I275" s="96"/>
      <c r="J275" s="99"/>
      <c r="K275" s="95">
        <f>SUM(K272:K274)</f>
        <v>12.101176451395204</v>
      </c>
      <c r="L275" s="74">
        <f t="shared" si="65"/>
        <v>-3.9654848604795845E-2</v>
      </c>
      <c r="M275" s="75">
        <f>IF((H275)=0,"",(L275/H275))</f>
        <v>-3.2662383345031607E-3</v>
      </c>
    </row>
    <row r="276" spans="1:13" ht="25.5" x14ac:dyDescent="0.2">
      <c r="A276" s="3" t="str">
        <f>A275</f>
        <v>STREET LIGHTING SERVICE CLASSIFICATION</v>
      </c>
      <c r="C276" s="51"/>
      <c r="D276" s="100" t="s">
        <v>75</v>
      </c>
      <c r="E276" s="53"/>
      <c r="F276" s="62">
        <v>4.4000000000000003E-3</v>
      </c>
      <c r="G276" s="77">
        <f>E252*E254</f>
        <v>51.895000000000003</v>
      </c>
      <c r="H276" s="101">
        <f t="shared" ref="H276:H283" si="73">G276*F276</f>
        <v>0.22833800000000004</v>
      </c>
      <c r="I276" s="102">
        <v>3.5999999999999999E-3</v>
      </c>
      <c r="J276" s="77">
        <f>E252*E255</f>
        <v>51.895000000000003</v>
      </c>
      <c r="K276" s="101">
        <f t="shared" ref="K276:K283" si="74">J276*I276</f>
        <v>0.18682200000000002</v>
      </c>
      <c r="L276" s="60">
        <f t="shared" si="65"/>
        <v>-4.1516000000000025E-2</v>
      </c>
      <c r="M276" s="61">
        <f>IF(ISERROR(L276/H276), "", L276/H276)</f>
        <v>-0.18181818181818191</v>
      </c>
    </row>
    <row r="277" spans="1:13" ht="25.5" x14ac:dyDescent="0.2">
      <c r="A277" s="3" t="str">
        <f>A276</f>
        <v>STREET LIGHTING SERVICE CLASSIFICATION</v>
      </c>
      <c r="C277" s="51"/>
      <c r="D277" s="100" t="s">
        <v>76</v>
      </c>
      <c r="E277" s="53"/>
      <c r="F277" s="62">
        <v>1.2999999999999999E-3</v>
      </c>
      <c r="G277" s="77">
        <f>E252*E254</f>
        <v>51.895000000000003</v>
      </c>
      <c r="H277" s="101">
        <f t="shared" si="73"/>
        <v>6.7463499999999996E-2</v>
      </c>
      <c r="I277" s="78">
        <v>1.2999999999999999E-3</v>
      </c>
      <c r="J277" s="77">
        <f>E252*E255</f>
        <v>51.895000000000003</v>
      </c>
      <c r="K277" s="101">
        <f t="shared" si="74"/>
        <v>6.7463499999999996E-2</v>
      </c>
      <c r="L277" s="60">
        <f t="shared" si="65"/>
        <v>0</v>
      </c>
      <c r="M277" s="61">
        <f>IF(ISERROR(L277/H277), "", L277/H277)</f>
        <v>0</v>
      </c>
    </row>
    <row r="278" spans="1:13" x14ac:dyDescent="0.2">
      <c r="A278" s="3" t="str">
        <f>A277</f>
        <v>STREET LIGHTING SERVICE CLASSIFICATION</v>
      </c>
      <c r="C278" s="51"/>
      <c r="D278" s="103" t="s">
        <v>77</v>
      </c>
      <c r="E278" s="53"/>
      <c r="F278" s="62">
        <v>0.25</v>
      </c>
      <c r="G278" s="55">
        <v>1</v>
      </c>
      <c r="H278" s="101">
        <f t="shared" si="73"/>
        <v>0.25</v>
      </c>
      <c r="I278" s="104">
        <v>0.25</v>
      </c>
      <c r="J278" s="58">
        <v>1</v>
      </c>
      <c r="K278" s="101">
        <f t="shared" si="74"/>
        <v>0.25</v>
      </c>
      <c r="L278" s="60">
        <f t="shared" si="65"/>
        <v>0</v>
      </c>
      <c r="M278" s="61">
        <f>IF(ISERROR(L278/H278), "", L278/H278)</f>
        <v>0</v>
      </c>
    </row>
    <row r="279" spans="1:13" x14ac:dyDescent="0.2">
      <c r="A279" s="3" t="str">
        <f>A278</f>
        <v>STREET LIGHTING SERVICE CLASSIFICATION</v>
      </c>
      <c r="C279" s="51"/>
      <c r="D279" s="103" t="s">
        <v>78</v>
      </c>
      <c r="E279" s="53"/>
      <c r="F279" s="62">
        <v>7.0000000000000001E-3</v>
      </c>
      <c r="G279" s="79">
        <f>E252</f>
        <v>50</v>
      </c>
      <c r="H279" s="101">
        <f t="shared" si="73"/>
        <v>0.35000000000000003</v>
      </c>
      <c r="I279" s="105">
        <f>IF(ISERROR(FIND("RESIDENTIAL", UPPER(E250))), 0.007, 0)</f>
        <v>7.0000000000000001E-3</v>
      </c>
      <c r="J279" s="79">
        <f>E252</f>
        <v>50</v>
      </c>
      <c r="K279" s="101">
        <f t="shared" si="74"/>
        <v>0.35000000000000003</v>
      </c>
      <c r="L279" s="60">
        <f t="shared" si="65"/>
        <v>0</v>
      </c>
      <c r="M279" s="61">
        <f>IF(ISERROR(L279/H279), "", L279/H279)</f>
        <v>0</v>
      </c>
    </row>
    <row r="280" spans="1:13" ht="25.5" x14ac:dyDescent="0.2">
      <c r="A280" s="3" t="str">
        <f>A279</f>
        <v>STREET LIGHTING SERVICE CLASSIFICATION</v>
      </c>
      <c r="C280" s="51"/>
      <c r="D280" s="100" t="s">
        <v>79</v>
      </c>
      <c r="E280" s="53"/>
      <c r="F280" s="106"/>
      <c r="G280" s="107"/>
      <c r="H280" s="107"/>
      <c r="I280" s="102">
        <v>1.1000000000000001E-3</v>
      </c>
      <c r="J280" s="77">
        <f>E252*E255</f>
        <v>51.895000000000003</v>
      </c>
      <c r="K280" s="101">
        <f>J280*I280</f>
        <v>5.708450000000001E-2</v>
      </c>
      <c r="L280" s="60">
        <f t="shared" si="65"/>
        <v>5.708450000000001E-2</v>
      </c>
      <c r="M280" s="107"/>
    </row>
    <row r="281" spans="1:13" x14ac:dyDescent="0.2">
      <c r="A281" s="3" t="str">
        <f>A279</f>
        <v>STREET LIGHTING SERVICE CLASSIFICATION</v>
      </c>
      <c r="B281" s="34" t="s">
        <v>12</v>
      </c>
      <c r="C281" s="51"/>
      <c r="D281" s="109" t="s">
        <v>80</v>
      </c>
      <c r="E281" s="53"/>
      <c r="F281" s="110">
        <v>0.08</v>
      </c>
      <c r="G281" s="111">
        <f>IF(AND(E252*12&gt;=150000),0.64*E252*E254,0.64*E252)</f>
        <v>32</v>
      </c>
      <c r="H281" s="101">
        <f t="shared" si="73"/>
        <v>2.56</v>
      </c>
      <c r="I281" s="63">
        <v>0.08</v>
      </c>
      <c r="J281" s="111">
        <f>IF(AND(E252*12&gt;=150000),0.64*E252*E255,0.64*E252)</f>
        <v>32</v>
      </c>
      <c r="K281" s="101">
        <f t="shared" si="74"/>
        <v>2.56</v>
      </c>
      <c r="L281" s="60">
        <f t="shared" si="65"/>
        <v>0</v>
      </c>
      <c r="M281" s="61">
        <f>IF(ISERROR(L281/H281), "", L281/H281)</f>
        <v>0</v>
      </c>
    </row>
    <row r="282" spans="1:13" x14ac:dyDescent="0.2">
      <c r="A282" s="3" t="str">
        <f t="shared" ref="A282:A304" si="75">A281</f>
        <v>STREET LIGHTING SERVICE CLASSIFICATION</v>
      </c>
      <c r="B282" s="34" t="s">
        <v>12</v>
      </c>
      <c r="C282" s="51"/>
      <c r="D282" s="109" t="s">
        <v>81</v>
      </c>
      <c r="E282" s="53"/>
      <c r="F282" s="110">
        <v>0.122</v>
      </c>
      <c r="G282" s="111">
        <f>IF(AND(E252*12&gt;=150000),0.18*E252*E254,0.18*E252)</f>
        <v>9</v>
      </c>
      <c r="H282" s="101">
        <f t="shared" si="73"/>
        <v>1.0979999999999999</v>
      </c>
      <c r="I282" s="63">
        <v>0.122</v>
      </c>
      <c r="J282" s="111">
        <f>IF(AND(E252*12&gt;=150000),0.18*E252*E255,0.18*E252)</f>
        <v>9</v>
      </c>
      <c r="K282" s="101">
        <f t="shared" si="74"/>
        <v>1.0979999999999999</v>
      </c>
      <c r="L282" s="60">
        <f t="shared" si="65"/>
        <v>0</v>
      </c>
      <c r="M282" s="61">
        <f>IF(ISERROR(L282/H282), "", L282/H282)</f>
        <v>0</v>
      </c>
    </row>
    <row r="283" spans="1:13" x14ac:dyDescent="0.2">
      <c r="A283" s="3" t="str">
        <f t="shared" si="75"/>
        <v>STREET LIGHTING SERVICE CLASSIFICATION</v>
      </c>
      <c r="B283" s="34" t="s">
        <v>12</v>
      </c>
      <c r="C283" s="51"/>
      <c r="D283" s="34" t="s">
        <v>82</v>
      </c>
      <c r="E283" s="53"/>
      <c r="F283" s="110">
        <v>0.161</v>
      </c>
      <c r="G283" s="111">
        <f>IF(AND(E252*12&gt;=150000),0.18*E252*E254,0.18*E252)</f>
        <v>9</v>
      </c>
      <c r="H283" s="101">
        <f t="shared" si="73"/>
        <v>1.4490000000000001</v>
      </c>
      <c r="I283" s="63">
        <v>0.161</v>
      </c>
      <c r="J283" s="111">
        <f>IF(AND(E252*12&gt;=150000),0.18*E252*E255,0.18*E252)</f>
        <v>9</v>
      </c>
      <c r="K283" s="101">
        <f t="shared" si="74"/>
        <v>1.4490000000000001</v>
      </c>
      <c r="L283" s="60">
        <f t="shared" si="65"/>
        <v>0</v>
      </c>
      <c r="M283" s="61">
        <f>IF(ISERROR(L283/H283), "", L283/H283)</f>
        <v>0</v>
      </c>
    </row>
    <row r="284" spans="1:13" x14ac:dyDescent="0.2">
      <c r="A284" s="3" t="str">
        <f t="shared" si="75"/>
        <v>STREET LIGHTING SERVICE CLASSIFICATION</v>
      </c>
      <c r="B284" s="3" t="s">
        <v>24</v>
      </c>
      <c r="C284" s="51"/>
      <c r="D284" s="109" t="s">
        <v>83</v>
      </c>
      <c r="E284" s="53"/>
      <c r="F284" s="112"/>
      <c r="G284" s="111"/>
      <c r="H284" s="101">
        <f>G284*F284</f>
        <v>0</v>
      </c>
      <c r="I284" s="63">
        <f>F284</f>
        <v>0</v>
      </c>
      <c r="J284" s="111"/>
      <c r="K284" s="101">
        <f>J284*I284</f>
        <v>0</v>
      </c>
      <c r="L284" s="60">
        <f t="shared" si="65"/>
        <v>0</v>
      </c>
      <c r="M284" s="61" t="str">
        <f>IF(ISERROR(L284/H284), "", L284/H284)</f>
        <v/>
      </c>
    </row>
    <row r="285" spans="1:13" ht="13.5" thickBot="1" x14ac:dyDescent="0.25">
      <c r="A285" s="3" t="str">
        <f t="shared" si="75"/>
        <v>STREET LIGHTING SERVICE CLASSIFICATION</v>
      </c>
      <c r="B285" s="3" t="s">
        <v>18</v>
      </c>
      <c r="C285" s="51"/>
      <c r="D285" s="109" t="s">
        <v>84</v>
      </c>
      <c r="E285" s="53"/>
      <c r="F285" s="112"/>
      <c r="G285" s="111"/>
      <c r="H285" s="101">
        <f>G285*F285</f>
        <v>0</v>
      </c>
      <c r="I285" s="113">
        <f>F285</f>
        <v>0</v>
      </c>
      <c r="J285" s="111"/>
      <c r="K285" s="101">
        <f>J285*I285</f>
        <v>0</v>
      </c>
      <c r="L285" s="60">
        <f t="shared" si="65"/>
        <v>0</v>
      </c>
      <c r="M285" s="61" t="str">
        <f>IF(ISERROR(L285/H285), "", L285/H285)</f>
        <v/>
      </c>
    </row>
    <row r="286" spans="1:13" ht="13.5" thickBot="1" x14ac:dyDescent="0.25">
      <c r="A286" s="3" t="str">
        <f>A285</f>
        <v>STREET LIGHTING SERVICE CLASSIFICATION</v>
      </c>
      <c r="B286" s="34"/>
      <c r="C286" s="51"/>
      <c r="D286" s="114"/>
      <c r="E286" s="115"/>
      <c r="F286" s="116"/>
      <c r="G286" s="117"/>
      <c r="H286" s="118"/>
      <c r="I286" s="116"/>
      <c r="J286" s="119"/>
      <c r="K286" s="118"/>
      <c r="L286" s="120"/>
      <c r="M286" s="121"/>
    </row>
    <row r="287" spans="1:13" x14ac:dyDescent="0.2">
      <c r="A287" s="3" t="str">
        <f t="shared" si="75"/>
        <v>STREET LIGHTING SERVICE CLASSIFICATION</v>
      </c>
      <c r="B287" s="34" t="s">
        <v>12</v>
      </c>
      <c r="C287" s="51"/>
      <c r="D287" s="122" t="s">
        <v>85</v>
      </c>
      <c r="E287" s="103"/>
      <c r="F287" s="123"/>
      <c r="G287" s="124"/>
      <c r="H287" s="125">
        <f>SUM(H276:H283,H275)</f>
        <v>18.143632799999999</v>
      </c>
      <c r="I287" s="126"/>
      <c r="J287" s="126"/>
      <c r="K287" s="125">
        <f>SUM(K276:K283,K275)</f>
        <v>18.119546451395205</v>
      </c>
      <c r="L287" s="127">
        <f>K287-H287</f>
        <v>-2.4086348604793528E-2</v>
      </c>
      <c r="M287" s="128">
        <f>IF((H287)=0,"",(L287/H287))</f>
        <v>-1.3275372617105395E-3</v>
      </c>
    </row>
    <row r="288" spans="1:13" x14ac:dyDescent="0.2">
      <c r="A288" s="3" t="str">
        <f t="shared" si="75"/>
        <v>STREET LIGHTING SERVICE CLASSIFICATION</v>
      </c>
      <c r="B288" s="34" t="s">
        <v>12</v>
      </c>
      <c r="C288" s="51"/>
      <c r="D288" s="129" t="s">
        <v>86</v>
      </c>
      <c r="E288" s="103"/>
      <c r="F288" s="123">
        <v>0.13</v>
      </c>
      <c r="G288" s="130"/>
      <c r="H288" s="131">
        <f>H287*F288</f>
        <v>2.358672264</v>
      </c>
      <c r="I288" s="132">
        <v>0.13</v>
      </c>
      <c r="J288" s="55"/>
      <c r="K288" s="131">
        <f>K287*I288</f>
        <v>2.3555410386813769</v>
      </c>
      <c r="L288" s="133">
        <f>K288-H288</f>
        <v>-3.1312253186230876E-3</v>
      </c>
      <c r="M288" s="134">
        <f>IF((H288)=0,"",(L288/H288))</f>
        <v>-1.3275372617105093E-3</v>
      </c>
    </row>
    <row r="289" spans="1:13" x14ac:dyDescent="0.2">
      <c r="A289" s="3" t="str">
        <f t="shared" si="75"/>
        <v>STREET LIGHTING SERVICE CLASSIFICATION</v>
      </c>
      <c r="B289" s="34" t="s">
        <v>12</v>
      </c>
      <c r="C289" s="51"/>
      <c r="D289" s="135" t="s">
        <v>87</v>
      </c>
      <c r="E289" s="103"/>
      <c r="F289" s="136"/>
      <c r="G289" s="130"/>
      <c r="H289" s="131">
        <f>H287+H288</f>
        <v>20.502305063999998</v>
      </c>
      <c r="I289" s="55"/>
      <c r="J289" s="55"/>
      <c r="K289" s="131">
        <f>K287+K288</f>
        <v>20.475087490076582</v>
      </c>
      <c r="L289" s="133">
        <f>K289-H289</f>
        <v>-2.7217573923415728E-2</v>
      </c>
      <c r="M289" s="134">
        <f>IF((H289)=0,"",(L289/H289))</f>
        <v>-1.3275372617104928E-3</v>
      </c>
    </row>
    <row r="290" spans="1:13" x14ac:dyDescent="0.2">
      <c r="A290" s="3" t="str">
        <f t="shared" si="75"/>
        <v>STREET LIGHTING SERVICE CLASSIFICATION</v>
      </c>
      <c r="B290" s="34" t="s">
        <v>12</v>
      </c>
      <c r="C290" s="51"/>
      <c r="D290" s="208" t="s">
        <v>88</v>
      </c>
      <c r="E290" s="208"/>
      <c r="F290" s="136"/>
      <c r="G290" s="130"/>
      <c r="H290" s="137">
        <f>ROUND(-H289*10%,2)</f>
        <v>-2.0499999999999998</v>
      </c>
      <c r="I290" s="107"/>
      <c r="J290" s="107"/>
      <c r="K290" s="107"/>
      <c r="L290" s="133">
        <f>K290-H290</f>
        <v>2.0499999999999998</v>
      </c>
      <c r="M290" s="134">
        <f>IF((H290)=0,"",(L290/H290))</f>
        <v>-1</v>
      </c>
    </row>
    <row r="291" spans="1:13" ht="13.5" thickBot="1" x14ac:dyDescent="0.25">
      <c r="A291" s="3" t="str">
        <f t="shared" si="75"/>
        <v>STREET LIGHTING SERVICE CLASSIFICATION</v>
      </c>
      <c r="B291" s="34" t="s">
        <v>89</v>
      </c>
      <c r="C291" s="51">
        <f>B7</f>
        <v>5</v>
      </c>
      <c r="D291" s="209" t="s">
        <v>90</v>
      </c>
      <c r="E291" s="209"/>
      <c r="F291" s="138"/>
      <c r="G291" s="139"/>
      <c r="H291" s="140">
        <f>H289+H290</f>
        <v>18.452305063999997</v>
      </c>
      <c r="I291" s="141"/>
      <c r="J291" s="141"/>
      <c r="K291" s="140">
        <f>K289+K290</f>
        <v>20.475087490076582</v>
      </c>
      <c r="L291" s="142">
        <f>K291-H291</f>
        <v>2.022782426076585</v>
      </c>
      <c r="M291" s="143">
        <f>IF((H291)=0,"",(L291/H291))</f>
        <v>0.10962220812309161</v>
      </c>
    </row>
    <row r="292" spans="1:13" ht="13.5" thickBot="1" x14ac:dyDescent="0.25">
      <c r="A292" s="3" t="str">
        <f t="shared" si="75"/>
        <v>STREET LIGHTING SERVICE CLASSIFICATION</v>
      </c>
      <c r="B292" s="3" t="s">
        <v>12</v>
      </c>
      <c r="C292" s="51"/>
      <c r="D292" s="114"/>
      <c r="E292" s="115"/>
      <c r="F292" s="116"/>
      <c r="G292" s="117"/>
      <c r="H292" s="118"/>
      <c r="I292" s="116"/>
      <c r="J292" s="119"/>
      <c r="K292" s="118"/>
      <c r="L292" s="120"/>
      <c r="M292" s="121"/>
    </row>
    <row r="293" spans="1:13" hidden="1" x14ac:dyDescent="0.2">
      <c r="A293" s="3" t="str">
        <f t="shared" si="75"/>
        <v>STREET LIGHTING SERVICE CLASSIFICATION</v>
      </c>
      <c r="B293" s="3" t="s">
        <v>24</v>
      </c>
      <c r="C293" s="51"/>
      <c r="D293" s="122" t="s">
        <v>92</v>
      </c>
      <c r="E293" s="103"/>
      <c r="F293" s="123"/>
      <c r="G293" s="123"/>
      <c r="H293" s="123"/>
      <c r="I293" s="123"/>
      <c r="J293" s="123"/>
      <c r="K293" s="123"/>
      <c r="L293" s="123"/>
      <c r="M293" s="123"/>
    </row>
    <row r="294" spans="1:13" hidden="1" x14ac:dyDescent="0.2">
      <c r="A294" s="3" t="str">
        <f t="shared" si="75"/>
        <v>STREET LIGHTING SERVICE CLASSIFICATION</v>
      </c>
      <c r="B294" s="3" t="s">
        <v>24</v>
      </c>
      <c r="C294" s="51"/>
      <c r="D294" s="129" t="s">
        <v>86</v>
      </c>
      <c r="E294" s="103"/>
      <c r="F294" s="123"/>
      <c r="G294" s="123"/>
      <c r="H294" s="123"/>
      <c r="I294" s="123"/>
      <c r="J294" s="123"/>
      <c r="K294" s="123"/>
      <c r="L294" s="123"/>
      <c r="M294" s="123"/>
    </row>
    <row r="295" spans="1:13" hidden="1" x14ac:dyDescent="0.2">
      <c r="A295" s="3" t="str">
        <f t="shared" si="75"/>
        <v>STREET LIGHTING SERVICE CLASSIFICATION</v>
      </c>
      <c r="B295" s="3" t="s">
        <v>24</v>
      </c>
      <c r="C295" s="51"/>
      <c r="D295" s="135" t="s">
        <v>87</v>
      </c>
      <c r="E295" s="103"/>
      <c r="F295" s="123"/>
      <c r="G295" s="123"/>
      <c r="H295" s="123"/>
      <c r="I295" s="123"/>
      <c r="J295" s="123"/>
      <c r="K295" s="123"/>
      <c r="L295" s="123"/>
      <c r="M295" s="123"/>
    </row>
    <row r="296" spans="1:13" hidden="1" x14ac:dyDescent="0.2">
      <c r="A296" s="3" t="str">
        <f t="shared" si="75"/>
        <v>STREET LIGHTING SERVICE CLASSIFICATION</v>
      </c>
      <c r="B296" s="3" t="s">
        <v>24</v>
      </c>
      <c r="C296" s="51"/>
      <c r="D296" s="208" t="s">
        <v>88</v>
      </c>
      <c r="E296" s="208"/>
      <c r="F296" s="123"/>
      <c r="G296" s="123"/>
      <c r="H296" s="123"/>
      <c r="I296" s="123"/>
      <c r="J296" s="123"/>
      <c r="K296" s="123"/>
      <c r="L296" s="123"/>
      <c r="M296" s="123"/>
    </row>
    <row r="297" spans="1:13" ht="13.5" hidden="1" thickBot="1" x14ac:dyDescent="0.25">
      <c r="A297" s="3" t="str">
        <f t="shared" si="75"/>
        <v>STREET LIGHTING SERVICE CLASSIFICATION</v>
      </c>
      <c r="B297" s="3" t="s">
        <v>93</v>
      </c>
      <c r="C297" s="51"/>
      <c r="D297" s="209" t="s">
        <v>92</v>
      </c>
      <c r="E297" s="209"/>
      <c r="F297" s="123"/>
      <c r="G297" s="123"/>
      <c r="H297" s="123"/>
      <c r="I297" s="123"/>
      <c r="J297" s="123"/>
      <c r="K297" s="123"/>
      <c r="L297" s="123"/>
      <c r="M297" s="123"/>
    </row>
    <row r="298" spans="1:13" ht="13.5" hidden="1" thickBot="1" x14ac:dyDescent="0.25">
      <c r="A298" s="3" t="str">
        <f t="shared" si="75"/>
        <v>STREET LIGHTING SERVICE CLASSIFICATION</v>
      </c>
      <c r="B298" s="3" t="s">
        <v>24</v>
      </c>
      <c r="C298" s="51"/>
      <c r="D298" s="114"/>
      <c r="E298" s="115"/>
      <c r="F298" s="150"/>
      <c r="G298" s="151"/>
      <c r="H298" s="152"/>
      <c r="I298" s="150"/>
      <c r="J298" s="117"/>
      <c r="K298" s="152"/>
      <c r="L298" s="153"/>
      <c r="M298" s="121"/>
    </row>
    <row r="299" spans="1:13" hidden="1" x14ac:dyDescent="0.2">
      <c r="A299" s="3" t="str">
        <f t="shared" si="75"/>
        <v>STREET LIGHTING SERVICE CLASSIFICATION</v>
      </c>
      <c r="B299" s="3" t="s">
        <v>18</v>
      </c>
      <c r="C299" s="51"/>
      <c r="D299" s="122" t="s">
        <v>94</v>
      </c>
      <c r="E299" s="103"/>
      <c r="F299" s="123"/>
      <c r="G299" s="123"/>
      <c r="H299" s="123"/>
      <c r="I299" s="123"/>
      <c r="J299" s="123"/>
      <c r="K299" s="123"/>
      <c r="L299" s="123"/>
      <c r="M299" s="123"/>
    </row>
    <row r="300" spans="1:13" hidden="1" x14ac:dyDescent="0.2">
      <c r="A300" s="3" t="str">
        <f t="shared" si="75"/>
        <v>STREET LIGHTING SERVICE CLASSIFICATION</v>
      </c>
      <c r="B300" s="3" t="s">
        <v>18</v>
      </c>
      <c r="C300" s="51"/>
      <c r="D300" s="129" t="s">
        <v>86</v>
      </c>
      <c r="E300" s="103"/>
      <c r="F300" s="123"/>
      <c r="G300" s="123"/>
      <c r="H300" s="123"/>
      <c r="I300" s="123"/>
      <c r="J300" s="123"/>
      <c r="K300" s="123"/>
      <c r="L300" s="123"/>
      <c r="M300" s="123"/>
    </row>
    <row r="301" spans="1:13" hidden="1" x14ac:dyDescent="0.2">
      <c r="A301" s="3" t="str">
        <f t="shared" si="75"/>
        <v>STREET LIGHTING SERVICE CLASSIFICATION</v>
      </c>
      <c r="B301" s="3" t="s">
        <v>18</v>
      </c>
      <c r="C301" s="51"/>
      <c r="D301" s="135" t="s">
        <v>87</v>
      </c>
      <c r="E301" s="103"/>
      <c r="F301" s="123"/>
      <c r="G301" s="123"/>
      <c r="H301" s="123"/>
      <c r="I301" s="123"/>
      <c r="J301" s="123"/>
      <c r="K301" s="123"/>
      <c r="L301" s="123"/>
      <c r="M301" s="123"/>
    </row>
    <row r="302" spans="1:13" hidden="1" x14ac:dyDescent="0.2">
      <c r="A302" s="3" t="str">
        <f t="shared" si="75"/>
        <v>STREET LIGHTING SERVICE CLASSIFICATION</v>
      </c>
      <c r="B302" s="3" t="s">
        <v>18</v>
      </c>
      <c r="C302" s="51"/>
      <c r="D302" s="208" t="s">
        <v>88</v>
      </c>
      <c r="E302" s="208"/>
      <c r="F302" s="123"/>
      <c r="G302" s="123"/>
      <c r="H302" s="123"/>
      <c r="I302" s="123"/>
      <c r="J302" s="123"/>
      <c r="K302" s="123"/>
      <c r="L302" s="123"/>
      <c r="M302" s="123"/>
    </row>
    <row r="303" spans="1:13" ht="13.5" hidden="1" thickBot="1" x14ac:dyDescent="0.25">
      <c r="A303" s="3" t="str">
        <f t="shared" si="75"/>
        <v>STREET LIGHTING SERVICE CLASSIFICATION</v>
      </c>
      <c r="B303" s="3" t="s">
        <v>95</v>
      </c>
      <c r="C303" s="51"/>
      <c r="D303" s="209" t="s">
        <v>94</v>
      </c>
      <c r="E303" s="209"/>
      <c r="F303" s="123"/>
      <c r="G303" s="123"/>
      <c r="H303" s="123"/>
      <c r="I303" s="123"/>
      <c r="J303" s="123"/>
      <c r="K303" s="123"/>
      <c r="L303" s="123"/>
      <c r="M303" s="123"/>
    </row>
    <row r="304" spans="1:13" ht="13.5" hidden="1" thickBot="1" x14ac:dyDescent="0.25">
      <c r="A304" s="3" t="str">
        <f t="shared" si="75"/>
        <v>STREET LIGHTING SERVICE CLASSIFICATION</v>
      </c>
      <c r="B304" s="3" t="s">
        <v>18</v>
      </c>
      <c r="C304" s="51"/>
      <c r="D304" s="114"/>
      <c r="E304" s="115"/>
      <c r="F304" s="160"/>
      <c r="G304" s="161"/>
      <c r="H304" s="162"/>
      <c r="I304" s="160"/>
      <c r="J304" s="163"/>
      <c r="K304" s="162"/>
      <c r="L304" s="164"/>
      <c r="M304" s="165"/>
    </row>
    <row r="306" spans="1:20" x14ac:dyDescent="0.2">
      <c r="D306" s="30" t="s">
        <v>42</v>
      </c>
      <c r="E306" s="210" t="str">
        <f>D8</f>
        <v>RESIDENTIAL SERVICE CLASSIFICATION</v>
      </c>
      <c r="F306" s="210"/>
      <c r="G306" s="210"/>
      <c r="H306" s="210"/>
      <c r="I306" s="210"/>
      <c r="J306" s="210"/>
      <c r="K306" s="170" t="s">
        <v>23</v>
      </c>
      <c r="T306" s="3" t="s">
        <v>43</v>
      </c>
    </row>
    <row r="307" spans="1:20" x14ac:dyDescent="0.2">
      <c r="D307" s="30" t="s">
        <v>44</v>
      </c>
      <c r="E307" s="212" t="str">
        <f>H8</f>
        <v>RPP</v>
      </c>
      <c r="F307" s="212"/>
      <c r="G307" s="212"/>
      <c r="H307" s="31"/>
      <c r="I307" s="31"/>
    </row>
    <row r="308" spans="1:20" ht="15.75" x14ac:dyDescent="0.2">
      <c r="D308" s="30" t="s">
        <v>45</v>
      </c>
      <c r="E308" s="171">
        <f>L8</f>
        <v>288</v>
      </c>
      <c r="F308" s="33" t="s">
        <v>11</v>
      </c>
      <c r="G308" s="34"/>
      <c r="J308" s="35"/>
      <c r="K308" s="35"/>
      <c r="L308" s="35"/>
      <c r="M308" s="35"/>
    </row>
    <row r="309" spans="1:20" ht="15.75" x14ac:dyDescent="0.25">
      <c r="D309" s="30" t="s">
        <v>46</v>
      </c>
      <c r="E309" s="32">
        <f>M8</f>
        <v>0</v>
      </c>
      <c r="F309" s="36" t="s">
        <v>17</v>
      </c>
      <c r="G309" s="37"/>
      <c r="H309" s="38"/>
      <c r="I309" s="38"/>
      <c r="J309" s="38"/>
    </row>
    <row r="310" spans="1:20" x14ac:dyDescent="0.2">
      <c r="D310" s="30" t="s">
        <v>47</v>
      </c>
      <c r="E310" s="39">
        <f>J8</f>
        <v>1.0379</v>
      </c>
    </row>
    <row r="311" spans="1:20" x14ac:dyDescent="0.2">
      <c r="D311" s="30" t="s">
        <v>48</v>
      </c>
      <c r="E311" s="39">
        <f>K8</f>
        <v>1.0379</v>
      </c>
    </row>
    <row r="312" spans="1:20" x14ac:dyDescent="0.2">
      <c r="D312" s="33" t="s">
        <v>49</v>
      </c>
      <c r="E312" s="40" t="str">
        <f>I8</f>
        <v>Yes</v>
      </c>
    </row>
    <row r="313" spans="1:20" x14ac:dyDescent="0.2">
      <c r="D313" s="34"/>
    </row>
    <row r="314" spans="1:20" x14ac:dyDescent="0.2">
      <c r="D314" s="34"/>
      <c r="E314" s="41"/>
      <c r="F314" s="200" t="s">
        <v>50</v>
      </c>
      <c r="G314" s="213"/>
      <c r="H314" s="201"/>
      <c r="I314" s="200" t="s">
        <v>51</v>
      </c>
      <c r="J314" s="213"/>
      <c r="K314" s="201"/>
      <c r="L314" s="200" t="s">
        <v>52</v>
      </c>
      <c r="M314" s="201"/>
    </row>
    <row r="315" spans="1:20" x14ac:dyDescent="0.2">
      <c r="D315" s="34"/>
      <c r="E315" s="202"/>
      <c r="F315" s="42" t="s">
        <v>53</v>
      </c>
      <c r="G315" s="42" t="s">
        <v>54</v>
      </c>
      <c r="H315" s="43" t="s">
        <v>55</v>
      </c>
      <c r="I315" s="42" t="s">
        <v>53</v>
      </c>
      <c r="J315" s="144" t="s">
        <v>54</v>
      </c>
      <c r="K315" s="43" t="s">
        <v>55</v>
      </c>
      <c r="L315" s="204" t="s">
        <v>56</v>
      </c>
      <c r="M315" s="206" t="s">
        <v>57</v>
      </c>
    </row>
    <row r="316" spans="1:20" x14ac:dyDescent="0.2">
      <c r="D316" s="34"/>
      <c r="E316" s="203"/>
      <c r="F316" s="47" t="s">
        <v>58</v>
      </c>
      <c r="G316" s="47"/>
      <c r="H316" s="48" t="s">
        <v>58</v>
      </c>
      <c r="I316" s="47" t="s">
        <v>58</v>
      </c>
      <c r="J316" s="48"/>
      <c r="K316" s="48" t="s">
        <v>58</v>
      </c>
      <c r="L316" s="205"/>
      <c r="M316" s="207"/>
    </row>
    <row r="317" spans="1:20" x14ac:dyDescent="0.2">
      <c r="A317" s="3" t="str">
        <f>$E306</f>
        <v>RESIDENTIAL SERVICE CLASSIFICATION</v>
      </c>
      <c r="C317" s="51"/>
      <c r="D317" s="52" t="s">
        <v>59</v>
      </c>
      <c r="E317" s="53"/>
      <c r="F317" s="54">
        <v>18.170000000000002</v>
      </c>
      <c r="G317" s="55">
        <v>1</v>
      </c>
      <c r="H317" s="56">
        <f>G317*F317</f>
        <v>18.170000000000002</v>
      </c>
      <c r="I317" s="104">
        <v>20.96</v>
      </c>
      <c r="J317" s="58">
        <v>1</v>
      </c>
      <c r="K317" s="56">
        <f>J317*I317</f>
        <v>20.96</v>
      </c>
      <c r="L317" s="60">
        <f t="shared" ref="L317:L341" si="76">K317-H317</f>
        <v>2.7899999999999991</v>
      </c>
      <c r="M317" s="61">
        <f>IF(ISERROR(L317/H317), "", L317/H317)</f>
        <v>0.15354980737479357</v>
      </c>
    </row>
    <row r="318" spans="1:20" x14ac:dyDescent="0.2">
      <c r="A318" s="3" t="str">
        <f>A317</f>
        <v>RESIDENTIAL SERVICE CLASSIFICATION</v>
      </c>
      <c r="C318" s="51"/>
      <c r="D318" s="52" t="s">
        <v>60</v>
      </c>
      <c r="E318" s="53"/>
      <c r="F318" s="62">
        <v>1.2800000000000001E-2</v>
      </c>
      <c r="G318" s="55">
        <f>IF($E309&gt;0, $E309, $E308)</f>
        <v>288</v>
      </c>
      <c r="H318" s="56">
        <f t="shared" ref="H318:H326" si="77">G318*F318</f>
        <v>3.6864000000000003</v>
      </c>
      <c r="I318" s="78">
        <v>9.7000000000000003E-3</v>
      </c>
      <c r="J318" s="58">
        <f>IF($E309&gt;0, $E309, $E308)</f>
        <v>288</v>
      </c>
      <c r="K318" s="56">
        <f>J318*I318</f>
        <v>2.7936000000000001</v>
      </c>
      <c r="L318" s="60">
        <f t="shared" si="76"/>
        <v>-0.89280000000000026</v>
      </c>
      <c r="M318" s="61">
        <f t="shared" ref="M318:M326" si="78">IF(ISERROR(L318/H318), "", L318/H318)</f>
        <v>-0.24218750000000006</v>
      </c>
    </row>
    <row r="319" spans="1:20" x14ac:dyDescent="0.2">
      <c r="A319" s="3" t="str">
        <f t="shared" ref="A319:A331" si="79">A318</f>
        <v>RESIDENTIAL SERVICE CLASSIFICATION</v>
      </c>
      <c r="C319" s="51"/>
      <c r="D319" s="64" t="s">
        <v>61</v>
      </c>
      <c r="E319" s="53"/>
      <c r="F319" s="54">
        <v>0</v>
      </c>
      <c r="G319" s="55">
        <v>1</v>
      </c>
      <c r="H319" s="56">
        <f t="shared" si="77"/>
        <v>0</v>
      </c>
      <c r="I319" s="104">
        <v>0.13</v>
      </c>
      <c r="J319" s="58">
        <v>1</v>
      </c>
      <c r="K319" s="56">
        <f t="shared" ref="K319:K326" si="80">J319*I319</f>
        <v>0.13</v>
      </c>
      <c r="L319" s="60">
        <f t="shared" si="76"/>
        <v>0.13</v>
      </c>
      <c r="M319" s="61" t="str">
        <f t="shared" si="78"/>
        <v/>
      </c>
    </row>
    <row r="320" spans="1:20" x14ac:dyDescent="0.2">
      <c r="A320" s="3" t="str">
        <f t="shared" si="79"/>
        <v>RESIDENTIAL SERVICE CLASSIFICATION</v>
      </c>
      <c r="C320" s="51"/>
      <c r="D320" s="65" t="s">
        <v>62</v>
      </c>
      <c r="E320" s="53"/>
      <c r="F320" s="62">
        <v>6.9999999999999999E-4</v>
      </c>
      <c r="G320" s="55">
        <f>IF($E309&gt;0, $E309, $E308)</f>
        <v>288</v>
      </c>
      <c r="H320" s="56">
        <f t="shared" si="77"/>
        <v>0.2016</v>
      </c>
      <c r="I320" s="78">
        <v>6.9999999999999999E-4</v>
      </c>
      <c r="J320" s="58">
        <f>IF($E309&gt;0, $E309, $E308)</f>
        <v>288</v>
      </c>
      <c r="K320" s="56">
        <f t="shared" si="80"/>
        <v>0.2016</v>
      </c>
      <c r="L320" s="60">
        <f t="shared" si="76"/>
        <v>0</v>
      </c>
      <c r="M320" s="61">
        <f t="shared" si="78"/>
        <v>0</v>
      </c>
    </row>
    <row r="321" spans="1:15" x14ac:dyDescent="0.2">
      <c r="A321" s="3" t="str">
        <f t="shared" si="79"/>
        <v>RESIDENTIAL SERVICE CLASSIFICATION</v>
      </c>
      <c r="B321" s="66" t="s">
        <v>63</v>
      </c>
      <c r="C321" s="51">
        <f>B8</f>
        <v>6</v>
      </c>
      <c r="D321" s="67" t="s">
        <v>64</v>
      </c>
      <c r="E321" s="68"/>
      <c r="F321" s="69"/>
      <c r="G321" s="70"/>
      <c r="H321" s="71">
        <f>SUM(H317:H320)</f>
        <v>22.058</v>
      </c>
      <c r="I321" s="72"/>
      <c r="J321" s="73"/>
      <c r="K321" s="71">
        <f>SUM(K317:K320)</f>
        <v>24.0852</v>
      </c>
      <c r="L321" s="74">
        <f t="shared" si="76"/>
        <v>2.0272000000000006</v>
      </c>
      <c r="M321" s="75">
        <f>IF((H321)=0,"",(L321/H321))</f>
        <v>9.1903164384803726E-2</v>
      </c>
    </row>
    <row r="322" spans="1:15" x14ac:dyDescent="0.2">
      <c r="A322" s="3" t="str">
        <f t="shared" si="79"/>
        <v>RESIDENTIAL SERVICE CLASSIFICATION</v>
      </c>
      <c r="C322" s="51"/>
      <c r="D322" s="76" t="s">
        <v>65</v>
      </c>
      <c r="E322" s="53"/>
      <c r="F322" s="62">
        <f>IF((E308*12&gt;=150000), 0, IF(E307="RPP",(F337*0.64+F338*0.18+F339*0.18),IF(E307="Non-RPP (Retailer)",F340,F341)))</f>
        <v>0.10214000000000001</v>
      </c>
      <c r="G322" s="77">
        <f>IF(F322=0, 0, $E308*E310-E308)</f>
        <v>10.915200000000027</v>
      </c>
      <c r="H322" s="56">
        <f>G322*F322</f>
        <v>1.1148785280000029</v>
      </c>
      <c r="I322" s="78">
        <f>IF((E308*12&gt;=150000), 0, IF(E307="RPP",(I337*0.64+I338*0.18+I339*0.18),IF(E307="Non-RPP (Retailer)",I340,I341)))</f>
        <v>0.10214000000000001</v>
      </c>
      <c r="J322" s="77">
        <f>IF(I322=0, 0, E308*E311-E308)</f>
        <v>10.915200000000027</v>
      </c>
      <c r="K322" s="56">
        <f>J322*I322</f>
        <v>1.1148785280000029</v>
      </c>
      <c r="L322" s="60">
        <f>K322-H322</f>
        <v>0</v>
      </c>
      <c r="M322" s="61">
        <f>IF(ISERROR(L322/H322), "", L322/H322)</f>
        <v>0</v>
      </c>
    </row>
    <row r="323" spans="1:15" ht="25.5" x14ac:dyDescent="0.2">
      <c r="A323" s="3" t="str">
        <f t="shared" si="79"/>
        <v>RESIDENTIAL SERVICE CLASSIFICATION</v>
      </c>
      <c r="C323" s="51"/>
      <c r="D323" s="76" t="s">
        <v>103</v>
      </c>
      <c r="E323" s="53"/>
      <c r="F323" s="62">
        <v>-8.0000000000000004E-4</v>
      </c>
      <c r="G323" s="79">
        <f>IF($E309&gt;0, $E309, $E308)</f>
        <v>288</v>
      </c>
      <c r="H323" s="56">
        <f t="shared" si="77"/>
        <v>-0.23040000000000002</v>
      </c>
      <c r="I323" s="85">
        <f>I68</f>
        <v>-3.5999999999999999E-3</v>
      </c>
      <c r="J323" s="79">
        <f>IF($E309&gt;0, $E309, $E308)</f>
        <v>288</v>
      </c>
      <c r="K323" s="56">
        <f t="shared" si="80"/>
        <v>-1.0367999999999999</v>
      </c>
      <c r="L323" s="60">
        <f t="shared" si="76"/>
        <v>-0.80639999999999989</v>
      </c>
      <c r="M323" s="61">
        <f t="shared" si="78"/>
        <v>3.4999999999999991</v>
      </c>
    </row>
    <row r="324" spans="1:15" ht="15" x14ac:dyDescent="0.25">
      <c r="C324" s="51"/>
      <c r="D324" s="80" t="s">
        <v>66</v>
      </c>
      <c r="E324" s="81"/>
      <c r="F324" s="82">
        <v>0</v>
      </c>
      <c r="G324" s="83">
        <f>G323</f>
        <v>288</v>
      </c>
      <c r="H324" s="84">
        <f t="shared" si="77"/>
        <v>0</v>
      </c>
      <c r="I324" s="85">
        <f>I69</f>
        <v>0</v>
      </c>
      <c r="J324" s="83">
        <f>J323</f>
        <v>288</v>
      </c>
      <c r="K324" s="84">
        <f t="shared" si="80"/>
        <v>0</v>
      </c>
      <c r="L324" s="145">
        <f t="shared" si="76"/>
        <v>0</v>
      </c>
      <c r="M324" s="146" t="str">
        <f t="shared" si="78"/>
        <v/>
      </c>
      <c r="O324" s="198"/>
    </row>
    <row r="325" spans="1:15" ht="15" x14ac:dyDescent="0.25">
      <c r="C325" s="51"/>
      <c r="D325" s="80" t="s">
        <v>102</v>
      </c>
      <c r="E325" s="87"/>
      <c r="F325" s="88"/>
      <c r="G325" s="89"/>
      <c r="H325" s="90"/>
      <c r="I325" s="85">
        <f>I70</f>
        <v>-1.56</v>
      </c>
      <c r="J325" s="83">
        <v>1</v>
      </c>
      <c r="K325" s="84">
        <f t="shared" si="80"/>
        <v>-1.56</v>
      </c>
      <c r="L325" s="145">
        <f t="shared" si="76"/>
        <v>-1.56</v>
      </c>
      <c r="M325" s="146" t="str">
        <f t="shared" si="78"/>
        <v/>
      </c>
      <c r="O325" s="198"/>
    </row>
    <row r="326" spans="1:15" x14ac:dyDescent="0.2">
      <c r="A326" s="3" t="str">
        <f>A323</f>
        <v>RESIDENTIAL SERVICE CLASSIFICATION</v>
      </c>
      <c r="C326" s="51"/>
      <c r="D326" s="91" t="s">
        <v>67</v>
      </c>
      <c r="E326" s="53"/>
      <c r="F326" s="62"/>
      <c r="G326" s="79">
        <f>IF($E309&gt;0, $E309, $E308)</f>
        <v>288</v>
      </c>
      <c r="H326" s="56">
        <f t="shared" si="77"/>
        <v>0</v>
      </c>
      <c r="I326" s="78"/>
      <c r="J326" s="79">
        <f>IF($E309&gt;0, $E309, $E308)</f>
        <v>288</v>
      </c>
      <c r="K326" s="56">
        <f t="shared" si="80"/>
        <v>0</v>
      </c>
      <c r="L326" s="60">
        <f t="shared" si="76"/>
        <v>0</v>
      </c>
      <c r="M326" s="61" t="str">
        <f t="shared" si="78"/>
        <v/>
      </c>
    </row>
    <row r="327" spans="1:15" x14ac:dyDescent="0.2">
      <c r="A327" s="3" t="str">
        <f t="shared" si="79"/>
        <v>RESIDENTIAL SERVICE CLASSIFICATION</v>
      </c>
      <c r="C327" s="51"/>
      <c r="D327" s="91" t="s">
        <v>68</v>
      </c>
      <c r="E327" s="53"/>
      <c r="F327" s="62">
        <f>IF(OR(ISNUMBER(SEARCH("RESIDENTIAL", E306))=TRUE, ISNUMBER(SEARCH("GENERAL SERVICE LESS THAN 50", E306))=TRUE), 0.79, 0)</f>
        <v>0.79</v>
      </c>
      <c r="G327" s="55">
        <v>1</v>
      </c>
      <c r="H327" s="56">
        <f>G327*F327</f>
        <v>0.79</v>
      </c>
      <c r="I327" s="78">
        <f>IF(OR(ISNUMBER(SEARCH("RESIDENTIAL", E306))=TRUE, ISNUMBER(SEARCH("GENERAL SERVICE LESS THAN 50", E306))=TRUE), 0.79, 0)</f>
        <v>0.79</v>
      </c>
      <c r="J327" s="55">
        <v>1</v>
      </c>
      <c r="K327" s="56">
        <f>J327*I327</f>
        <v>0.79</v>
      </c>
      <c r="L327" s="60">
        <f t="shared" si="76"/>
        <v>0</v>
      </c>
      <c r="M327" s="61">
        <f>IF(ISERROR(L327/H327), "", L327/H327)</f>
        <v>0</v>
      </c>
    </row>
    <row r="328" spans="1:15" ht="25.5" x14ac:dyDescent="0.2">
      <c r="A328" s="3" t="str">
        <f t="shared" si="79"/>
        <v>RESIDENTIAL SERVICE CLASSIFICATION</v>
      </c>
      <c r="B328" s="34" t="s">
        <v>69</v>
      </c>
      <c r="C328" s="51">
        <f>B8</f>
        <v>6</v>
      </c>
      <c r="D328" s="92" t="s">
        <v>70</v>
      </c>
      <c r="E328" s="93"/>
      <c r="F328" s="94"/>
      <c r="G328" s="70"/>
      <c r="H328" s="95">
        <f>SUM(H321:H327)</f>
        <v>23.732478528000001</v>
      </c>
      <c r="I328" s="96"/>
      <c r="J328" s="73"/>
      <c r="K328" s="95">
        <f>SUM(K321:K327)</f>
        <v>23.393278528000003</v>
      </c>
      <c r="L328" s="74">
        <f t="shared" si="76"/>
        <v>-0.33919999999999817</v>
      </c>
      <c r="M328" s="75">
        <f>IF((H328)=0,"",(L328/H328))</f>
        <v>-1.4292649610945774E-2</v>
      </c>
    </row>
    <row r="329" spans="1:15" x14ac:dyDescent="0.2">
      <c r="A329" s="3" t="str">
        <f t="shared" si="79"/>
        <v>RESIDENTIAL SERVICE CLASSIFICATION</v>
      </c>
      <c r="C329" s="51"/>
      <c r="D329" s="97" t="s">
        <v>71</v>
      </c>
      <c r="E329" s="53"/>
      <c r="F329" s="62">
        <v>7.6E-3</v>
      </c>
      <c r="G329" s="77">
        <f>IF($E309&gt;0, $E309, $E308*$E310)</f>
        <v>298.91520000000003</v>
      </c>
      <c r="H329" s="56">
        <f>G329*F329</f>
        <v>2.2717555200000001</v>
      </c>
      <c r="I329" s="78">
        <v>7.4999999999999997E-3</v>
      </c>
      <c r="J329" s="77">
        <f>IF($E309&gt;0, $E309, $E308*$E311)</f>
        <v>298.91520000000003</v>
      </c>
      <c r="K329" s="56">
        <f>J329*I329</f>
        <v>2.2418640000000001</v>
      </c>
      <c r="L329" s="60">
        <f t="shared" si="76"/>
        <v>-2.989152000000006E-2</v>
      </c>
      <c r="M329" s="61">
        <f>IF(ISERROR(L329/H329), "", L329/H329)</f>
        <v>-1.3157894736842131E-2</v>
      </c>
    </row>
    <row r="330" spans="1:15" ht="25.5" x14ac:dyDescent="0.2">
      <c r="A330" s="3" t="str">
        <f t="shared" si="79"/>
        <v>RESIDENTIAL SERVICE CLASSIFICATION</v>
      </c>
      <c r="C330" s="51"/>
      <c r="D330" s="98" t="s">
        <v>72</v>
      </c>
      <c r="E330" s="53"/>
      <c r="F330" s="62">
        <v>1.4E-3</v>
      </c>
      <c r="G330" s="77">
        <f>IF($E309&gt;0, $E309, $E308*$E310)</f>
        <v>298.91520000000003</v>
      </c>
      <c r="H330" s="56">
        <f>G330*F330</f>
        <v>0.41848128000000001</v>
      </c>
      <c r="I330" s="78">
        <v>1.5E-3</v>
      </c>
      <c r="J330" s="77">
        <f>IF($E309&gt;0, $E309, $E308*$E311)</f>
        <v>298.91520000000003</v>
      </c>
      <c r="K330" s="56">
        <f>J330*I330</f>
        <v>0.44837280000000007</v>
      </c>
      <c r="L330" s="60">
        <f t="shared" si="76"/>
        <v>2.989152000000006E-2</v>
      </c>
      <c r="M330" s="61">
        <f>IF(ISERROR(L330/H330), "", L330/H330)</f>
        <v>7.1428571428571577E-2</v>
      </c>
    </row>
    <row r="331" spans="1:15" ht="25.5" x14ac:dyDescent="0.2">
      <c r="A331" s="3" t="str">
        <f t="shared" si="79"/>
        <v>RESIDENTIAL SERVICE CLASSIFICATION</v>
      </c>
      <c r="B331" s="34" t="s">
        <v>73</v>
      </c>
      <c r="C331" s="51">
        <f>B8</f>
        <v>6</v>
      </c>
      <c r="D331" s="92" t="s">
        <v>74</v>
      </c>
      <c r="E331" s="68"/>
      <c r="F331" s="94"/>
      <c r="G331" s="70"/>
      <c r="H331" s="95">
        <f>SUM(H328:H330)</f>
        <v>26.422715328000002</v>
      </c>
      <c r="I331" s="96"/>
      <c r="J331" s="99"/>
      <c r="K331" s="95">
        <f>SUM(K328:K330)</f>
        <v>26.083515328000004</v>
      </c>
      <c r="L331" s="74">
        <f t="shared" si="76"/>
        <v>-0.33919999999999817</v>
      </c>
      <c r="M331" s="75">
        <f>IF((H331)=0,"",(L331/H331))</f>
        <v>-1.2837439142393887E-2</v>
      </c>
    </row>
    <row r="332" spans="1:15" ht="25.5" x14ac:dyDescent="0.2">
      <c r="A332" s="3" t="str">
        <f>A331</f>
        <v>RESIDENTIAL SERVICE CLASSIFICATION</v>
      </c>
      <c r="C332" s="51"/>
      <c r="D332" s="100" t="s">
        <v>75</v>
      </c>
      <c r="E332" s="53"/>
      <c r="F332" s="62">
        <v>4.4000000000000003E-3</v>
      </c>
      <c r="G332" s="77">
        <f>E308*E310</f>
        <v>298.91520000000003</v>
      </c>
      <c r="H332" s="101">
        <f t="shared" ref="H332:H339" si="81">G332*F332</f>
        <v>1.3152268800000002</v>
      </c>
      <c r="I332" s="102">
        <v>3.5999999999999999E-3</v>
      </c>
      <c r="J332" s="77">
        <f>E308*E311</f>
        <v>298.91520000000003</v>
      </c>
      <c r="K332" s="101">
        <f t="shared" ref="K332:K339" si="82">J332*I332</f>
        <v>1.0760947200000002</v>
      </c>
      <c r="L332" s="60">
        <f t="shared" si="76"/>
        <v>-0.23913216000000004</v>
      </c>
      <c r="M332" s="61">
        <f>IF(ISERROR(L332/H332), "", L332/H332)</f>
        <v>-0.18181818181818182</v>
      </c>
    </row>
    <row r="333" spans="1:15" ht="25.5" x14ac:dyDescent="0.2">
      <c r="A333" s="3" t="str">
        <f>A332</f>
        <v>RESIDENTIAL SERVICE CLASSIFICATION</v>
      </c>
      <c r="C333" s="51"/>
      <c r="D333" s="100" t="s">
        <v>76</v>
      </c>
      <c r="E333" s="53"/>
      <c r="F333" s="62">
        <v>1.2999999999999999E-3</v>
      </c>
      <c r="G333" s="77">
        <f>E308*E310</f>
        <v>298.91520000000003</v>
      </c>
      <c r="H333" s="101">
        <f t="shared" si="81"/>
        <v>0.38858976000000001</v>
      </c>
      <c r="I333" s="78">
        <v>1.2999999999999999E-3</v>
      </c>
      <c r="J333" s="77">
        <f>E308*E311</f>
        <v>298.91520000000003</v>
      </c>
      <c r="K333" s="101">
        <f t="shared" si="82"/>
        <v>0.38858976000000001</v>
      </c>
      <c r="L333" s="60">
        <f t="shared" si="76"/>
        <v>0</v>
      </c>
      <c r="M333" s="61">
        <f>IF(ISERROR(L333/H333), "", L333/H333)</f>
        <v>0</v>
      </c>
    </row>
    <row r="334" spans="1:15" x14ac:dyDescent="0.2">
      <c r="A334" s="3" t="str">
        <f>A333</f>
        <v>RESIDENTIAL SERVICE CLASSIFICATION</v>
      </c>
      <c r="C334" s="51"/>
      <c r="D334" s="103" t="s">
        <v>77</v>
      </c>
      <c r="E334" s="53"/>
      <c r="F334" s="62">
        <v>0.25</v>
      </c>
      <c r="G334" s="55">
        <v>1</v>
      </c>
      <c r="H334" s="101">
        <f t="shared" si="81"/>
        <v>0.25</v>
      </c>
      <c r="I334" s="104">
        <v>0.25</v>
      </c>
      <c r="J334" s="58">
        <v>1</v>
      </c>
      <c r="K334" s="101">
        <f t="shared" si="82"/>
        <v>0.25</v>
      </c>
      <c r="L334" s="60">
        <f t="shared" si="76"/>
        <v>0</v>
      </c>
      <c r="M334" s="61">
        <f>IF(ISERROR(L334/H334), "", L334/H334)</f>
        <v>0</v>
      </c>
    </row>
    <row r="335" spans="1:15" x14ac:dyDescent="0.2">
      <c r="A335" s="3" t="str">
        <f>A334</f>
        <v>RESIDENTIAL SERVICE CLASSIFICATION</v>
      </c>
      <c r="C335" s="51"/>
      <c r="D335" s="103" t="s">
        <v>78</v>
      </c>
      <c r="E335" s="53"/>
      <c r="F335" s="62">
        <v>7.0000000000000001E-3</v>
      </c>
      <c r="G335" s="79">
        <f>E308</f>
        <v>288</v>
      </c>
      <c r="H335" s="101">
        <f t="shared" si="81"/>
        <v>2.016</v>
      </c>
      <c r="I335" s="105">
        <f>IF(ISERROR(FIND("RESIDENTIAL", UPPER(E306))), 0.007, 0)</f>
        <v>0</v>
      </c>
      <c r="J335" s="79">
        <f>E308</f>
        <v>288</v>
      </c>
      <c r="K335" s="101">
        <f t="shared" si="82"/>
        <v>0</v>
      </c>
      <c r="L335" s="60">
        <f t="shared" si="76"/>
        <v>-2.016</v>
      </c>
      <c r="M335" s="61">
        <f>IF(ISERROR(L335/H335), "", L335/H335)</f>
        <v>-1</v>
      </c>
      <c r="N335" s="108"/>
    </row>
    <row r="336" spans="1:15" ht="25.5" x14ac:dyDescent="0.2">
      <c r="A336" s="3" t="str">
        <f>A335</f>
        <v>RESIDENTIAL SERVICE CLASSIFICATION</v>
      </c>
      <c r="C336" s="51"/>
      <c r="D336" s="100" t="s">
        <v>79</v>
      </c>
      <c r="E336" s="53"/>
      <c r="F336" s="106"/>
      <c r="G336" s="107"/>
      <c r="H336" s="107"/>
      <c r="I336" s="102">
        <v>1.1000000000000001E-3</v>
      </c>
      <c r="J336" s="77">
        <f>E308*E311</f>
        <v>298.91520000000003</v>
      </c>
      <c r="K336" s="101">
        <f>J336*I336</f>
        <v>0.32880672000000005</v>
      </c>
      <c r="L336" s="60">
        <f t="shared" si="76"/>
        <v>0.32880672000000005</v>
      </c>
      <c r="M336" s="107"/>
      <c r="N336" s="108"/>
    </row>
    <row r="337" spans="1:13" x14ac:dyDescent="0.2">
      <c r="A337" s="3" t="str">
        <f>A335</f>
        <v>RESIDENTIAL SERVICE CLASSIFICATION</v>
      </c>
      <c r="B337" s="34" t="s">
        <v>12</v>
      </c>
      <c r="C337" s="51"/>
      <c r="D337" s="109" t="s">
        <v>80</v>
      </c>
      <c r="E337" s="53"/>
      <c r="F337" s="110">
        <v>0.08</v>
      </c>
      <c r="G337" s="111">
        <f>IF(AND(E308*12&gt;=150000),0.64*E308*E310,0.64*E308)</f>
        <v>184.32</v>
      </c>
      <c r="H337" s="101">
        <f t="shared" si="81"/>
        <v>14.7456</v>
      </c>
      <c r="I337" s="63">
        <v>0.08</v>
      </c>
      <c r="J337" s="111">
        <f>IF(AND(E308*12&gt;=150000),0.64*E308*E311,0.64*E308)</f>
        <v>184.32</v>
      </c>
      <c r="K337" s="101">
        <f t="shared" si="82"/>
        <v>14.7456</v>
      </c>
      <c r="L337" s="60">
        <f t="shared" si="76"/>
        <v>0</v>
      </c>
      <c r="M337" s="61">
        <f>IF(ISERROR(L337/H337), "", L337/H337)</f>
        <v>0</v>
      </c>
    </row>
    <row r="338" spans="1:13" x14ac:dyDescent="0.2">
      <c r="A338" s="3" t="str">
        <f t="shared" ref="A338:A360" si="83">A337</f>
        <v>RESIDENTIAL SERVICE CLASSIFICATION</v>
      </c>
      <c r="B338" s="34" t="s">
        <v>12</v>
      </c>
      <c r="C338" s="51"/>
      <c r="D338" s="109" t="s">
        <v>81</v>
      </c>
      <c r="E338" s="53"/>
      <c r="F338" s="110">
        <v>0.122</v>
      </c>
      <c r="G338" s="111">
        <f>IF(AND(E308*12&gt;=150000),0.18*E308*E310,0.18*E308)</f>
        <v>51.839999999999996</v>
      </c>
      <c r="H338" s="101">
        <f t="shared" si="81"/>
        <v>6.3244799999999994</v>
      </c>
      <c r="I338" s="63">
        <v>0.122</v>
      </c>
      <c r="J338" s="111">
        <f>IF(AND(E308*12&gt;=150000),0.18*E308*E311,0.18*E308)</f>
        <v>51.839999999999996</v>
      </c>
      <c r="K338" s="101">
        <f t="shared" si="82"/>
        <v>6.3244799999999994</v>
      </c>
      <c r="L338" s="60">
        <f t="shared" si="76"/>
        <v>0</v>
      </c>
      <c r="M338" s="61">
        <f>IF(ISERROR(L338/H338), "", L338/H338)</f>
        <v>0</v>
      </c>
    </row>
    <row r="339" spans="1:13" x14ac:dyDescent="0.2">
      <c r="A339" s="3" t="str">
        <f t="shared" si="83"/>
        <v>RESIDENTIAL SERVICE CLASSIFICATION</v>
      </c>
      <c r="B339" s="34" t="s">
        <v>12</v>
      </c>
      <c r="C339" s="51"/>
      <c r="D339" s="34" t="s">
        <v>82</v>
      </c>
      <c r="E339" s="53"/>
      <c r="F339" s="110">
        <v>0.161</v>
      </c>
      <c r="G339" s="111">
        <f>IF(AND(E308*12&gt;=150000),0.18*E308*E310,0.18*E308)</f>
        <v>51.839999999999996</v>
      </c>
      <c r="H339" s="101">
        <f t="shared" si="81"/>
        <v>8.3462399999999999</v>
      </c>
      <c r="I339" s="63">
        <v>0.161</v>
      </c>
      <c r="J339" s="111">
        <f>IF(AND(E308*12&gt;=150000),0.18*E308*E311,0.18*E308)</f>
        <v>51.839999999999996</v>
      </c>
      <c r="K339" s="101">
        <f t="shared" si="82"/>
        <v>8.3462399999999999</v>
      </c>
      <c r="L339" s="60">
        <f t="shared" si="76"/>
        <v>0</v>
      </c>
      <c r="M339" s="61">
        <f>IF(ISERROR(L339/H339), "", L339/H339)</f>
        <v>0</v>
      </c>
    </row>
    <row r="340" spans="1:13" x14ac:dyDescent="0.2">
      <c r="A340" s="3" t="str">
        <f t="shared" si="83"/>
        <v>RESIDENTIAL SERVICE CLASSIFICATION</v>
      </c>
      <c r="B340" s="3" t="s">
        <v>24</v>
      </c>
      <c r="C340" s="51"/>
      <c r="D340" s="109" t="s">
        <v>83</v>
      </c>
      <c r="E340" s="53"/>
      <c r="F340" s="112"/>
      <c r="G340" s="111"/>
      <c r="H340" s="101">
        <f>G340*F340</f>
        <v>0</v>
      </c>
      <c r="I340" s="63">
        <f>F340</f>
        <v>0</v>
      </c>
      <c r="J340" s="111"/>
      <c r="K340" s="101">
        <f>J340*I340</f>
        <v>0</v>
      </c>
      <c r="L340" s="60">
        <f t="shared" si="76"/>
        <v>0</v>
      </c>
      <c r="M340" s="61" t="str">
        <f>IF(ISERROR(L340/H340), "", L340/H340)</f>
        <v/>
      </c>
    </row>
    <row r="341" spans="1:13" ht="13.5" thickBot="1" x14ac:dyDescent="0.25">
      <c r="A341" s="3" t="str">
        <f t="shared" si="83"/>
        <v>RESIDENTIAL SERVICE CLASSIFICATION</v>
      </c>
      <c r="B341" s="3" t="s">
        <v>18</v>
      </c>
      <c r="C341" s="51"/>
      <c r="D341" s="109" t="s">
        <v>84</v>
      </c>
      <c r="E341" s="53"/>
      <c r="F341" s="112"/>
      <c r="G341" s="111"/>
      <c r="H341" s="101">
        <f>G341*F341</f>
        <v>0</v>
      </c>
      <c r="I341" s="113">
        <f>F341</f>
        <v>0</v>
      </c>
      <c r="J341" s="111"/>
      <c r="K341" s="101">
        <f>J341*I341</f>
        <v>0</v>
      </c>
      <c r="L341" s="60">
        <f t="shared" si="76"/>
        <v>0</v>
      </c>
      <c r="M341" s="61" t="str">
        <f>IF(ISERROR(L341/H341), "", L341/H341)</f>
        <v/>
      </c>
    </row>
    <row r="342" spans="1:13" ht="13.5" thickBot="1" x14ac:dyDescent="0.25">
      <c r="A342" s="3" t="str">
        <f t="shared" si="83"/>
        <v>RESIDENTIAL SERVICE CLASSIFICATION</v>
      </c>
      <c r="B342" s="34"/>
      <c r="C342" s="51"/>
      <c r="D342" s="114"/>
      <c r="E342" s="115"/>
      <c r="F342" s="116"/>
      <c r="G342" s="117"/>
      <c r="H342" s="118"/>
      <c r="I342" s="116"/>
      <c r="J342" s="119"/>
      <c r="K342" s="118"/>
      <c r="L342" s="120"/>
      <c r="M342" s="121"/>
    </row>
    <row r="343" spans="1:13" x14ac:dyDescent="0.2">
      <c r="A343" s="3" t="str">
        <f t="shared" si="83"/>
        <v>RESIDENTIAL SERVICE CLASSIFICATION</v>
      </c>
      <c r="B343" s="34" t="s">
        <v>12</v>
      </c>
      <c r="C343" s="51"/>
      <c r="D343" s="122" t="s">
        <v>85</v>
      </c>
      <c r="E343" s="103"/>
      <c r="F343" s="123"/>
      <c r="G343" s="124"/>
      <c r="H343" s="125">
        <f>SUM(H332:H339,H331)</f>
        <v>59.808851968000006</v>
      </c>
      <c r="I343" s="126"/>
      <c r="J343" s="126"/>
      <c r="K343" s="125">
        <f>SUM(K332:K339,K331)</f>
        <v>57.543326528000009</v>
      </c>
      <c r="L343" s="127">
        <f>K343-H343</f>
        <v>-2.2655254399999976</v>
      </c>
      <c r="M343" s="128">
        <f>IF((H343)=0,"",(L343/H343))</f>
        <v>-3.7879433653268235E-2</v>
      </c>
    </row>
    <row r="344" spans="1:13" x14ac:dyDescent="0.2">
      <c r="A344" s="3" t="str">
        <f t="shared" si="83"/>
        <v>RESIDENTIAL SERVICE CLASSIFICATION</v>
      </c>
      <c r="B344" s="34" t="s">
        <v>12</v>
      </c>
      <c r="C344" s="51"/>
      <c r="D344" s="129" t="s">
        <v>86</v>
      </c>
      <c r="E344" s="103"/>
      <c r="F344" s="123">
        <v>0.13</v>
      </c>
      <c r="G344" s="130"/>
      <c r="H344" s="131">
        <f>H343*F344</f>
        <v>7.7751507558400013</v>
      </c>
      <c r="I344" s="132">
        <v>0.13</v>
      </c>
      <c r="J344" s="55"/>
      <c r="K344" s="131">
        <f>K343*I344</f>
        <v>7.4806324486400015</v>
      </c>
      <c r="L344" s="133">
        <f>K344-H344</f>
        <v>-0.29451830719999972</v>
      </c>
      <c r="M344" s="134">
        <f>IF((H344)=0,"",(L344/H344))</f>
        <v>-3.7879433653268235E-2</v>
      </c>
    </row>
    <row r="345" spans="1:13" x14ac:dyDescent="0.2">
      <c r="A345" s="3" t="str">
        <f t="shared" si="83"/>
        <v>RESIDENTIAL SERVICE CLASSIFICATION</v>
      </c>
      <c r="B345" s="34" t="s">
        <v>12</v>
      </c>
      <c r="C345" s="51"/>
      <c r="D345" s="135" t="s">
        <v>87</v>
      </c>
      <c r="E345" s="103"/>
      <c r="F345" s="136"/>
      <c r="G345" s="130"/>
      <c r="H345" s="131">
        <f>H343+H344</f>
        <v>67.584002723840001</v>
      </c>
      <c r="I345" s="55"/>
      <c r="J345" s="55"/>
      <c r="K345" s="131">
        <f>K343+K344</f>
        <v>65.023958976640017</v>
      </c>
      <c r="L345" s="133">
        <f>K345-H345</f>
        <v>-2.560043747199984</v>
      </c>
      <c r="M345" s="134">
        <f>IF((H345)=0,"",(L345/H345))</f>
        <v>-3.7879433653268041E-2</v>
      </c>
    </row>
    <row r="346" spans="1:13" x14ac:dyDescent="0.2">
      <c r="A346" s="3" t="str">
        <f t="shared" si="83"/>
        <v>RESIDENTIAL SERVICE CLASSIFICATION</v>
      </c>
      <c r="B346" s="34" t="s">
        <v>12</v>
      </c>
      <c r="C346" s="51"/>
      <c r="D346" s="208" t="s">
        <v>88</v>
      </c>
      <c r="E346" s="208"/>
      <c r="F346" s="136"/>
      <c r="G346" s="130"/>
      <c r="H346" s="137">
        <f>ROUND(-H345*10%,2)</f>
        <v>-6.76</v>
      </c>
      <c r="I346" s="107"/>
      <c r="J346" s="107"/>
      <c r="K346" s="107"/>
      <c r="L346" s="133">
        <f>K346-H346</f>
        <v>6.76</v>
      </c>
      <c r="M346" s="134">
        <f>IF((H346)=0,"",(L346/H346))</f>
        <v>-1</v>
      </c>
    </row>
    <row r="347" spans="1:13" ht="13.5" thickBot="1" x14ac:dyDescent="0.25">
      <c r="A347" s="3" t="str">
        <f t="shared" si="83"/>
        <v>RESIDENTIAL SERVICE CLASSIFICATION</v>
      </c>
      <c r="B347" s="34" t="s">
        <v>89</v>
      </c>
      <c r="C347" s="51">
        <f>B8</f>
        <v>6</v>
      </c>
      <c r="D347" s="209" t="s">
        <v>90</v>
      </c>
      <c r="E347" s="209"/>
      <c r="F347" s="138"/>
      <c r="G347" s="139"/>
      <c r="H347" s="140">
        <f>H345+H346</f>
        <v>60.824002723840003</v>
      </c>
      <c r="I347" s="141"/>
      <c r="J347" s="141"/>
      <c r="K347" s="140">
        <f>K345+K346</f>
        <v>65.023958976640017</v>
      </c>
      <c r="L347" s="142">
        <f>K347-H347</f>
        <v>4.1999562528000141</v>
      </c>
      <c r="M347" s="143">
        <f>IF((H347)=0,"",(L347/H347))</f>
        <v>6.9050967787653322E-2</v>
      </c>
    </row>
    <row r="348" spans="1:13" ht="13.5" thickBot="1" x14ac:dyDescent="0.25">
      <c r="A348" s="3" t="str">
        <f t="shared" si="83"/>
        <v>RESIDENTIAL SERVICE CLASSIFICATION</v>
      </c>
      <c r="B348" s="3" t="s">
        <v>12</v>
      </c>
      <c r="C348" s="51"/>
      <c r="D348" s="114"/>
      <c r="E348" s="115"/>
      <c r="F348" s="116"/>
      <c r="G348" s="117"/>
      <c r="H348" s="118"/>
      <c r="I348" s="116"/>
      <c r="J348" s="119"/>
      <c r="K348" s="118"/>
      <c r="L348" s="120"/>
      <c r="M348" s="121"/>
    </row>
    <row r="349" spans="1:13" hidden="1" x14ac:dyDescent="0.2">
      <c r="A349" s="3" t="str">
        <f t="shared" si="83"/>
        <v>RESIDENTIAL SERVICE CLASSIFICATION</v>
      </c>
      <c r="B349" s="3" t="s">
        <v>24</v>
      </c>
      <c r="C349" s="51"/>
      <c r="D349" s="122" t="s">
        <v>92</v>
      </c>
      <c r="E349" s="103"/>
      <c r="F349" s="123"/>
      <c r="G349" s="123"/>
      <c r="H349" s="123"/>
      <c r="I349" s="123"/>
      <c r="J349" s="123"/>
      <c r="K349" s="123"/>
      <c r="L349" s="123"/>
      <c r="M349" s="123"/>
    </row>
    <row r="350" spans="1:13" hidden="1" x14ac:dyDescent="0.2">
      <c r="A350" s="3" t="str">
        <f t="shared" si="83"/>
        <v>RESIDENTIAL SERVICE CLASSIFICATION</v>
      </c>
      <c r="B350" s="3" t="s">
        <v>24</v>
      </c>
      <c r="C350" s="51"/>
      <c r="D350" s="129" t="s">
        <v>86</v>
      </c>
      <c r="E350" s="103"/>
      <c r="F350" s="123"/>
      <c r="G350" s="123"/>
      <c r="H350" s="123"/>
      <c r="I350" s="123"/>
      <c r="J350" s="123"/>
      <c r="K350" s="123"/>
      <c r="L350" s="123"/>
      <c r="M350" s="123"/>
    </row>
    <row r="351" spans="1:13" hidden="1" x14ac:dyDescent="0.2">
      <c r="A351" s="3" t="str">
        <f t="shared" si="83"/>
        <v>RESIDENTIAL SERVICE CLASSIFICATION</v>
      </c>
      <c r="B351" s="3" t="s">
        <v>24</v>
      </c>
      <c r="C351" s="51"/>
      <c r="D351" s="135" t="s">
        <v>87</v>
      </c>
      <c r="E351" s="103"/>
      <c r="F351" s="123"/>
      <c r="G351" s="123"/>
      <c r="H351" s="123"/>
      <c r="I351" s="123"/>
      <c r="J351" s="123"/>
      <c r="K351" s="123"/>
      <c r="L351" s="123"/>
      <c r="M351" s="123"/>
    </row>
    <row r="352" spans="1:13" hidden="1" x14ac:dyDescent="0.2">
      <c r="A352" s="3" t="str">
        <f t="shared" si="83"/>
        <v>RESIDENTIAL SERVICE CLASSIFICATION</v>
      </c>
      <c r="B352" s="3" t="s">
        <v>24</v>
      </c>
      <c r="C352" s="51"/>
      <c r="D352" s="208" t="s">
        <v>88</v>
      </c>
      <c r="E352" s="208"/>
      <c r="F352" s="123"/>
      <c r="G352" s="123"/>
      <c r="H352" s="123"/>
      <c r="I352" s="123"/>
      <c r="J352" s="123"/>
      <c r="K352" s="123"/>
      <c r="L352" s="123"/>
      <c r="M352" s="123"/>
    </row>
    <row r="353" spans="1:13" ht="13.5" hidden="1" thickBot="1" x14ac:dyDescent="0.25">
      <c r="A353" s="3" t="str">
        <f t="shared" si="83"/>
        <v>RESIDENTIAL SERVICE CLASSIFICATION</v>
      </c>
      <c r="B353" s="3" t="s">
        <v>93</v>
      </c>
      <c r="C353" s="51"/>
      <c r="D353" s="209" t="s">
        <v>92</v>
      </c>
      <c r="E353" s="209"/>
      <c r="F353" s="123"/>
      <c r="G353" s="123"/>
      <c r="H353" s="123"/>
      <c r="I353" s="123"/>
      <c r="J353" s="123"/>
      <c r="K353" s="123"/>
      <c r="L353" s="123"/>
      <c r="M353" s="123"/>
    </row>
    <row r="354" spans="1:13" ht="13.5" hidden="1" thickBot="1" x14ac:dyDescent="0.25">
      <c r="A354" s="3" t="str">
        <f t="shared" si="83"/>
        <v>RESIDENTIAL SERVICE CLASSIFICATION</v>
      </c>
      <c r="B354" s="3" t="s">
        <v>24</v>
      </c>
      <c r="C354" s="51"/>
      <c r="D354" s="114"/>
      <c r="E354" s="115"/>
      <c r="F354" s="150"/>
      <c r="G354" s="151"/>
      <c r="H354" s="152"/>
      <c r="I354" s="150"/>
      <c r="J354" s="117"/>
      <c r="K354" s="152"/>
      <c r="L354" s="153"/>
      <c r="M354" s="121"/>
    </row>
    <row r="355" spans="1:13" hidden="1" x14ac:dyDescent="0.2">
      <c r="A355" s="3" t="str">
        <f t="shared" si="83"/>
        <v>RESIDENTIAL SERVICE CLASSIFICATION</v>
      </c>
      <c r="B355" s="3" t="s">
        <v>18</v>
      </c>
      <c r="C355" s="51"/>
      <c r="D355" s="122" t="s">
        <v>94</v>
      </c>
      <c r="E355" s="103"/>
      <c r="F355" s="123"/>
      <c r="G355" s="123"/>
      <c r="H355" s="123"/>
      <c r="I355" s="123"/>
      <c r="J355" s="123"/>
      <c r="K355" s="123"/>
      <c r="L355" s="123"/>
      <c r="M355" s="123"/>
    </row>
    <row r="356" spans="1:13" hidden="1" x14ac:dyDescent="0.2">
      <c r="A356" s="3" t="str">
        <f t="shared" si="83"/>
        <v>RESIDENTIAL SERVICE CLASSIFICATION</v>
      </c>
      <c r="B356" s="3" t="s">
        <v>18</v>
      </c>
      <c r="C356" s="51"/>
      <c r="D356" s="129" t="s">
        <v>86</v>
      </c>
      <c r="E356" s="103"/>
      <c r="F356" s="123"/>
      <c r="G356" s="123"/>
      <c r="H356" s="123"/>
      <c r="I356" s="123"/>
      <c r="J356" s="123"/>
      <c r="K356" s="123"/>
      <c r="L356" s="123"/>
      <c r="M356" s="123"/>
    </row>
    <row r="357" spans="1:13" hidden="1" x14ac:dyDescent="0.2">
      <c r="A357" s="3" t="str">
        <f t="shared" si="83"/>
        <v>RESIDENTIAL SERVICE CLASSIFICATION</v>
      </c>
      <c r="B357" s="3" t="s">
        <v>18</v>
      </c>
      <c r="C357" s="51"/>
      <c r="D357" s="135" t="s">
        <v>87</v>
      </c>
      <c r="E357" s="103"/>
      <c r="F357" s="123"/>
      <c r="G357" s="123"/>
      <c r="H357" s="123"/>
      <c r="I357" s="123"/>
      <c r="J357" s="123"/>
      <c r="K357" s="123"/>
      <c r="L357" s="123"/>
      <c r="M357" s="123"/>
    </row>
    <row r="358" spans="1:13" hidden="1" x14ac:dyDescent="0.2">
      <c r="A358" s="3" t="str">
        <f t="shared" si="83"/>
        <v>RESIDENTIAL SERVICE CLASSIFICATION</v>
      </c>
      <c r="B358" s="3" t="s">
        <v>18</v>
      </c>
      <c r="C358" s="51"/>
      <c r="D358" s="208" t="s">
        <v>88</v>
      </c>
      <c r="E358" s="208"/>
      <c r="F358" s="123"/>
      <c r="G358" s="123"/>
      <c r="H358" s="123"/>
      <c r="I358" s="123"/>
      <c r="J358" s="123"/>
      <c r="K358" s="123"/>
      <c r="L358" s="123"/>
      <c r="M358" s="123"/>
    </row>
    <row r="359" spans="1:13" ht="13.5" hidden="1" thickBot="1" x14ac:dyDescent="0.25">
      <c r="A359" s="3" t="str">
        <f t="shared" si="83"/>
        <v>RESIDENTIAL SERVICE CLASSIFICATION</v>
      </c>
      <c r="B359" s="3" t="s">
        <v>95</v>
      </c>
      <c r="C359" s="51"/>
      <c r="D359" s="209" t="s">
        <v>94</v>
      </c>
      <c r="E359" s="209"/>
      <c r="F359" s="123"/>
      <c r="G359" s="123"/>
      <c r="H359" s="123"/>
      <c r="I359" s="123"/>
      <c r="J359" s="123"/>
      <c r="K359" s="123"/>
      <c r="L359" s="123"/>
      <c r="M359" s="123"/>
    </row>
    <row r="360" spans="1:13" ht="13.5" hidden="1" thickBot="1" x14ac:dyDescent="0.25">
      <c r="A360" s="3" t="str">
        <f t="shared" si="83"/>
        <v>RESIDENTIAL SERVICE CLASSIFICATION</v>
      </c>
      <c r="B360" s="3" t="s">
        <v>18</v>
      </c>
      <c r="C360" s="51"/>
      <c r="D360" s="114"/>
      <c r="E360" s="115"/>
      <c r="F360" s="160"/>
      <c r="G360" s="161"/>
      <c r="H360" s="162"/>
      <c r="I360" s="160"/>
      <c r="J360" s="163"/>
      <c r="K360" s="162"/>
      <c r="L360" s="164"/>
      <c r="M360" s="165"/>
    </row>
    <row r="362" spans="1:13" hidden="1" x14ac:dyDescent="0.2">
      <c r="D362" s="30" t="s">
        <v>42</v>
      </c>
      <c r="E362" s="210" t="s">
        <v>10</v>
      </c>
      <c r="F362" s="210"/>
      <c r="G362" s="210"/>
      <c r="H362" s="210"/>
      <c r="I362" s="210"/>
      <c r="J362" s="210"/>
      <c r="K362" s="170" t="s">
        <v>23</v>
      </c>
    </row>
    <row r="363" spans="1:13" hidden="1" x14ac:dyDescent="0.2">
      <c r="D363" s="30" t="s">
        <v>44</v>
      </c>
      <c r="E363" s="211" t="s">
        <v>96</v>
      </c>
      <c r="F363" s="211"/>
      <c r="G363" s="211"/>
      <c r="H363" s="31"/>
      <c r="I363" s="31"/>
    </row>
    <row r="364" spans="1:13" ht="15.75" hidden="1" x14ac:dyDescent="0.2">
      <c r="D364" s="30" t="s">
        <v>45</v>
      </c>
      <c r="E364" s="171">
        <v>365</v>
      </c>
      <c r="F364" s="33" t="s">
        <v>11</v>
      </c>
      <c r="G364" s="34"/>
      <c r="J364" s="35"/>
      <c r="K364" s="35"/>
      <c r="L364" s="35"/>
      <c r="M364" s="35"/>
    </row>
    <row r="365" spans="1:13" ht="15.75" hidden="1" x14ac:dyDescent="0.25">
      <c r="D365" s="30" t="s">
        <v>46</v>
      </c>
      <c r="E365" s="32">
        <f>M62</f>
        <v>0.15354980737479357</v>
      </c>
      <c r="F365" s="36" t="s">
        <v>17</v>
      </c>
      <c r="G365" s="37"/>
      <c r="H365" s="38"/>
      <c r="I365" s="38"/>
      <c r="J365" s="38"/>
    </row>
    <row r="366" spans="1:13" hidden="1" x14ac:dyDescent="0.2">
      <c r="D366" s="30" t="s">
        <v>47</v>
      </c>
      <c r="E366" s="39">
        <v>1.0379</v>
      </c>
    </row>
    <row r="367" spans="1:13" hidden="1" x14ac:dyDescent="0.2">
      <c r="D367" s="30" t="s">
        <v>48</v>
      </c>
      <c r="E367" s="39">
        <v>1.0379</v>
      </c>
    </row>
    <row r="368" spans="1:13" hidden="1" x14ac:dyDescent="0.2">
      <c r="D368" s="33" t="s">
        <v>49</v>
      </c>
      <c r="E368" s="40" t="s">
        <v>13</v>
      </c>
    </row>
    <row r="369" spans="4:13" hidden="1" x14ac:dyDescent="0.2">
      <c r="D369" s="34"/>
    </row>
    <row r="370" spans="4:13" hidden="1" x14ac:dyDescent="0.2">
      <c r="E370" s="3" t="s">
        <v>97</v>
      </c>
    </row>
    <row r="371" spans="4:13" hidden="1" x14ac:dyDescent="0.2">
      <c r="F371" s="3" t="s">
        <v>98</v>
      </c>
      <c r="H371" s="3" t="s">
        <v>99</v>
      </c>
    </row>
    <row r="373" spans="4:13" x14ac:dyDescent="0.2">
      <c r="D373" s="30" t="s">
        <v>42</v>
      </c>
      <c r="E373" s="210" t="s">
        <v>10</v>
      </c>
      <c r="F373" s="210"/>
      <c r="G373" s="210"/>
      <c r="H373" s="210"/>
      <c r="I373" s="210"/>
      <c r="J373" s="210"/>
      <c r="K373" s="3" t="s">
        <v>23</v>
      </c>
    </row>
    <row r="374" spans="4:13" x14ac:dyDescent="0.2">
      <c r="D374" s="30" t="s">
        <v>44</v>
      </c>
      <c r="E374" s="212" t="s">
        <v>96</v>
      </c>
      <c r="F374" s="212"/>
      <c r="G374" s="212"/>
      <c r="H374" s="31"/>
      <c r="I374" s="31"/>
    </row>
    <row r="375" spans="4:13" ht="15.75" x14ac:dyDescent="0.2">
      <c r="D375" s="30" t="s">
        <v>45</v>
      </c>
      <c r="E375" s="172">
        <v>365</v>
      </c>
      <c r="F375" s="33" t="s">
        <v>11</v>
      </c>
      <c r="G375" s="34"/>
      <c r="J375" s="35"/>
      <c r="K375" s="35"/>
      <c r="L375" s="35"/>
      <c r="M375" s="35"/>
    </row>
    <row r="376" spans="4:13" ht="15.75" x14ac:dyDescent="0.25">
      <c r="D376" s="30" t="s">
        <v>46</v>
      </c>
      <c r="E376" s="32"/>
      <c r="F376" s="36" t="s">
        <v>17</v>
      </c>
      <c r="G376" s="37"/>
      <c r="H376" s="38"/>
      <c r="I376" s="38"/>
      <c r="J376" s="38"/>
    </row>
    <row r="377" spans="4:13" x14ac:dyDescent="0.2">
      <c r="D377" s="30" t="s">
        <v>47</v>
      </c>
      <c r="E377" s="39">
        <v>1.0379</v>
      </c>
    </row>
    <row r="378" spans="4:13" x14ac:dyDescent="0.2">
      <c r="D378" s="30" t="s">
        <v>48</v>
      </c>
      <c r="E378" s="39">
        <v>1.0379</v>
      </c>
    </row>
    <row r="379" spans="4:13" x14ac:dyDescent="0.2">
      <c r="D379" s="33" t="s">
        <v>49</v>
      </c>
      <c r="E379" s="40" t="s">
        <v>13</v>
      </c>
    </row>
    <row r="380" spans="4:13" x14ac:dyDescent="0.2">
      <c r="D380" s="34"/>
    </row>
    <row r="381" spans="4:13" x14ac:dyDescent="0.2">
      <c r="D381" s="34"/>
      <c r="E381" s="41"/>
      <c r="F381" s="200" t="s">
        <v>50</v>
      </c>
      <c r="G381" s="213"/>
      <c r="H381" s="201"/>
      <c r="I381" s="200" t="s">
        <v>51</v>
      </c>
      <c r="J381" s="213"/>
      <c r="K381" s="201"/>
      <c r="L381" s="200" t="s">
        <v>52</v>
      </c>
      <c r="M381" s="201"/>
    </row>
    <row r="382" spans="4:13" x14ac:dyDescent="0.2">
      <c r="D382" s="34"/>
      <c r="E382" s="202"/>
      <c r="F382" s="42" t="s">
        <v>53</v>
      </c>
      <c r="G382" s="42" t="s">
        <v>54</v>
      </c>
      <c r="H382" s="43" t="s">
        <v>55</v>
      </c>
      <c r="I382" s="42" t="s">
        <v>53</v>
      </c>
      <c r="J382" s="144" t="s">
        <v>54</v>
      </c>
      <c r="K382" s="43" t="s">
        <v>55</v>
      </c>
      <c r="L382" s="204" t="s">
        <v>56</v>
      </c>
      <c r="M382" s="206" t="s">
        <v>57</v>
      </c>
    </row>
    <row r="383" spans="4:13" x14ac:dyDescent="0.2">
      <c r="D383" s="34"/>
      <c r="E383" s="203"/>
      <c r="F383" s="47" t="s">
        <v>58</v>
      </c>
      <c r="G383" s="47"/>
      <c r="H383" s="48" t="s">
        <v>58</v>
      </c>
      <c r="I383" s="47" t="s">
        <v>58</v>
      </c>
      <c r="J383" s="48"/>
      <c r="K383" s="48" t="s">
        <v>58</v>
      </c>
      <c r="L383" s="205"/>
      <c r="M383" s="207"/>
    </row>
    <row r="384" spans="4:13" x14ac:dyDescent="0.2">
      <c r="D384" s="173" t="s">
        <v>59</v>
      </c>
      <c r="E384" s="53"/>
      <c r="F384" s="54">
        <v>18.170000000000002</v>
      </c>
      <c r="G384" s="55">
        <v>1</v>
      </c>
      <c r="H384" s="56">
        <f>G384*F384</f>
        <v>18.170000000000002</v>
      </c>
      <c r="I384" s="104">
        <v>20.96</v>
      </c>
      <c r="J384" s="58">
        <v>1</v>
      </c>
      <c r="K384" s="56">
        <f>J384*I384</f>
        <v>20.96</v>
      </c>
      <c r="L384" s="60">
        <f t="shared" ref="L384:L388" si="84">K384-H384</f>
        <v>2.7899999999999991</v>
      </c>
      <c r="M384" s="61">
        <f>IF(ISERROR(L384/H384), "", L384/H384)</f>
        <v>0.15354980737479357</v>
      </c>
    </row>
    <row r="385" spans="4:16" x14ac:dyDescent="0.2">
      <c r="D385" s="173" t="s">
        <v>60</v>
      </c>
      <c r="E385" s="53"/>
      <c r="F385" s="62">
        <v>1.2800000000000001E-2</v>
      </c>
      <c r="G385" s="174">
        <f>E375</f>
        <v>365</v>
      </c>
      <c r="H385" s="56">
        <f t="shared" ref="H385:H387" si="85">G385*F385</f>
        <v>4.6720000000000006</v>
      </c>
      <c r="I385" s="78">
        <v>9.7000000000000003E-3</v>
      </c>
      <c r="J385" s="175">
        <f>E375</f>
        <v>365</v>
      </c>
      <c r="K385" s="56">
        <f>J385*I385</f>
        <v>3.5405000000000002</v>
      </c>
      <c r="L385" s="60">
        <f t="shared" si="84"/>
        <v>-1.1315000000000004</v>
      </c>
      <c r="M385" s="61">
        <f t="shared" ref="M385:M387" si="86">IF(ISERROR(L385/H385), "", L385/H385)</f>
        <v>-0.24218750000000006</v>
      </c>
    </row>
    <row r="386" spans="4:16" x14ac:dyDescent="0.2">
      <c r="D386" s="176" t="s">
        <v>61</v>
      </c>
      <c r="E386" s="53"/>
      <c r="F386" s="54">
        <v>0</v>
      </c>
      <c r="G386" s="55">
        <v>1</v>
      </c>
      <c r="H386" s="56">
        <f t="shared" si="85"/>
        <v>0</v>
      </c>
      <c r="I386" s="104">
        <v>0.13</v>
      </c>
      <c r="J386" s="58">
        <v>1</v>
      </c>
      <c r="K386" s="56">
        <f t="shared" ref="K386:K387" si="87">J386*I386</f>
        <v>0.13</v>
      </c>
      <c r="L386" s="60">
        <f t="shared" si="84"/>
        <v>0.13</v>
      </c>
      <c r="M386" s="61" t="str">
        <f t="shared" si="86"/>
        <v/>
      </c>
    </row>
    <row r="387" spans="4:16" x14ac:dyDescent="0.2">
      <c r="D387" s="177" t="s">
        <v>62</v>
      </c>
      <c r="E387" s="53"/>
      <c r="F387" s="62">
        <v>6.9999999999999999E-4</v>
      </c>
      <c r="G387" s="174">
        <f>E375</f>
        <v>365</v>
      </c>
      <c r="H387" s="56">
        <f t="shared" si="85"/>
        <v>0.2555</v>
      </c>
      <c r="I387" s="78">
        <v>6.9999999999999999E-4</v>
      </c>
      <c r="J387" s="175">
        <f>E375</f>
        <v>365</v>
      </c>
      <c r="K387" s="56">
        <f t="shared" si="87"/>
        <v>0.2555</v>
      </c>
      <c r="L387" s="60">
        <f t="shared" si="84"/>
        <v>0</v>
      </c>
      <c r="M387" s="61">
        <f t="shared" si="86"/>
        <v>0</v>
      </c>
    </row>
    <row r="388" spans="4:16" x14ac:dyDescent="0.2">
      <c r="D388" s="67" t="s">
        <v>64</v>
      </c>
      <c r="E388" s="68"/>
      <c r="F388" s="69"/>
      <c r="G388" s="70"/>
      <c r="H388" s="71">
        <f>SUM(H384:H387)</f>
        <v>23.097500000000004</v>
      </c>
      <c r="I388" s="72"/>
      <c r="J388" s="73"/>
      <c r="K388" s="71">
        <f>SUM(K384:K387)</f>
        <v>24.886000000000003</v>
      </c>
      <c r="L388" s="74">
        <f t="shared" si="84"/>
        <v>1.7884999999999991</v>
      </c>
      <c r="M388" s="75">
        <f>IF((H388)=0,"",(L388/H388))</f>
        <v>7.7432622578201049E-2</v>
      </c>
    </row>
    <row r="389" spans="4:16" x14ac:dyDescent="0.2">
      <c r="D389" s="86" t="s">
        <v>65</v>
      </c>
      <c r="E389" s="53"/>
      <c r="F389" s="62">
        <f>F404</f>
        <v>9.5399999999999999E-2</v>
      </c>
      <c r="G389" s="77">
        <f>J389</f>
        <v>13.833500000000015</v>
      </c>
      <c r="H389" s="56">
        <f>G389*F389</f>
        <v>1.3197159000000014</v>
      </c>
      <c r="I389" s="78">
        <f>I404</f>
        <v>9.5399999999999999E-2</v>
      </c>
      <c r="J389" s="77">
        <f>IF(I389=0, 0, E375*E378-E375)</f>
        <v>13.833500000000015</v>
      </c>
      <c r="K389" s="56">
        <f>J389*I389</f>
        <v>1.3197159000000014</v>
      </c>
      <c r="L389" s="60">
        <f>K389-H389</f>
        <v>0</v>
      </c>
      <c r="M389" s="61">
        <f>IF(ISERROR(L389/H389), "", L389/H389)</f>
        <v>0</v>
      </c>
    </row>
    <row r="390" spans="4:16" ht="25.5" x14ac:dyDescent="0.2">
      <c r="D390" s="76" t="s">
        <v>103</v>
      </c>
      <c r="E390" s="53"/>
      <c r="F390" s="62">
        <f>F323</f>
        <v>-8.0000000000000004E-4</v>
      </c>
      <c r="G390" s="79">
        <f>E375</f>
        <v>365</v>
      </c>
      <c r="H390" s="56">
        <f t="shared" ref="H390:H393" si="88">G390*F390</f>
        <v>-0.29200000000000004</v>
      </c>
      <c r="I390" s="85">
        <f>I68</f>
        <v>-3.5999999999999999E-3</v>
      </c>
      <c r="J390" s="79">
        <f>E375</f>
        <v>365</v>
      </c>
      <c r="K390" s="56">
        <f t="shared" ref="K390:K393" si="89">J390*I390</f>
        <v>-1.3140000000000001</v>
      </c>
      <c r="L390" s="60">
        <f t="shared" ref="L390:L404" si="90">K390-H390</f>
        <v>-1.022</v>
      </c>
      <c r="M390" s="61">
        <f t="shared" ref="M390:M393" si="91">IF(ISERROR(L390/H390), "", L390/H390)</f>
        <v>3.4999999999999996</v>
      </c>
    </row>
    <row r="391" spans="4:16" ht="25.5" x14ac:dyDescent="0.25">
      <c r="D391" s="80" t="s">
        <v>91</v>
      </c>
      <c r="E391" s="147">
        <v>2</v>
      </c>
      <c r="F391" s="148">
        <f>-0.0065</f>
        <v>-6.4999999999999997E-3</v>
      </c>
      <c r="G391" s="83">
        <f>G390</f>
        <v>365</v>
      </c>
      <c r="H391" s="84">
        <f t="shared" si="88"/>
        <v>-2.3725000000000001</v>
      </c>
      <c r="I391" s="149">
        <f>IF(E391=1,CH26,IF(E391=2,CG26,9999999))</f>
        <v>6.3151407882309583E-3</v>
      </c>
      <c r="J391" s="83">
        <f>J390</f>
        <v>365</v>
      </c>
      <c r="K391" s="84">
        <f t="shared" si="89"/>
        <v>2.3050263877042996</v>
      </c>
      <c r="L391" s="145">
        <f t="shared" si="90"/>
        <v>4.6775263877042992</v>
      </c>
      <c r="M391" s="146">
        <f t="shared" si="91"/>
        <v>-1.971560121266301</v>
      </c>
      <c r="O391" s="198"/>
    </row>
    <row r="392" spans="4:16" ht="15" x14ac:dyDescent="0.25">
      <c r="D392" s="80" t="s">
        <v>102</v>
      </c>
      <c r="E392" s="147"/>
      <c r="F392" s="88"/>
      <c r="G392" s="89"/>
      <c r="H392" s="90"/>
      <c r="I392" s="85">
        <f>I70</f>
        <v>-1.56</v>
      </c>
      <c r="J392" s="83">
        <v>1</v>
      </c>
      <c r="K392" s="84">
        <f t="shared" si="89"/>
        <v>-1.56</v>
      </c>
      <c r="L392" s="145">
        <f t="shared" si="90"/>
        <v>-1.56</v>
      </c>
      <c r="M392" s="146" t="str">
        <f t="shared" si="91"/>
        <v/>
      </c>
      <c r="O392" s="198"/>
    </row>
    <row r="393" spans="4:16" x14ac:dyDescent="0.2">
      <c r="D393" s="109" t="s">
        <v>67</v>
      </c>
      <c r="E393" s="53"/>
      <c r="F393" s="62"/>
      <c r="G393" s="79">
        <f>IF($E376&gt;0, $E376, $E375)</f>
        <v>365</v>
      </c>
      <c r="H393" s="56">
        <f t="shared" si="88"/>
        <v>0</v>
      </c>
      <c r="I393" s="78"/>
      <c r="J393" s="79">
        <f>IF($E376&gt;0, $E376, $E375)</f>
        <v>365</v>
      </c>
      <c r="K393" s="56">
        <f t="shared" si="89"/>
        <v>0</v>
      </c>
      <c r="L393" s="60">
        <f t="shared" si="90"/>
        <v>0</v>
      </c>
      <c r="M393" s="61" t="str">
        <f t="shared" si="91"/>
        <v/>
      </c>
    </row>
    <row r="394" spans="4:16" x14ac:dyDescent="0.2">
      <c r="D394" s="109" t="s">
        <v>68</v>
      </c>
      <c r="E394" s="53"/>
      <c r="F394" s="62">
        <f>IF(OR(ISNUMBER(SEARCH("RESIDENTIAL", E373))=TRUE, ISNUMBER(SEARCH("GENERAL SERVICE LESS THAN 50", E373))=TRUE), 0.79, 0)</f>
        <v>0.79</v>
      </c>
      <c r="G394" s="55">
        <v>1</v>
      </c>
      <c r="H394" s="56">
        <f>G394*F394</f>
        <v>0.79</v>
      </c>
      <c r="I394" s="78">
        <f>IF(OR(ISNUMBER(SEARCH("RESIDENTIAL", E373))=TRUE, ISNUMBER(SEARCH("GENERAL SERVICE LESS THAN 50", E373))=TRUE), 0.79, 0)</f>
        <v>0.79</v>
      </c>
      <c r="J394" s="55">
        <v>1</v>
      </c>
      <c r="K394" s="56">
        <f>J394*I394</f>
        <v>0.79</v>
      </c>
      <c r="L394" s="60">
        <f t="shared" si="90"/>
        <v>0</v>
      </c>
      <c r="M394" s="61">
        <f>IF(ISERROR(L394/H394), "", L394/H394)</f>
        <v>0</v>
      </c>
    </row>
    <row r="395" spans="4:16" ht="25.5" x14ac:dyDescent="0.2">
      <c r="D395" s="92" t="s">
        <v>70</v>
      </c>
      <c r="E395" s="93"/>
      <c r="F395" s="94"/>
      <c r="G395" s="70"/>
      <c r="H395" s="95">
        <f>SUM(H388:H394)</f>
        <v>22.542715900000005</v>
      </c>
      <c r="I395" s="96"/>
      <c r="J395" s="73"/>
      <c r="K395" s="95">
        <f>SUM(K388:K394)</f>
        <v>26.426742287704304</v>
      </c>
      <c r="L395" s="74">
        <f t="shared" si="90"/>
        <v>3.8840263877042993</v>
      </c>
      <c r="M395" s="75">
        <f>IF((H395)=0,"",(L395/H395))</f>
        <v>0.17229629317664863</v>
      </c>
    </row>
    <row r="396" spans="4:16" x14ac:dyDescent="0.2">
      <c r="D396" s="178" t="s">
        <v>71</v>
      </c>
      <c r="E396" s="53"/>
      <c r="F396" s="62">
        <v>7.6E-3</v>
      </c>
      <c r="G396" s="77">
        <f>G399</f>
        <v>378.83350000000002</v>
      </c>
      <c r="H396" s="56">
        <f>G396*F396</f>
        <v>2.8791346</v>
      </c>
      <c r="I396" s="78">
        <v>7.4999999999999997E-3</v>
      </c>
      <c r="J396" s="77">
        <f>G396</f>
        <v>378.83350000000002</v>
      </c>
      <c r="K396" s="56">
        <f>J396*I396</f>
        <v>2.84125125</v>
      </c>
      <c r="L396" s="60">
        <f t="shared" si="90"/>
        <v>-3.7883349999999982E-2</v>
      </c>
      <c r="M396" s="61">
        <f>IF(ISERROR(L396/H396), "", L396/H396)</f>
        <v>-1.3157894736842099E-2</v>
      </c>
    </row>
    <row r="397" spans="4:16" ht="25.5" x14ac:dyDescent="0.2">
      <c r="D397" s="179" t="s">
        <v>72</v>
      </c>
      <c r="E397" s="53"/>
      <c r="F397" s="62">
        <v>1.4E-3</v>
      </c>
      <c r="G397" s="77">
        <f>G400</f>
        <v>378.83350000000002</v>
      </c>
      <c r="H397" s="56">
        <f>G397*F397</f>
        <v>0.53036689999999997</v>
      </c>
      <c r="I397" s="78">
        <v>1.5E-3</v>
      </c>
      <c r="J397" s="77">
        <f>G397</f>
        <v>378.83350000000002</v>
      </c>
      <c r="K397" s="56">
        <f>J397*I397</f>
        <v>0.56825025000000007</v>
      </c>
      <c r="L397" s="60">
        <f t="shared" si="90"/>
        <v>3.7883350000000093E-2</v>
      </c>
      <c r="M397" s="61">
        <f>IF(ISERROR(L397/H397), "", L397/H397)</f>
        <v>7.1428571428571605E-2</v>
      </c>
    </row>
    <row r="398" spans="4:16" ht="25.5" x14ac:dyDescent="0.25">
      <c r="D398" s="92" t="s">
        <v>74</v>
      </c>
      <c r="E398" s="68"/>
      <c r="F398" s="94"/>
      <c r="G398" s="70"/>
      <c r="H398" s="95">
        <f>SUM(H395:H397)</f>
        <v>25.952217400000006</v>
      </c>
      <c r="I398" s="96"/>
      <c r="J398" s="99"/>
      <c r="K398" s="95">
        <f>SUM(K395:K397)</f>
        <v>29.836243787704301</v>
      </c>
      <c r="L398" s="74">
        <f t="shared" si="90"/>
        <v>3.8840263877042958</v>
      </c>
      <c r="M398" s="75">
        <f>IF((H398)=0,"",(L398/H398))</f>
        <v>0.14966067553458051</v>
      </c>
      <c r="P398" s="180"/>
    </row>
    <row r="399" spans="4:16" ht="25.5" x14ac:dyDescent="0.2">
      <c r="D399" s="100" t="s">
        <v>75</v>
      </c>
      <c r="E399" s="53"/>
      <c r="F399" s="62">
        <v>4.4000000000000003E-3</v>
      </c>
      <c r="G399" s="77">
        <f>E375*E377</f>
        <v>378.83350000000002</v>
      </c>
      <c r="H399" s="101">
        <f t="shared" ref="H399:H402" si="92">G399*F399</f>
        <v>1.6668674000000001</v>
      </c>
      <c r="I399" s="102">
        <v>3.5999999999999999E-3</v>
      </c>
      <c r="J399" s="77">
        <f>E375*E378</f>
        <v>378.83350000000002</v>
      </c>
      <c r="K399" s="101">
        <f t="shared" ref="K399:K402" si="93">J399*I399</f>
        <v>1.3638006</v>
      </c>
      <c r="L399" s="60">
        <f t="shared" si="90"/>
        <v>-0.30306680000000008</v>
      </c>
      <c r="M399" s="61">
        <f>IF(ISERROR(L399/H399), "", L399/H399)</f>
        <v>-0.18181818181818185</v>
      </c>
    </row>
    <row r="400" spans="4:16" ht="25.5" x14ac:dyDescent="0.2">
      <c r="D400" s="100" t="s">
        <v>76</v>
      </c>
      <c r="E400" s="53"/>
      <c r="F400" s="62">
        <v>1.2999999999999999E-3</v>
      </c>
      <c r="G400" s="77">
        <f>E375*E377</f>
        <v>378.83350000000002</v>
      </c>
      <c r="H400" s="101">
        <f t="shared" si="92"/>
        <v>0.49248354999999999</v>
      </c>
      <c r="I400" s="78">
        <v>1.2999999999999999E-3</v>
      </c>
      <c r="J400" s="77">
        <f>E375*E378</f>
        <v>378.83350000000002</v>
      </c>
      <c r="K400" s="101">
        <f t="shared" si="93"/>
        <v>0.49248354999999999</v>
      </c>
      <c r="L400" s="60">
        <f t="shared" si="90"/>
        <v>0</v>
      </c>
      <c r="M400" s="61">
        <f>IF(ISERROR(L400/H400), "", L400/H400)</f>
        <v>0</v>
      </c>
    </row>
    <row r="401" spans="4:13" x14ac:dyDescent="0.2">
      <c r="D401" s="103" t="s">
        <v>77</v>
      </c>
      <c r="E401" s="53"/>
      <c r="F401" s="62">
        <v>0.25</v>
      </c>
      <c r="G401" s="55">
        <v>1</v>
      </c>
      <c r="H401" s="101">
        <f t="shared" si="92"/>
        <v>0.25</v>
      </c>
      <c r="I401" s="104">
        <v>0.25</v>
      </c>
      <c r="J401" s="58">
        <v>1</v>
      </c>
      <c r="K401" s="101">
        <f t="shared" si="93"/>
        <v>0.25</v>
      </c>
      <c r="L401" s="60">
        <f t="shared" si="90"/>
        <v>0</v>
      </c>
      <c r="M401" s="61">
        <f>IF(ISERROR(L401/H401), "", L401/H401)</f>
        <v>0</v>
      </c>
    </row>
    <row r="402" spans="4:13" x14ac:dyDescent="0.2">
      <c r="D402" s="103" t="s">
        <v>78</v>
      </c>
      <c r="E402" s="53"/>
      <c r="F402" s="181">
        <v>7.0000000000000001E-3</v>
      </c>
      <c r="G402" s="79">
        <f>E375</f>
        <v>365</v>
      </c>
      <c r="H402" s="101">
        <f t="shared" si="92"/>
        <v>2.5550000000000002</v>
      </c>
      <c r="I402" s="105">
        <f>IF(ISERROR(FIND("RESIDENTIAL", UPPER(E373))), 0.007, 0)</f>
        <v>0</v>
      </c>
      <c r="J402" s="79">
        <f>E375</f>
        <v>365</v>
      </c>
      <c r="K402" s="101">
        <f t="shared" si="93"/>
        <v>0</v>
      </c>
      <c r="L402" s="60">
        <f t="shared" si="90"/>
        <v>-2.5550000000000002</v>
      </c>
      <c r="M402" s="61">
        <f>IF(ISERROR(L402/H402), "", L402/H402)</f>
        <v>-1</v>
      </c>
    </row>
    <row r="403" spans="4:13" ht="25.5" x14ac:dyDescent="0.2">
      <c r="D403" s="100" t="s">
        <v>79</v>
      </c>
      <c r="E403" s="53"/>
      <c r="F403" s="106"/>
      <c r="G403" s="107"/>
      <c r="H403" s="107"/>
      <c r="I403" s="102">
        <v>1.1000000000000001E-3</v>
      </c>
      <c r="J403" s="77">
        <f>E375*E378</f>
        <v>378.83350000000002</v>
      </c>
      <c r="K403" s="101">
        <f>J403*I403</f>
        <v>0.41671685000000003</v>
      </c>
      <c r="L403" s="60">
        <f t="shared" si="90"/>
        <v>0.41671685000000003</v>
      </c>
      <c r="M403" s="107"/>
    </row>
    <row r="404" spans="4:13" ht="13.5" thickBot="1" x14ac:dyDescent="0.25">
      <c r="D404" s="109" t="s">
        <v>83</v>
      </c>
      <c r="E404" s="53"/>
      <c r="F404" s="112">
        <f>0.0954</f>
        <v>9.5399999999999999E-2</v>
      </c>
      <c r="G404" s="111">
        <f>IF(AND(E375*12&gt;=150000),E375*E377,E375)</f>
        <v>365</v>
      </c>
      <c r="H404" s="101">
        <f>G404*F404</f>
        <v>34.820999999999998</v>
      </c>
      <c r="I404" s="63">
        <f>F404</f>
        <v>9.5399999999999999E-2</v>
      </c>
      <c r="J404" s="111">
        <f>IF(AND(E375*12&gt;=150000),E375*E378,E375)</f>
        <v>365</v>
      </c>
      <c r="K404" s="101">
        <f>J404*I404</f>
        <v>34.820999999999998</v>
      </c>
      <c r="L404" s="60">
        <f t="shared" si="90"/>
        <v>0</v>
      </c>
      <c r="M404" s="61">
        <f>IF(ISERROR(L404/H404), "", L404/H404)</f>
        <v>0</v>
      </c>
    </row>
    <row r="405" spans="4:13" ht="13.5" thickBot="1" x14ac:dyDescent="0.25">
      <c r="D405" s="114"/>
      <c r="E405" s="115"/>
      <c r="F405" s="116"/>
      <c r="G405" s="117"/>
      <c r="H405" s="118"/>
      <c r="I405" s="116"/>
      <c r="J405" s="119"/>
      <c r="K405" s="118"/>
      <c r="L405" s="120"/>
      <c r="M405" s="121"/>
    </row>
    <row r="406" spans="4:13" x14ac:dyDescent="0.2">
      <c r="D406" s="122" t="s">
        <v>104</v>
      </c>
      <c r="E406" s="103"/>
      <c r="F406" s="123"/>
      <c r="G406" s="124"/>
      <c r="H406" s="125">
        <f>SUM(H399:H404,H398)</f>
        <v>65.737568350000004</v>
      </c>
      <c r="I406" s="126"/>
      <c r="J406" s="126"/>
      <c r="K406" s="125">
        <f>SUM(K399:K404,K398)</f>
        <v>67.180244787704297</v>
      </c>
      <c r="L406" s="127">
        <f>K406-H406</f>
        <v>1.4426764377042929</v>
      </c>
      <c r="M406" s="128">
        <f>IF((H406)=0,"",(L406/H406))</f>
        <v>2.1945996390118874E-2</v>
      </c>
    </row>
    <row r="407" spans="4:13" x14ac:dyDescent="0.2">
      <c r="D407" s="129" t="s">
        <v>86</v>
      </c>
      <c r="E407" s="103"/>
      <c r="F407" s="123">
        <v>0.13</v>
      </c>
      <c r="G407" s="130"/>
      <c r="H407" s="131">
        <f>H406*F407</f>
        <v>8.5458838855000003</v>
      </c>
      <c r="I407" s="132">
        <v>0.13</v>
      </c>
      <c r="J407" s="55"/>
      <c r="K407" s="131">
        <f>K406*I407</f>
        <v>8.7334318224015597</v>
      </c>
      <c r="L407" s="133">
        <f>K407-H407</f>
        <v>0.18754793690155935</v>
      </c>
      <c r="M407" s="134">
        <f>IF((H407)=0,"",(L407/H407))</f>
        <v>2.1945996390119026E-2</v>
      </c>
    </row>
    <row r="408" spans="4:13" x14ac:dyDescent="0.2">
      <c r="D408" s="135" t="s">
        <v>87</v>
      </c>
      <c r="E408" s="103"/>
      <c r="F408" s="136"/>
      <c r="G408" s="130"/>
      <c r="H408" s="131">
        <f>H406+H407</f>
        <v>74.283452235500008</v>
      </c>
      <c r="I408" s="55"/>
      <c r="J408" s="55"/>
      <c r="K408" s="131">
        <f>K406+K407</f>
        <v>75.913676610105853</v>
      </c>
      <c r="L408" s="133">
        <f>K408-H408</f>
        <v>1.6302243746058451</v>
      </c>
      <c r="M408" s="134">
        <f>IF((H408)=0,"",(L408/H408))</f>
        <v>2.1945996390118794E-2</v>
      </c>
    </row>
    <row r="409" spans="4:13" x14ac:dyDescent="0.2">
      <c r="D409" s="208" t="s">
        <v>88</v>
      </c>
      <c r="E409" s="208"/>
      <c r="F409" s="136"/>
      <c r="G409" s="130"/>
      <c r="H409" s="137">
        <f>ROUND(-H408*10%,2)</f>
        <v>-7.43</v>
      </c>
      <c r="I409" s="107"/>
      <c r="J409" s="107"/>
      <c r="K409" s="107"/>
      <c r="L409" s="133">
        <f>K409-H409</f>
        <v>7.43</v>
      </c>
      <c r="M409" s="134">
        <f>IF((H409)=0,"",(L409/H409))</f>
        <v>-1</v>
      </c>
    </row>
    <row r="410" spans="4:13" ht="13.5" thickBot="1" x14ac:dyDescent="0.25">
      <c r="D410" s="209" t="s">
        <v>105</v>
      </c>
      <c r="E410" s="209"/>
      <c r="F410" s="138"/>
      <c r="G410" s="139"/>
      <c r="H410" s="140">
        <f>H408+H409</f>
        <v>66.853452235500015</v>
      </c>
      <c r="I410" s="141"/>
      <c r="J410" s="141"/>
      <c r="K410" s="140">
        <f>K408+K409</f>
        <v>75.913676610105853</v>
      </c>
      <c r="L410" s="142">
        <f>K410-H410</f>
        <v>9.0602243746058377</v>
      </c>
      <c r="M410" s="143">
        <f>IF((H410)=0,"",(L410/H410))</f>
        <v>0.1355236576667726</v>
      </c>
    </row>
    <row r="411" spans="4:13" ht="13.5" thickBot="1" x14ac:dyDescent="0.25">
      <c r="D411" s="114"/>
      <c r="E411" s="115"/>
      <c r="F411" s="116"/>
      <c r="G411" s="117"/>
      <c r="H411" s="118"/>
      <c r="I411" s="116"/>
      <c r="J411" s="119"/>
      <c r="K411" s="118"/>
      <c r="L411" s="120"/>
      <c r="M411" s="121"/>
    </row>
  </sheetData>
  <mergeCells count="118">
    <mergeCell ref="D33:F33"/>
    <mergeCell ref="D34:F34"/>
    <mergeCell ref="D35:F35"/>
    <mergeCell ref="D36:F36"/>
    <mergeCell ref="D37:F37"/>
    <mergeCell ref="D38:F38"/>
    <mergeCell ref="P26:CC26"/>
    <mergeCell ref="D28:F28"/>
    <mergeCell ref="D29:F29"/>
    <mergeCell ref="D30:F30"/>
    <mergeCell ref="D31:F31"/>
    <mergeCell ref="D32:F32"/>
    <mergeCell ref="D25:F27"/>
    <mergeCell ref="G25:G27"/>
    <mergeCell ref="H25:M25"/>
    <mergeCell ref="N25:O25"/>
    <mergeCell ref="P25:CC25"/>
    <mergeCell ref="H26:I26"/>
    <mergeCell ref="J26:K26"/>
    <mergeCell ref="L26:M26"/>
    <mergeCell ref="N26:O26"/>
    <mergeCell ref="D45:F45"/>
    <mergeCell ref="D46:F46"/>
    <mergeCell ref="D47:F47"/>
    <mergeCell ref="E51:J51"/>
    <mergeCell ref="E52:G52"/>
    <mergeCell ref="F59:H59"/>
    <mergeCell ref="I59:K59"/>
    <mergeCell ref="D39:F39"/>
    <mergeCell ref="D40:F40"/>
    <mergeCell ref="D41:F41"/>
    <mergeCell ref="D42:F42"/>
    <mergeCell ref="D43:F43"/>
    <mergeCell ref="D44:F44"/>
    <mergeCell ref="E94:J94"/>
    <mergeCell ref="E95:G95"/>
    <mergeCell ref="F102:H102"/>
    <mergeCell ref="I102:K102"/>
    <mergeCell ref="L102:M102"/>
    <mergeCell ref="E103:E104"/>
    <mergeCell ref="L103:L104"/>
    <mergeCell ref="M103:M104"/>
    <mergeCell ref="L59:M59"/>
    <mergeCell ref="E60:E61"/>
    <mergeCell ref="L60:L61"/>
    <mergeCell ref="M60:M61"/>
    <mergeCell ref="D91:E91"/>
    <mergeCell ref="D92:E92"/>
    <mergeCell ref="L146:M146"/>
    <mergeCell ref="E147:E148"/>
    <mergeCell ref="L147:L148"/>
    <mergeCell ref="M147:M148"/>
    <mergeCell ref="D178:E178"/>
    <mergeCell ref="D179:E179"/>
    <mergeCell ref="D134:E134"/>
    <mergeCell ref="D135:E135"/>
    <mergeCell ref="E138:J138"/>
    <mergeCell ref="E139:G139"/>
    <mergeCell ref="F146:H146"/>
    <mergeCell ref="I146:K146"/>
    <mergeCell ref="F202:H202"/>
    <mergeCell ref="I202:K202"/>
    <mergeCell ref="L202:M202"/>
    <mergeCell ref="E203:E204"/>
    <mergeCell ref="L203:L204"/>
    <mergeCell ref="M203:M204"/>
    <mergeCell ref="D184:E184"/>
    <mergeCell ref="D185:E185"/>
    <mergeCell ref="D190:E190"/>
    <mergeCell ref="D191:E191"/>
    <mergeCell ref="E194:J194"/>
    <mergeCell ref="E195:G195"/>
    <mergeCell ref="E250:J250"/>
    <mergeCell ref="E251:G251"/>
    <mergeCell ref="F258:H258"/>
    <mergeCell ref="I258:K258"/>
    <mergeCell ref="L258:M258"/>
    <mergeCell ref="E259:E260"/>
    <mergeCell ref="L259:L260"/>
    <mergeCell ref="M259:M260"/>
    <mergeCell ref="D234:E234"/>
    <mergeCell ref="D235:E235"/>
    <mergeCell ref="D240:E240"/>
    <mergeCell ref="D241:E241"/>
    <mergeCell ref="D246:E246"/>
    <mergeCell ref="D247:E247"/>
    <mergeCell ref="L314:M314"/>
    <mergeCell ref="E315:E316"/>
    <mergeCell ref="L315:L316"/>
    <mergeCell ref="M315:M316"/>
    <mergeCell ref="D290:E290"/>
    <mergeCell ref="D291:E291"/>
    <mergeCell ref="D296:E296"/>
    <mergeCell ref="D297:E297"/>
    <mergeCell ref="D302:E302"/>
    <mergeCell ref="D303:E303"/>
    <mergeCell ref="D346:E346"/>
    <mergeCell ref="D347:E347"/>
    <mergeCell ref="D352:E352"/>
    <mergeCell ref="D353:E353"/>
    <mergeCell ref="D358:E358"/>
    <mergeCell ref="D359:E359"/>
    <mergeCell ref="E306:J306"/>
    <mergeCell ref="E307:G307"/>
    <mergeCell ref="F314:H314"/>
    <mergeCell ref="I314:K314"/>
    <mergeCell ref="L381:M381"/>
    <mergeCell ref="E382:E383"/>
    <mergeCell ref="L382:L383"/>
    <mergeCell ref="M382:M383"/>
    <mergeCell ref="D409:E409"/>
    <mergeCell ref="D410:E410"/>
    <mergeCell ref="E362:J362"/>
    <mergeCell ref="E363:G363"/>
    <mergeCell ref="E373:J373"/>
    <mergeCell ref="E374:G374"/>
    <mergeCell ref="F381:H381"/>
    <mergeCell ref="I381:K381"/>
  </mergeCells>
  <conditionalFormatting sqref="M3:M4 M6:M22">
    <cfRule type="expression" dxfId="8" priority="9">
      <formula>$G3="kW"</formula>
    </cfRule>
  </conditionalFormatting>
  <conditionalFormatting sqref="L6:L22">
    <cfRule type="expression" dxfId="7" priority="6">
      <formula>$G6="kW"</formula>
    </cfRule>
    <cfRule type="expression" dxfId="6" priority="7">
      <formula>$G6="kVa"</formula>
    </cfRule>
    <cfRule type="expression" dxfId="5" priority="8">
      <formula>$G6="kWh"</formula>
    </cfRule>
  </conditionalFormatting>
  <conditionalFormatting sqref="L3:L5">
    <cfRule type="expression" dxfId="4" priority="3">
      <formula>$G3="kW"</formula>
    </cfRule>
    <cfRule type="expression" dxfId="3" priority="4">
      <formula>$G3="kVa"</formula>
    </cfRule>
    <cfRule type="expression" dxfId="2" priority="5">
      <formula>$G3="kWh"</formula>
    </cfRule>
  </conditionalFormatting>
  <conditionalFormatting sqref="M5">
    <cfRule type="expression" dxfId="1" priority="2">
      <formula>$G5="kW"</formula>
    </cfRule>
  </conditionalFormatting>
  <conditionalFormatting sqref="N3:N22">
    <cfRule type="expression" dxfId="0" priority="1">
      <formula>$G3="kWh"</formula>
    </cfRule>
  </conditionalFormatting>
  <dataValidations disablePrompts="1" count="5">
    <dataValidation type="list" allowBlank="1" showInputMessage="1" showErrorMessage="1" prompt="Select Charge Unit - monthly, per kWh, per kW" sqref="E93 E87 E136 E130 E180 E186 E192 E174 E236 E242 E248 E230 E292 E298 E304 E286 E348 E354 E360 E342">
      <formula1>"Monthly, per kWh, per kW"</formula1>
    </dataValidation>
    <dataValidation type="list" allowBlank="1" showInputMessage="1" showErrorMessage="1" sqref="I3:I22">
      <formula1>"Yes, No"</formula1>
    </dataValidation>
    <dataValidation allowBlank="1" showInputMessage="1" showErrorMessage="1" sqref="D3:D7"/>
    <dataValidation type="list" allowBlank="1" showInputMessage="1" showErrorMessage="1" sqref="N3:N22">
      <formula1>"N/A, DEMAND, DEMAND - INTERVAL"</formula1>
    </dataValidation>
    <dataValidation type="list" allowBlank="1" showInputMessage="1" showErrorMessage="1" sqref="H3:H22">
      <formula1>"RPP, Non-RPP (Retailer), Non-RPP (Other)"</formula1>
    </dataValidation>
  </dataValidations>
  <pageMargins left="0.7" right="0.7" top="0.75" bottom="0.75" header="0.3" footer="0.3"/>
  <pageSetup scale="28" fitToHeight="9" orientation="portrait" r:id="rId1"/>
  <rowBreaks count="7" manualBreakCount="7">
    <brk id="49" max="16383" man="1"/>
    <brk id="93" max="16383" man="1"/>
    <brk id="136" max="16383" man="1"/>
    <brk id="193" max="16383" man="1"/>
    <brk id="249" max="16383" man="1"/>
    <brk id="305" max="16383" man="1"/>
    <brk id="361" max="16383" man="1"/>
  </rowBreaks>
  <legacyDrawing r:id="rId2"/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operator="equal" allowBlank="1" showInputMessage="1" showErrorMessage="1">
          <x14:formula1>
            <xm:f>'[1]2016 List'!#REF!</xm:f>
          </x14:formula1>
          <xm:sqref>D8:D22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Wormwell</dc:creator>
  <cp:lastModifiedBy>Philip Wormwell</cp:lastModifiedBy>
  <cp:lastPrinted>2016-01-11T20:41:20Z</cp:lastPrinted>
  <dcterms:created xsi:type="dcterms:W3CDTF">2016-01-11T15:47:18Z</dcterms:created>
  <dcterms:modified xsi:type="dcterms:W3CDTF">2016-01-11T21:59:46Z</dcterms:modified>
</cp:coreProperties>
</file>