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9795" tabRatio="658" firstSheet="2" activeTab="8"/>
  </bookViews>
  <sheets>
    <sheet name="Summary All" sheetId="1" r:id="rId1"/>
    <sheet name="Summary selected" sheetId="2" r:id="rId2"/>
    <sheet name="Res (100kWh)" sheetId="3" r:id="rId3"/>
    <sheet name="Res (250kWh)" sheetId="4" r:id="rId4"/>
    <sheet name="Res (350kWh)" sheetId="5" r:id="rId5"/>
    <sheet name="Res (800kWh)" sheetId="6" r:id="rId6"/>
    <sheet name="Res (1,000kWh)" sheetId="7" r:id="rId7"/>
    <sheet name="Res (1,500kWh)" sheetId="8" r:id="rId8"/>
    <sheet name="Res (2,000kWh)" sheetId="9" r:id="rId9"/>
    <sheet name="GS&lt;50 (1,000kWh)" sheetId="10" r:id="rId10"/>
    <sheet name="GS&lt;50 (2,000kWh)" sheetId="11" r:id="rId11"/>
    <sheet name="GS&lt;50 (5,000kWh)" sheetId="12" r:id="rId12"/>
    <sheet name="GS&lt;50 (10,000kWh)" sheetId="13" r:id="rId13"/>
    <sheet name="GS&lt;50 (15,000kWh)" sheetId="14" r:id="rId14"/>
    <sheet name="GS 50-4999 (60kW)" sheetId="15" r:id="rId15"/>
    <sheet name="GS 50-4999 (100kW)" sheetId="16" r:id="rId16"/>
    <sheet name="Sentinel" sheetId="17" r:id="rId17"/>
    <sheet name="USL (800kWh)" sheetId="18" r:id="rId18"/>
    <sheet name="ST (1kW)" sheetId="19" r:id="rId19"/>
  </sheets>
  <externalReferences>
    <externalReference r:id="rId22"/>
  </externalReferences>
  <definedNames>
    <definedName name="EBNUMBER">'[1]LDC Info'!$E$16</definedName>
    <definedName name="_xlnm.Print_Area" localSheetId="15">'GS 50-4999 (100kW)'!$A$1:$O$96</definedName>
    <definedName name="_xlnm.Print_Area" localSheetId="14">'GS 50-4999 (60kW)'!$A$1:$O$96</definedName>
    <definedName name="_xlnm.Print_Area" localSheetId="9">'GS&lt;50 (1,000kWh)'!$A$1:$O$98</definedName>
    <definedName name="_xlnm.Print_Area" localSheetId="12">'GS&lt;50 (10,000kWh)'!$A$1:$O$98</definedName>
    <definedName name="_xlnm.Print_Area" localSheetId="13">'GS&lt;50 (15,000kWh)'!$A$1:$O$99</definedName>
    <definedName name="_xlnm.Print_Area" localSheetId="10">'GS&lt;50 (2,000kWh)'!$A$1:$O$98</definedName>
    <definedName name="_xlnm.Print_Area" localSheetId="11">'GS&lt;50 (5,000kWh)'!$A$1:$O$98</definedName>
    <definedName name="_xlnm.Print_Area" localSheetId="6">'Res (1,000kWh)'!$A$1:$O$98</definedName>
    <definedName name="_xlnm.Print_Area" localSheetId="7">'Res (1,500kWh)'!$A$1:$O$98</definedName>
    <definedName name="_xlnm.Print_Area" localSheetId="2">'Res (100kWh)'!$A$1:$O$98</definedName>
    <definedName name="_xlnm.Print_Area" localSheetId="8">'Res (2,000kWh)'!$A$1:$O$98</definedName>
    <definedName name="_xlnm.Print_Area" localSheetId="3">'Res (250kWh)'!$A$1:$O$98</definedName>
    <definedName name="_xlnm.Print_Area" localSheetId="4">'Res (350kWh)'!$A$1:$O$98</definedName>
    <definedName name="_xlnm.Print_Area" localSheetId="5">'Res (800kWh)'!$A$1:$O$98</definedName>
    <definedName name="_xlnm.Print_Area" localSheetId="16">'Sentinel'!$A$1:$O$95</definedName>
    <definedName name="_xlnm.Print_Area" localSheetId="18">'ST (1kW)'!$A$1:$O$95</definedName>
    <definedName name="_xlnm.Print_Area" localSheetId="0">'Summary All'!$A$1:$Q$34</definedName>
    <definedName name="_xlnm.Print_Area" localSheetId="17">'USL (800kWh)'!$A$1:$O$94</definedName>
  </definedNames>
  <calcPr fullCalcOnLoad="1"/>
</workbook>
</file>

<file path=xl/comments10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</commentList>
</comments>
</file>

<file path=xl/comments11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2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3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4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5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6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7.xml><?xml version="1.0" encoding="utf-8"?>
<comments xmlns="http://schemas.openxmlformats.org/spreadsheetml/2006/main">
  <authors>
    <author>Marc Abramovitz</author>
    <author>Patti Eitel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G54" authorId="1">
      <text>
        <r>
          <rPr>
            <b/>
            <sz val="9"/>
            <rFont val="Tahoma"/>
            <family val="2"/>
          </rPr>
          <t>Patti Eitel:</t>
        </r>
        <r>
          <rPr>
            <sz val="9"/>
            <rFont val="Tahoma"/>
            <family val="2"/>
          </rPr>
          <t xml:space="preserve">
Quantities corrected
</t>
        </r>
      </text>
    </comment>
  </commentList>
</comments>
</file>

<file path=xl/comments18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19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3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9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3.xml><?xml version="1.0" encoding="utf-8"?>
<comments xmlns="http://schemas.openxmlformats.org/spreadsheetml/2006/main">
  <authors>
    <author>Marc Abramovitz</author>
  </authors>
  <commentLis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4.xml><?xml version="1.0" encoding="utf-8"?>
<comments xmlns="http://schemas.openxmlformats.org/spreadsheetml/2006/main">
  <authors>
    <author>Marc Abramovitz</author>
  </authors>
  <commentLis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</commentList>
</comments>
</file>

<file path=xl/comments5.xml><?xml version="1.0" encoding="utf-8"?>
<comments xmlns="http://schemas.openxmlformats.org/spreadsheetml/2006/main">
  <authors>
    <author>Marc Abramovitz</author>
  </authors>
  <commentLis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</commentList>
</comments>
</file>

<file path=xl/comments6.xml><?xml version="1.0" encoding="utf-8"?>
<comments xmlns="http://schemas.openxmlformats.org/spreadsheetml/2006/main">
  <authors>
    <author>Marc Abramovitz</author>
  </authors>
  <commentLis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</commentList>
</comments>
</file>

<file path=xl/comments7.xml><?xml version="1.0" encoding="utf-8"?>
<comments xmlns="http://schemas.openxmlformats.org/spreadsheetml/2006/main">
  <authors>
    <author>Marc Abramovitz</author>
  </authors>
  <commentLis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</commentList>
</comments>
</file>

<file path=xl/comments8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comments9.xml><?xml version="1.0" encoding="utf-8"?>
<comments xmlns="http://schemas.openxmlformats.org/spreadsheetml/2006/main">
  <authors>
    <author>Marc Abramovitz</author>
  </authors>
  <commentList>
    <comment ref="B24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2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27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28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34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5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6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7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8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39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0" authorId="0">
      <text>
        <r>
          <rPr>
            <b/>
            <sz val="10"/>
            <rFont val="Arial"/>
            <family val="2"/>
          </rPr>
          <t>Insert specific volumetric rate riders/adders as required (excluding DVA riders)</t>
        </r>
      </text>
    </comment>
    <comment ref="B42" authorId="0">
      <text>
        <r>
          <rPr>
            <b/>
            <sz val="10"/>
            <rFont val="Arial"/>
            <family val="2"/>
          </rPr>
          <t>Insert specific service charge rate adders/riders</t>
        </r>
      </text>
    </comment>
    <comment ref="B44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5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  <comment ref="B46" authorId="0">
      <text>
        <r>
          <rPr>
            <b/>
            <sz val="10"/>
            <rFont val="Arial"/>
            <family val="2"/>
          </rPr>
          <t>Insert specific service charge rate adders/riders as required</t>
        </r>
      </text>
    </comment>
    <comment ref="B47" authorId="0">
      <text>
        <r>
          <rPr>
            <b/>
            <sz val="8"/>
            <rFont val="Tahoma"/>
            <family val="2"/>
          </rPr>
          <t>Insert each specific Deferral/Variance Account Disposition Rate Rider(s) as required</t>
        </r>
      </text>
    </comment>
  </commentList>
</comments>
</file>

<file path=xl/sharedStrings.xml><?xml version="1.0" encoding="utf-8"?>
<sst xmlns="http://schemas.openxmlformats.org/spreadsheetml/2006/main" count="2090" uniqueCount="166">
  <si>
    <t>File Number:</t>
  </si>
  <si>
    <t>Exhibit:</t>
  </si>
  <si>
    <t>Page:</t>
  </si>
  <si>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</si>
  <si>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</si>
  <si>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</si>
  <si>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</si>
  <si>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</si>
  <si>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</si>
  <si>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</si>
  <si>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</si>
  <si>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</si>
  <si>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</si>
  <si>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</si>
  <si>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</si>
  <si>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</si>
  <si>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</si>
  <si>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</si>
  <si>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</si>
  <si>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</si>
  <si>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</si>
  <si>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</si>
  <si>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Smart Meter Disposition Rider</t>
  </si>
  <si>
    <t>LRAM &amp; SSM Rate Rider</t>
  </si>
  <si>
    <t>Sub-Total A (excluding pass through)</t>
  </si>
  <si>
    <t>Deferral/Variance Account Disposition Rate Rider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</si>
  <si>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</si>
  <si>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</si>
  <si>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</si>
  <si>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</si>
  <si>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</si>
  <si>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</si>
  <si>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</si>
  <si>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</si>
  <si>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</si>
  <si>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</si>
  <si>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</si>
  <si>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>TOU - Off Peak</t>
  </si>
  <si>
    <t>TOU - Mid Peak</t>
  </si>
  <si>
    <t>TOU - On Peak</t>
  </si>
  <si>
    <t>Energy - RPP - Tier 1</t>
  </si>
  <si>
    <t>Energy - RPP - Tier 2</t>
  </si>
  <si>
    <t>Total Bill on TOU (before Taxes)</t>
  </si>
  <si>
    <t>HST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</si>
  <si>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</si>
  <si>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</si>
  <si>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</si>
  <si>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Total Bill on RPP (before Taxes)</t>
  </si>
  <si>
    <t>Total Bill on RPP (including OCEB)</t>
  </si>
  <si>
    <t>Loss Factor (%)</t>
  </si>
  <si>
    <r>
      <t>1</t>
    </r>
    <r>
      <rPr>
        <sz val="10"/>
        <rFont val="Arial"/>
        <family val="2"/>
      </rPr>
      <t xml:space="preserve"> Applicable to eligible customers only.  Refer to the </t>
    </r>
    <r>
      <rPr>
        <i/>
        <sz val="10"/>
        <rFont val="Arial"/>
        <family val="2"/>
      </rPr>
      <t>Ontario Clean Energy Benefit Act, 2010.</t>
    </r>
  </si>
  <si>
    <t xml:space="preserve">Note that the "Charge $" columns provide breakdowns of the amounts that each bill component contributes to the total monthly bill at the referenced </t>
  </si>
  <si>
    <t>consumption level at existing and proposed rates.</t>
  </si>
  <si>
    <t>Applicants must provide bill impacts for residential at 800 kWh and GS&lt;50kW at 2000 kWh. In addition, their filing must cover the range that is relevant</t>
  </si>
  <si>
    <t>to their service territory, class by class. A general guideline of consumption levels follows:</t>
  </si>
  <si>
    <t>Residential (kWh) - 100, 250, 500, 800, 1000, 1500, 2000</t>
  </si>
  <si>
    <t>GS&lt;50kW (kWh) - 1000, 2000, 5000, 10000, 15000</t>
  </si>
  <si>
    <t>GS&gt;50kW (kW) - 60, 100, 500, 1000</t>
  </si>
  <si>
    <t>Large User - range appropriate for utility</t>
  </si>
  <si>
    <t>Lighting Classes and USL - 150 kWh and 1 kW, range appropriate for utility.</t>
  </si>
  <si>
    <t>Note that cells with the highlighted color shown to the left indicate quantities that are loss adjusted.</t>
  </si>
  <si>
    <t>Residential</t>
  </si>
  <si>
    <t>Monthly</t>
  </si>
  <si>
    <t>per kWh</t>
  </si>
  <si>
    <t>Rate Rider for Smart Meter Incremental Revenue Requirement</t>
  </si>
  <si>
    <t>Stranded Meter Rate Rider (SMRR)</t>
  </si>
  <si>
    <t xml:space="preserve">Rate Rider for Application of Tax Change </t>
  </si>
  <si>
    <t>Rate Rider for Accounts 1575 and 1576</t>
  </si>
  <si>
    <t>GS &lt; 50 kW</t>
  </si>
  <si>
    <t>non-TOU</t>
  </si>
  <si>
    <t>kW</t>
  </si>
  <si>
    <t>per kW</t>
  </si>
  <si>
    <t>Street Lighting</t>
  </si>
  <si>
    <t>Unmetered Scattered Load</t>
  </si>
  <si>
    <t>COP Spot Price</t>
  </si>
  <si>
    <t>Rate Rider for Disposition of Global Adjustment Sub-Account(Applicable only for Non-RPP Customers)</t>
  </si>
  <si>
    <t>Sheet:</t>
  </si>
  <si>
    <t>Sheet 4- Res (800 kWh)</t>
  </si>
  <si>
    <t>Sheet 2- Res (250 kWh)</t>
  </si>
  <si>
    <t>Sheet 1- Res (100 kWh)</t>
  </si>
  <si>
    <t>Sheet 5- Res (1,000 kWh)</t>
  </si>
  <si>
    <t>Sheet 6- Res (1,500 kWh)</t>
  </si>
  <si>
    <t>Sheet 7- Res (2,000 kWh)</t>
  </si>
  <si>
    <t>Sheet 8- GS&lt;50 (1,000 kWh)</t>
  </si>
  <si>
    <t>Sheet 9- GS&lt;50 (2,000 kWh)</t>
  </si>
  <si>
    <t>Sheet 10- GS&lt;50 (5,000 kWh)</t>
  </si>
  <si>
    <t>Sheet 11- GS&lt;50 (10,000 kWh)</t>
  </si>
  <si>
    <t>Sheet 12- GS&lt;50 (15,000 kWh)</t>
  </si>
  <si>
    <t>Sheet 13- GS 50-999 (60 kW)</t>
  </si>
  <si>
    <t>Sheet 14- GS 50-999 (100 kW)</t>
  </si>
  <si>
    <t>Sheet 15- GS 1000-4999 (1,000 kW)</t>
  </si>
  <si>
    <t>Rate Rider for Recovery of Foregone Revenue</t>
  </si>
  <si>
    <t xml:space="preserve">Rate Rider for Recovery of Foregone Revenue </t>
  </si>
  <si>
    <t>Customer Class</t>
  </si>
  <si>
    <t>$</t>
  </si>
  <si>
    <t>%</t>
  </si>
  <si>
    <t>800 kWh</t>
  </si>
  <si>
    <t>2,000 kWh</t>
  </si>
  <si>
    <t>60 kW</t>
  </si>
  <si>
    <t>USL (1 connection)</t>
  </si>
  <si>
    <t>150 kWh</t>
  </si>
  <si>
    <t xml:space="preserve">1 kW </t>
  </si>
  <si>
    <t>Rate Class</t>
  </si>
  <si>
    <t>kWh</t>
  </si>
  <si>
    <t>Time-of-Use</t>
  </si>
  <si>
    <t>USL</t>
  </si>
  <si>
    <t>Difference     B - A = C</t>
  </si>
  <si>
    <t>Bill Impact   C/A</t>
  </si>
  <si>
    <t>LRAM Rate Rider</t>
  </si>
  <si>
    <t>Rate Rider for Recovery of Z-factor (storm) costs</t>
  </si>
  <si>
    <t>Street Lighting     (1 con)</t>
  </si>
  <si>
    <t>Distribution Impact</t>
  </si>
  <si>
    <t>GS 50-4999 kW</t>
  </si>
  <si>
    <t>Sentinel Lighting</t>
  </si>
  <si>
    <t>2015 Total  Bill          A</t>
  </si>
  <si>
    <t xml:space="preserve"> </t>
  </si>
  <si>
    <t>350 kWh</t>
  </si>
  <si>
    <t>Total Bill Impact Including OCEB</t>
  </si>
  <si>
    <t>Total Bill Impact Excluding OCEB</t>
  </si>
  <si>
    <t>GS 50 - 4999 kW</t>
  </si>
  <si>
    <t>65 kW</t>
  </si>
  <si>
    <t>Ontario Electricity Support Program (OESP)</t>
  </si>
  <si>
    <t>EB-2015-0054</t>
  </si>
  <si>
    <r>
      <t xml:space="preserve">Total Bill </t>
    </r>
    <r>
      <rPr>
        <sz val="11"/>
        <rFont val="Calibri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</si>
  <si>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1"/>
        <rFont val="Calibri"/>
        <family val="2"/>
      </rPr>
      <t>1</t>
    </r>
  </si>
  <si>
    <r>
      <t>1</t>
    </r>
    <r>
      <rPr>
        <sz val="11"/>
        <rFont val="Calibri"/>
        <family val="2"/>
      </rPr>
      <t xml:space="preserve"> Applicable to eligible customers only.  Refer to the </t>
    </r>
    <r>
      <rPr>
        <i/>
        <sz val="11"/>
        <rFont val="Calibri"/>
        <family val="2"/>
      </rPr>
      <t>Ontario Clean Energy Benefit Act, 2010.</t>
    </r>
  </si>
  <si>
    <r>
      <t xml:space="preserve">Total Bill </t>
    </r>
    <r>
      <rPr>
        <sz val="11"/>
        <rFont val="Calibri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</si>
  <si>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1"/>
        <rFont val="Calibri"/>
        <family val="2"/>
      </rPr>
      <t>1</t>
    </r>
  </si>
  <si>
    <r>
      <t>1</t>
    </r>
    <r>
      <rPr>
        <sz val="11"/>
        <rFont val="Calibri"/>
        <family val="2"/>
      </rPr>
      <t xml:space="preserve"> Applicable to eligible customers only.  Refer to the </t>
    </r>
    <r>
      <rPr>
        <i/>
        <sz val="11"/>
        <rFont val="Calibri"/>
        <family val="2"/>
      </rPr>
      <t>Ontario Clean Energy Benefit Act, 2010.</t>
    </r>
  </si>
  <si>
    <t>Sheet 3- Res (350 kWh)</t>
  </si>
  <si>
    <t>Jan 19/16 Updates:  i) 2015 OCEB removed (ineligible) ii) 2016  Rate Rider for Application of Tax Changes added, iii)2016  WMSC updated  iv) 2016 OESP added</t>
  </si>
  <si>
    <t>Jan 19/16 Updates:  i) 2015 OCEB removed (ineligible)  ii) 2016  WMSC updated  iii) 2016 OESP added</t>
  </si>
  <si>
    <t>2016 Proposed Bill         B</t>
  </si>
  <si>
    <t>2016 Proposed Bill         B1</t>
  </si>
  <si>
    <t>2016 Proposed Bill         B2</t>
  </si>
  <si>
    <t>4 Year VS  5 Year Bill Variance B2-BA</t>
  </si>
  <si>
    <t>4 Year Residential Transition as Submitted Oct 19/15</t>
  </si>
  <si>
    <t>4 Year Original Oct 19 2015</t>
  </si>
  <si>
    <t>4 Year Residential Transition with Amendments</t>
  </si>
  <si>
    <t>Brant County Power Inc.</t>
  </si>
  <si>
    <t>Jan 19/16 Updates: i) 2016 Monthly Service &amp; Volumetric Charges updated(5year transition) ii) Rate Rider for Application of Tax Changes Moved to Section A</t>
  </si>
  <si>
    <t xml:space="preserve">                                       iii) LRAMVA moved to Section A iv) 2016 WMSC updated v) 2016  OESP added</t>
  </si>
  <si>
    <t>Jan 19/16 Updates: i) 2015 &amp; 2016 Line Losses on Cost of Power updated  ii)2015 &amp; 2016 TOU &amp; RPP rates updated  iii)2016 Monthly Service &amp; Volumetric Charges updated(5year transition)</t>
  </si>
  <si>
    <t xml:space="preserve">                                      iv)Rate Rider for Application of Tax Changes Moved to Section A v) LRAMVA moved to Section A vi)2016 WMSC updated vii) 2016 OESP added</t>
  </si>
  <si>
    <t>Jan 19/16 Updates: i) LRAM moved to Section A ii)  2016  WMSC updated  iii) 2016 OESP added</t>
  </si>
  <si>
    <t xml:space="preserve">Jan 19/16 Updates: i) 2015 OCEB removed(ineligible) ii) 2016  Rate Rider for Application of Tax Changes added iii) LRAM moved to Section A </t>
  </si>
  <si>
    <t xml:space="preserve">                                        iv)2016  WMSC updated  v) 2016 OESP added</t>
  </si>
  <si>
    <t>Jan 19/16 Updates:  i) WMSC,RRRP quantities corrected ii) 2016  Rate Rider for Application of Tax Changes added, iii)LRAM Rate Rider moved to Section A</t>
  </si>
  <si>
    <t xml:space="preserve">                                      iv)2016  WMSC updated  v) 2016 OESP added</t>
  </si>
  <si>
    <t>Sheet 16- USL (150kWh)</t>
  </si>
  <si>
    <t>Sheet 17- ST (1 kW)</t>
  </si>
  <si>
    <t>Bill Impacts - 5 Year Variable-to-Fixed Transition</t>
  </si>
  <si>
    <t>Difference     B1 - A = C1</t>
  </si>
  <si>
    <t>Bill Impact   C1/A</t>
  </si>
  <si>
    <t>Difference     B2 - A = C2</t>
  </si>
  <si>
    <t>Bill Impact   C2/A</t>
  </si>
  <si>
    <t>5-Year Residential Transition as Amended Jan 15 /16</t>
  </si>
  <si>
    <t>5 Year Amended Jan 15 2016</t>
  </si>
  <si>
    <t>4 Year Amended Jan 15 2016</t>
  </si>
  <si>
    <t>Filed:</t>
  </si>
  <si>
    <t># Conn</t>
  </si>
  <si>
    <t>Ref:</t>
  </si>
  <si>
    <t>VECC IRR 1</t>
  </si>
  <si>
    <t>Fixed and Volumetric Only</t>
  </si>
  <si>
    <t>Distribution Impact (Fixed &amp; Volumetric Charge)</t>
  </si>
  <si>
    <t xml:space="preserve">Total Bill Impact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</si>
</sst>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.0000_-;\-&quot;$&quot;* #,##0.0000_-;_-&quot;$&quot;* &quot;-&quot;??_-;_-@_-"/>
    <numFmt numFmtId="174" formatCode="_-&quot;$&quot;* #,##0.000_-;\-&quot;$&quot;* #,##0.000_-;_-&quot;$&quot;* &quot;-&quot;??_-;_-@_-"/>
    <numFmt numFmtId="175" formatCode="_-* #,##0.0000_-;\-* #,##0.0000_-;_-* &quot;-&quot;??_-;_-@_-"/>
    <numFmt numFmtId="176" formatCode="0.0%"/>
    <numFmt numFmtId="177" formatCode="[$-409]dddd\,\ mmmm\ dd\,\ yyyy"/>
    <numFmt numFmtId="178" formatCode="[$-409]h:mm:ss\ AM/PM"/>
    <numFmt numFmtId="179" formatCode="&quot;$&quot;#,##0.00"/>
    <numFmt numFmtId="180" formatCode="&quot;$&quot;#,##0.0000_);\(&quot;$&quot;#,##0.0000\)"/>
    <numFmt numFmtId="181" formatCode="_(&quot;$&quot;* #,##0.0000_);_(&quot;$&quot;* \(#,##0.0000\);_(&quot;$&quot;* &quot;-&quot;????_);_(@_)"/>
    <numFmt numFmtId="182" formatCode="_(&quot;$&quot;* #,##0.000_);_(&quot;$&quot;* \(#,##0.000\);_(&quot;$&quot;* &quot;-&quot;????_);_(@_)"/>
    <numFmt numFmtId="183" formatCode="_(&quot;$&quot;* #,##0.00_);_(&quot;$&quot;* \(#,##0.00\);_(&quot;$&quot;* &quot;-&quot;????_);_(@_)"/>
    <numFmt numFmtId="184" formatCode="0.0"/>
    <numFmt numFmtId="185" formatCode="_(&quot;$&quot;* #,##0.00000_);_(&quot;$&quot;* \(#,##0.00000\);_(&quot;$&quot;* &quot;-&quot;????_);_(@_)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-&quot;$&quot;* #,##0.0000_-;\-&quot;$&quot;* #,##0.0000_-;_-&quot;$&quot;* &quot;-&quot;????_-;_-@_-"/>
    <numFmt numFmtId="189" formatCode="_-[$$-1009]* #,##0.00_-;\-[$$-1009]* #,##0.00_-;_-[$$-1009]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2"/>
      <name val="Algerian"/>
      <family val="5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indent="1"/>
      <protection/>
    </xf>
    <xf numFmtId="0" fontId="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2" fontId="3" fillId="4" borderId="1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0" fontId="0" fillId="33" borderId="0" xfId="0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5" fontId="4" fillId="0" borderId="0" xfId="0" applyNumberFormat="1" applyFont="1" applyFill="1" applyAlignment="1">
      <alignment vertical="top"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0" fontId="0" fillId="0" borderId="11" xfId="0" applyBorder="1" applyAlignment="1">
      <alignment/>
    </xf>
    <xf numFmtId="171" fontId="0" fillId="0" borderId="11" xfId="42" applyFont="1" applyBorder="1" applyAlignment="1">
      <alignment/>
    </xf>
    <xf numFmtId="10" fontId="0" fillId="0" borderId="12" xfId="58" applyNumberFormat="1" applyFont="1" applyBorder="1" applyAlignment="1">
      <alignment/>
    </xf>
    <xf numFmtId="0" fontId="0" fillId="0" borderId="13" xfId="0" applyBorder="1" applyAlignment="1">
      <alignment/>
    </xf>
    <xf numFmtId="171" fontId="0" fillId="0" borderId="13" xfId="42" applyFont="1" applyBorder="1" applyAlignment="1">
      <alignment/>
    </xf>
    <xf numFmtId="10" fontId="0" fillId="0" borderId="14" xfId="0" applyNumberForma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0" fillId="0" borderId="18" xfId="58" applyNumberFormat="1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33" borderId="0" xfId="0" applyFill="1" applyBorder="1" applyAlignment="1" applyProtection="1">
      <alignment horizontal="right"/>
      <protection/>
    </xf>
    <xf numFmtId="44" fontId="6" fillId="0" borderId="0" xfId="0" applyNumberFormat="1" applyFont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/>
      <protection/>
    </xf>
    <xf numFmtId="0" fontId="14" fillId="33" borderId="0" xfId="0" applyFont="1" applyFill="1" applyAlignment="1" applyProtection="1">
      <alignment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4" borderId="0" xfId="0" applyFont="1" applyFill="1" applyAlignment="1" applyProtection="1">
      <alignment vertical="top" wrapText="1"/>
      <protection/>
    </xf>
    <xf numFmtId="0" fontId="13" fillId="4" borderId="0" xfId="0" applyFont="1" applyFill="1" applyAlignment="1" applyProtection="1">
      <alignment vertical="top" wrapText="1"/>
      <protection/>
    </xf>
    <xf numFmtId="0" fontId="0" fillId="4" borderId="0" xfId="0" applyFont="1" applyFill="1" applyAlignment="1" applyProtection="1">
      <alignment vertical="top"/>
      <protection locked="0"/>
    </xf>
    <xf numFmtId="0" fontId="15" fillId="35" borderId="19" xfId="0" applyFont="1" applyFill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5" fillId="35" borderId="19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3" fillId="0" borderId="0" xfId="55" applyFont="1" applyAlignment="1" applyProtection="1">
      <alignment vertical="top"/>
      <protection/>
    </xf>
    <xf numFmtId="0" fontId="13" fillId="36" borderId="2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left" vertical="top" indent="1"/>
      <protection/>
    </xf>
    <xf numFmtId="0" fontId="15" fillId="0" borderId="0" xfId="0" applyFont="1" applyAlignment="1" applyProtection="1">
      <alignment horizontal="left" vertical="top" wrapText="1" indent="1"/>
      <protection/>
    </xf>
    <xf numFmtId="0" fontId="13" fillId="36" borderId="20" xfId="55" applyFont="1" applyFill="1" applyBorder="1" applyProtection="1">
      <alignment/>
      <protection/>
    </xf>
    <xf numFmtId="0" fontId="15" fillId="0" borderId="0" xfId="55" applyFont="1" applyFill="1" applyAlignment="1" applyProtection="1">
      <alignment vertical="top"/>
      <protection/>
    </xf>
    <xf numFmtId="0" fontId="13" fillId="0" borderId="0" xfId="55" applyFont="1" applyFill="1" applyAlignment="1" applyProtection="1">
      <alignment horizontal="left" vertical="top" indent="1"/>
      <protection/>
    </xf>
    <xf numFmtId="0" fontId="15" fillId="0" borderId="0" xfId="55" applyFont="1" applyAlignment="1" applyProtection="1">
      <alignment horizontal="left" vertical="top" wrapText="1" indent="1"/>
      <protection/>
    </xf>
    <xf numFmtId="0" fontId="15" fillId="0" borderId="0" xfId="0" applyFont="1" applyAlignment="1" applyProtection="1">
      <alignment/>
      <protection/>
    </xf>
    <xf numFmtId="0" fontId="0" fillId="36" borderId="21" xfId="0" applyFont="1" applyFill="1" applyBorder="1" applyAlignment="1" applyProtection="1">
      <alignment vertical="top"/>
      <protection/>
    </xf>
    <xf numFmtId="0" fontId="0" fillId="36" borderId="21" xfId="0" applyFont="1" applyFill="1" applyBorder="1" applyAlignment="1" applyProtection="1">
      <alignment vertical="top"/>
      <protection locked="0"/>
    </xf>
    <xf numFmtId="0" fontId="0" fillId="2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/>
    </xf>
    <xf numFmtId="44" fontId="0" fillId="4" borderId="22" xfId="44" applyNumberFormat="1" applyFont="1" applyFill="1" applyBorder="1" applyAlignment="1" applyProtection="1">
      <alignment vertical="top"/>
      <protection locked="0"/>
    </xf>
    <xf numFmtId="0" fontId="0" fillId="0" borderId="22" xfId="0" applyFont="1" applyFill="1" applyBorder="1" applyAlignment="1" applyProtection="1">
      <alignment vertical="center"/>
      <protection/>
    </xf>
    <xf numFmtId="170" fontId="0" fillId="0" borderId="23" xfId="44" applyFont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44" fontId="0" fillId="0" borderId="22" xfId="0" applyNumberFormat="1" applyFont="1" applyBorder="1" applyAlignment="1" applyProtection="1">
      <alignment vertical="center"/>
      <protection/>
    </xf>
    <xf numFmtId="10" fontId="0" fillId="0" borderId="23" xfId="58" applyNumberFormat="1" applyFont="1" applyBorder="1" applyAlignment="1" applyProtection="1">
      <alignment vertical="center"/>
      <protection/>
    </xf>
    <xf numFmtId="170" fontId="0" fillId="4" borderId="22" xfId="44" applyNumberFormat="1" applyFont="1" applyFill="1" applyBorder="1" applyAlignment="1" applyProtection="1">
      <alignment vertical="top"/>
      <protection locked="0"/>
    </xf>
    <xf numFmtId="44" fontId="0" fillId="4" borderId="22" xfId="44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173" fontId="0" fillId="4" borderId="22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73" fontId="0" fillId="4" borderId="22" xfId="44" applyNumberFormat="1" applyFont="1" applyFill="1" applyBorder="1" applyAlignment="1" applyProtection="1">
      <alignment vertical="top"/>
      <protection locked="0"/>
    </xf>
    <xf numFmtId="183" fontId="0" fillId="4" borderId="22" xfId="44" applyNumberFormat="1" applyFont="1" applyFill="1" applyBorder="1" applyAlignment="1" applyProtection="1">
      <alignment vertical="center"/>
      <protection locked="0"/>
    </xf>
    <xf numFmtId="0" fontId="0" fillId="35" borderId="24" xfId="0" applyFont="1" applyFill="1" applyBorder="1" applyAlignment="1" applyProtection="1">
      <alignment vertical="top"/>
      <protection/>
    </xf>
    <xf numFmtId="0" fontId="0" fillId="35" borderId="24" xfId="0" applyFont="1" applyFill="1" applyBorder="1" applyAlignment="1" applyProtection="1">
      <alignment vertical="top"/>
      <protection locked="0"/>
    </xf>
    <xf numFmtId="173" fontId="0" fillId="35" borderId="10" xfId="44" applyNumberFormat="1" applyFont="1" applyFill="1" applyBorder="1" applyAlignment="1" applyProtection="1">
      <alignment vertical="top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170" fontId="0" fillId="35" borderId="25" xfId="44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73" fontId="0" fillId="35" borderId="10" xfId="44" applyNumberFormat="1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181" fontId="0" fillId="4" borderId="22" xfId="44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173" fontId="0" fillId="0" borderId="22" xfId="44" applyNumberFormat="1" applyFont="1" applyFill="1" applyBorder="1" applyAlignment="1" applyProtection="1">
      <alignment vertical="center"/>
      <protection locked="0"/>
    </xf>
    <xf numFmtId="173" fontId="0" fillId="0" borderId="22" xfId="44" applyNumberFormat="1" applyFont="1" applyFill="1" applyBorder="1" applyAlignment="1" applyProtection="1">
      <alignment vertical="top"/>
      <protection locked="0"/>
    </xf>
    <xf numFmtId="170" fontId="0" fillId="0" borderId="23" xfId="44" applyFont="1" applyFill="1" applyBorder="1" applyAlignment="1" applyProtection="1">
      <alignment vertical="center"/>
      <protection/>
    </xf>
    <xf numFmtId="10" fontId="0" fillId="0" borderId="23" xfId="58" applyNumberFormat="1" applyFont="1" applyFill="1" applyBorder="1" applyAlignment="1" applyProtection="1">
      <alignment vertical="center"/>
      <protection/>
    </xf>
    <xf numFmtId="0" fontId="0" fillId="35" borderId="24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vertical="top"/>
      <protection/>
    </xf>
    <xf numFmtId="1" fontId="0" fillId="0" borderId="22" xfId="0" applyNumberFormat="1" applyFont="1" applyFill="1" applyBorder="1" applyAlignment="1" applyProtection="1">
      <alignment vertical="center"/>
      <protection/>
    </xf>
    <xf numFmtId="1" fontId="0" fillId="0" borderId="23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Alignment="1" applyProtection="1">
      <alignment/>
      <protection/>
    </xf>
    <xf numFmtId="173" fontId="0" fillId="36" borderId="27" xfId="44" applyNumberFormat="1" applyFont="1" applyFill="1" applyBorder="1" applyAlignment="1" applyProtection="1">
      <alignment vertical="top"/>
      <protection locked="0"/>
    </xf>
    <xf numFmtId="0" fontId="0" fillId="36" borderId="28" xfId="0" applyFont="1" applyFill="1" applyBorder="1" applyAlignment="1" applyProtection="1">
      <alignment vertical="center"/>
      <protection locked="0"/>
    </xf>
    <xf numFmtId="170" fontId="0" fillId="36" borderId="21" xfId="44" applyFont="1" applyFill="1" applyBorder="1" applyAlignment="1" applyProtection="1">
      <alignment vertical="center"/>
      <protection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vertical="center"/>
      <protection locked="0"/>
    </xf>
    <xf numFmtId="44" fontId="0" fillId="36" borderId="27" xfId="0" applyNumberFormat="1" applyFont="1" applyFill="1" applyBorder="1" applyAlignment="1" applyProtection="1">
      <alignment vertical="center"/>
      <protection/>
    </xf>
    <xf numFmtId="10" fontId="0" fillId="36" borderId="29" xfId="58" applyNumberFormat="1" applyFont="1" applyFill="1" applyBorder="1" applyAlignment="1" applyProtection="1">
      <alignment vertical="center"/>
      <protection/>
    </xf>
    <xf numFmtId="9" fontId="0" fillId="0" borderId="22" xfId="0" applyNumberFormat="1" applyFont="1" applyFill="1" applyBorder="1" applyAlignment="1" applyProtection="1">
      <alignment vertical="top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9" fontId="0" fillId="0" borderId="22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top"/>
      <protection/>
    </xf>
    <xf numFmtId="0" fontId="0" fillId="7" borderId="0" xfId="0" applyFont="1" applyFill="1" applyAlignment="1" applyProtection="1">
      <alignment vertical="top"/>
      <protection/>
    </xf>
    <xf numFmtId="0" fontId="0" fillId="7" borderId="30" xfId="0" applyFont="1" applyFill="1" applyBorder="1" applyAlignment="1" applyProtection="1">
      <alignment vertical="top"/>
      <protection/>
    </xf>
    <xf numFmtId="0" fontId="0" fillId="7" borderId="11" xfId="0" applyFont="1" applyFill="1" applyBorder="1" applyAlignment="1" applyProtection="1">
      <alignment vertical="center"/>
      <protection/>
    </xf>
    <xf numFmtId="173" fontId="0" fillId="36" borderId="28" xfId="44" applyNumberFormat="1" applyFont="1" applyFill="1" applyBorder="1" applyAlignment="1" applyProtection="1">
      <alignment vertical="top"/>
      <protection locked="0"/>
    </xf>
    <xf numFmtId="170" fontId="0" fillId="36" borderId="31" xfId="44" applyFont="1" applyFill="1" applyBorder="1" applyAlignment="1" applyProtection="1">
      <alignment vertical="center"/>
      <protection/>
    </xf>
    <xf numFmtId="170" fontId="0" fillId="36" borderId="27" xfId="44" applyFont="1" applyFill="1" applyBorder="1" applyAlignment="1" applyProtection="1">
      <alignment vertical="center"/>
      <protection/>
    </xf>
    <xf numFmtId="10" fontId="0" fillId="4" borderId="10" xfId="58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3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 quotePrefix="1">
      <alignment horizontal="center"/>
      <protection/>
    </xf>
    <xf numFmtId="0" fontId="15" fillId="0" borderId="34" xfId="0" applyFont="1" applyBorder="1" applyAlignment="1" applyProtection="1" quotePrefix="1">
      <alignment horizontal="center"/>
      <protection/>
    </xf>
    <xf numFmtId="170" fontId="15" fillId="35" borderId="10" xfId="0" applyNumberFormat="1" applyFont="1" applyFill="1" applyBorder="1" applyAlignment="1" applyProtection="1">
      <alignment vertical="center"/>
      <protection/>
    </xf>
    <xf numFmtId="10" fontId="15" fillId="35" borderId="25" xfId="58" applyNumberFormat="1" applyFont="1" applyFill="1" applyBorder="1" applyAlignment="1" applyProtection="1">
      <alignment vertical="center"/>
      <protection/>
    </xf>
    <xf numFmtId="44" fontId="15" fillId="35" borderId="25" xfId="0" applyNumberFormat="1" applyFont="1" applyFill="1" applyBorder="1" applyAlignment="1" applyProtection="1">
      <alignment vertical="center"/>
      <protection/>
    </xf>
    <xf numFmtId="0" fontId="15" fillId="35" borderId="0" xfId="0" applyFont="1" applyFill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15" fillId="35" borderId="25" xfId="0" applyFont="1" applyFill="1" applyBorder="1" applyAlignment="1" applyProtection="1">
      <alignment vertical="center"/>
      <protection/>
    </xf>
    <xf numFmtId="0" fontId="13" fillId="2" borderId="0" xfId="55" applyFont="1" applyFill="1" applyAlignment="1" applyProtection="1">
      <alignment vertical="top"/>
      <protection locked="0"/>
    </xf>
    <xf numFmtId="0" fontId="13" fillId="0" borderId="0" xfId="55" applyFont="1" applyFill="1" applyAlignment="1" applyProtection="1">
      <alignment vertical="top"/>
      <protection/>
    </xf>
    <xf numFmtId="1" fontId="13" fillId="37" borderId="22" xfId="55" applyNumberFormat="1" applyFont="1" applyFill="1" applyBorder="1" applyAlignment="1" applyProtection="1">
      <alignment vertical="center"/>
      <protection/>
    </xf>
    <xf numFmtId="0" fontId="13" fillId="0" borderId="0" xfId="55" applyFont="1" applyAlignment="1" applyProtection="1">
      <alignment vertical="center"/>
      <protection/>
    </xf>
    <xf numFmtId="0" fontId="13" fillId="0" borderId="0" xfId="55" applyFont="1" applyProtection="1">
      <alignment/>
      <protection/>
    </xf>
    <xf numFmtId="4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/>
      <protection/>
    </xf>
    <xf numFmtId="9" fontId="15" fillId="0" borderId="22" xfId="0" applyNumberFormat="1" applyFont="1" applyFill="1" applyBorder="1" applyAlignment="1" applyProtection="1">
      <alignment vertical="center"/>
      <protection/>
    </xf>
    <xf numFmtId="44" fontId="15" fillId="0" borderId="35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0" fontId="15" fillId="0" borderId="23" xfId="58" applyNumberFormat="1" applyFont="1" applyFill="1" applyBorder="1" applyAlignment="1" applyProtection="1">
      <alignment vertical="center"/>
      <protection/>
    </xf>
    <xf numFmtId="44" fontId="13" fillId="0" borderId="26" xfId="0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9" fontId="13" fillId="0" borderId="22" xfId="0" applyNumberFormat="1" applyFont="1" applyFill="1" applyBorder="1" applyAlignment="1" applyProtection="1">
      <alignment vertical="center"/>
      <protection locked="0"/>
    </xf>
    <xf numFmtId="44" fontId="13" fillId="0" borderId="23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0" fontId="13" fillId="0" borderId="23" xfId="58" applyNumberFormat="1" applyFont="1" applyFill="1" applyBorder="1" applyAlignment="1" applyProtection="1">
      <alignment vertical="center"/>
      <protection/>
    </xf>
    <xf numFmtId="170" fontId="58" fillId="0" borderId="26" xfId="0" applyNumberFormat="1" applyFont="1" applyFill="1" applyBorder="1" applyAlignment="1" applyProtection="1">
      <alignment vertical="center"/>
      <protection/>
    </xf>
    <xf numFmtId="170" fontId="57" fillId="0" borderId="23" xfId="0" applyNumberFormat="1" applyFont="1" applyFill="1" applyBorder="1" applyAlignment="1" applyProtection="1">
      <alignment vertical="center"/>
      <protection/>
    </xf>
    <xf numFmtId="10" fontId="57" fillId="0" borderId="23" xfId="58" applyNumberFormat="1" applyFont="1" applyFill="1" applyBorder="1" applyAlignment="1" applyProtection="1">
      <alignment vertical="center"/>
      <protection/>
    </xf>
    <xf numFmtId="44" fontId="15" fillId="7" borderId="36" xfId="0" applyNumberFormat="1" applyFont="1" applyFill="1" applyBorder="1" applyAlignment="1" applyProtection="1">
      <alignment vertical="center"/>
      <protection/>
    </xf>
    <xf numFmtId="0" fontId="15" fillId="7" borderId="30" xfId="0" applyFont="1" applyFill="1" applyBorder="1" applyAlignment="1" applyProtection="1">
      <alignment vertical="center"/>
      <protection/>
    </xf>
    <xf numFmtId="44" fontId="15" fillId="7" borderId="34" xfId="0" applyNumberFormat="1" applyFont="1" applyFill="1" applyBorder="1" applyAlignment="1" applyProtection="1">
      <alignment vertical="center"/>
      <protection/>
    </xf>
    <xf numFmtId="0" fontId="15" fillId="7" borderId="11" xfId="0" applyFont="1" applyFill="1" applyBorder="1" applyAlignment="1" applyProtection="1">
      <alignment vertical="center"/>
      <protection/>
    </xf>
    <xf numFmtId="10" fontId="15" fillId="7" borderId="34" xfId="58" applyNumberFormat="1" applyFont="1" applyFill="1" applyBorder="1" applyAlignment="1" applyProtection="1">
      <alignment vertical="center"/>
      <protection/>
    </xf>
    <xf numFmtId="0" fontId="13" fillId="36" borderId="21" xfId="55" applyFont="1" applyFill="1" applyBorder="1" applyAlignment="1" applyProtection="1">
      <alignment vertical="top"/>
      <protection/>
    </xf>
    <xf numFmtId="0" fontId="13" fillId="36" borderId="21" xfId="55" applyFont="1" applyFill="1" applyBorder="1" applyAlignment="1" applyProtection="1">
      <alignment vertical="top"/>
      <protection locked="0"/>
    </xf>
    <xf numFmtId="0" fontId="13" fillId="36" borderId="28" xfId="55" applyFont="1" applyFill="1" applyBorder="1" applyAlignment="1" applyProtection="1">
      <alignment vertical="center"/>
      <protection locked="0"/>
    </xf>
    <xf numFmtId="0" fontId="13" fillId="36" borderId="21" xfId="55" applyFont="1" applyFill="1" applyBorder="1" applyAlignment="1" applyProtection="1">
      <alignment vertical="center"/>
      <protection/>
    </xf>
    <xf numFmtId="0" fontId="13" fillId="36" borderId="27" xfId="55" applyFont="1" applyFill="1" applyBorder="1" applyAlignment="1" applyProtection="1">
      <alignment vertical="center"/>
      <protection locked="0"/>
    </xf>
    <xf numFmtId="44" fontId="13" fillId="36" borderId="27" xfId="55" applyNumberFormat="1" applyFont="1" applyFill="1" applyBorder="1" applyAlignment="1" applyProtection="1">
      <alignment vertical="center"/>
      <protection/>
    </xf>
    <xf numFmtId="9" fontId="13" fillId="0" borderId="22" xfId="55" applyNumberFormat="1" applyFont="1" applyFill="1" applyBorder="1" applyAlignment="1" applyProtection="1">
      <alignment vertical="top"/>
      <protection/>
    </xf>
    <xf numFmtId="9" fontId="13" fillId="0" borderId="0" xfId="55" applyNumberFormat="1" applyFont="1" applyFill="1" applyBorder="1" applyAlignment="1" applyProtection="1">
      <alignment vertical="center"/>
      <protection/>
    </xf>
    <xf numFmtId="44" fontId="15" fillId="0" borderId="26" xfId="55" applyNumberFormat="1" applyFont="1" applyFill="1" applyBorder="1" applyAlignment="1" applyProtection="1">
      <alignment vertical="center"/>
      <protection/>
    </xf>
    <xf numFmtId="0" fontId="15" fillId="0" borderId="22" xfId="55" applyFont="1" applyFill="1" applyBorder="1" applyAlignment="1" applyProtection="1">
      <alignment vertical="center"/>
      <protection/>
    </xf>
    <xf numFmtId="9" fontId="15" fillId="0" borderId="22" xfId="55" applyNumberFormat="1" applyFont="1" applyFill="1" applyBorder="1" applyAlignment="1" applyProtection="1">
      <alignment vertical="center"/>
      <protection/>
    </xf>
    <xf numFmtId="44" fontId="15" fillId="0" borderId="35" xfId="55" applyNumberFormat="1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9" fontId="13" fillId="0" borderId="22" xfId="55" applyNumberFormat="1" applyFont="1" applyFill="1" applyBorder="1" applyAlignment="1" applyProtection="1">
      <alignment vertical="top"/>
      <protection locked="0"/>
    </xf>
    <xf numFmtId="44" fontId="13" fillId="0" borderId="26" xfId="55" applyNumberFormat="1" applyFont="1" applyFill="1" applyBorder="1" applyAlignment="1" applyProtection="1">
      <alignment vertical="center"/>
      <protection/>
    </xf>
    <xf numFmtId="0" fontId="13" fillId="0" borderId="22" xfId="55" applyFont="1" applyFill="1" applyBorder="1" applyAlignment="1" applyProtection="1">
      <alignment vertical="center"/>
      <protection/>
    </xf>
    <xf numFmtId="9" fontId="13" fillId="0" borderId="22" xfId="55" applyNumberFormat="1" applyFont="1" applyFill="1" applyBorder="1" applyAlignment="1" applyProtection="1">
      <alignment vertical="center"/>
      <protection/>
    </xf>
    <xf numFmtId="44" fontId="13" fillId="0" borderId="23" xfId="55" applyNumberFormat="1" applyFont="1" applyFill="1" applyBorder="1" applyAlignment="1" applyProtection="1">
      <alignment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22" xfId="55" applyFont="1" applyFill="1" applyBorder="1" applyAlignment="1" applyProtection="1">
      <alignment vertical="top"/>
      <protection/>
    </xf>
    <xf numFmtId="170" fontId="57" fillId="0" borderId="26" xfId="55" applyNumberFormat="1" applyFont="1" applyFill="1" applyBorder="1" applyAlignment="1" applyProtection="1">
      <alignment vertical="center"/>
      <protection/>
    </xf>
    <xf numFmtId="170" fontId="57" fillId="0" borderId="23" xfId="55" applyNumberFormat="1" applyFont="1" applyFill="1" applyBorder="1" applyAlignment="1" applyProtection="1">
      <alignment vertical="center"/>
      <protection/>
    </xf>
    <xf numFmtId="0" fontId="13" fillId="7" borderId="0" xfId="55" applyFont="1" applyFill="1" applyAlignment="1" applyProtection="1">
      <alignment vertical="top"/>
      <protection/>
    </xf>
    <xf numFmtId="0" fontId="13" fillId="7" borderId="22" xfId="55" applyFont="1" applyFill="1" applyBorder="1" applyAlignment="1" applyProtection="1">
      <alignment vertical="top"/>
      <protection/>
    </xf>
    <xf numFmtId="0" fontId="13" fillId="7" borderId="0" xfId="55" applyFont="1" applyFill="1" applyBorder="1" applyAlignment="1" applyProtection="1">
      <alignment vertical="center"/>
      <protection/>
    </xf>
    <xf numFmtId="44" fontId="15" fillId="7" borderId="26" xfId="55" applyNumberFormat="1" applyFont="1" applyFill="1" applyBorder="1" applyAlignment="1" applyProtection="1">
      <alignment vertical="center"/>
      <protection/>
    </xf>
    <xf numFmtId="0" fontId="15" fillId="7" borderId="22" xfId="55" applyFont="1" applyFill="1" applyBorder="1" applyAlignment="1" applyProtection="1">
      <alignment vertical="center"/>
      <protection/>
    </xf>
    <xf numFmtId="44" fontId="15" fillId="7" borderId="23" xfId="55" applyNumberFormat="1" applyFont="1" applyFill="1" applyBorder="1" applyAlignment="1" applyProtection="1">
      <alignment vertical="center"/>
      <protection/>
    </xf>
    <xf numFmtId="0" fontId="15" fillId="7" borderId="0" xfId="55" applyFont="1" applyFill="1" applyBorder="1" applyAlignment="1" applyProtection="1">
      <alignment vertical="center"/>
      <protection/>
    </xf>
    <xf numFmtId="10" fontId="15" fillId="7" borderId="23" xfId="58" applyNumberFormat="1" applyFont="1" applyFill="1" applyBorder="1" applyAlignment="1" applyProtection="1">
      <alignment vertical="center"/>
      <protection/>
    </xf>
    <xf numFmtId="0" fontId="13" fillId="36" borderId="21" xfId="55" applyFont="1" applyFill="1" applyBorder="1" applyAlignment="1" applyProtection="1">
      <alignment vertical="center"/>
      <protection locked="0"/>
    </xf>
    <xf numFmtId="0" fontId="13" fillId="36" borderId="28" xfId="55" applyFont="1" applyFill="1" applyBorder="1" applyAlignment="1" applyProtection="1">
      <alignment vertical="center"/>
      <protection/>
    </xf>
    <xf numFmtId="44" fontId="13" fillId="36" borderId="28" xfId="55" applyNumberFormat="1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183" fontId="0" fillId="0" borderId="22" xfId="44" applyNumberFormat="1" applyFont="1" applyFill="1" applyBorder="1" applyAlignment="1" applyProtection="1">
      <alignment vertical="center"/>
      <protection locked="0"/>
    </xf>
    <xf numFmtId="183" fontId="56" fillId="0" borderId="22" xfId="44" applyNumberFormat="1" applyFont="1" applyFill="1" applyBorder="1" applyAlignment="1" applyProtection="1">
      <alignment vertical="center"/>
      <protection locked="0"/>
    </xf>
    <xf numFmtId="183" fontId="56" fillId="7" borderId="22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2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/>
    </xf>
    <xf numFmtId="44" fontId="0" fillId="4" borderId="22" xfId="44" applyNumberFormat="1" applyFont="1" applyFill="1" applyBorder="1" applyAlignment="1" applyProtection="1">
      <alignment vertical="top"/>
      <protection locked="0"/>
    </xf>
    <xf numFmtId="0" fontId="0" fillId="0" borderId="22" xfId="0" applyFont="1" applyFill="1" applyBorder="1" applyAlignment="1" applyProtection="1">
      <alignment vertical="center"/>
      <protection/>
    </xf>
    <xf numFmtId="170" fontId="0" fillId="0" borderId="23" xfId="44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83" fontId="0" fillId="0" borderId="22" xfId="44" applyNumberFormat="1" applyFont="1" applyFill="1" applyBorder="1" applyAlignment="1" applyProtection="1">
      <alignment vertical="center"/>
      <protection locked="0"/>
    </xf>
    <xf numFmtId="10" fontId="0" fillId="0" borderId="23" xfId="58" applyNumberFormat="1" applyFont="1" applyBorder="1" applyAlignment="1" applyProtection="1">
      <alignment vertical="center"/>
      <protection/>
    </xf>
    <xf numFmtId="170" fontId="0" fillId="4" borderId="22" xfId="44" applyNumberFormat="1" applyFont="1" applyFill="1" applyBorder="1" applyAlignment="1" applyProtection="1">
      <alignment vertical="top"/>
      <protection locked="0"/>
    </xf>
    <xf numFmtId="44" fontId="0" fillId="4" borderId="22" xfId="44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2" borderId="0" xfId="0" applyFont="1" applyFill="1" applyAlignment="1" applyProtection="1">
      <alignment vertical="center"/>
      <protection locked="0"/>
    </xf>
    <xf numFmtId="173" fontId="0" fillId="4" borderId="22" xfId="44" applyNumberFormat="1" applyFont="1" applyFill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center"/>
      <protection/>
    </xf>
    <xf numFmtId="173" fontId="0" fillId="4" borderId="22" xfId="44" applyNumberFormat="1" applyFont="1" applyFill="1" applyBorder="1" applyAlignment="1" applyProtection="1">
      <alignment vertical="top"/>
      <protection locked="0"/>
    </xf>
    <xf numFmtId="181" fontId="0" fillId="4" borderId="22" xfId="44" applyNumberFormat="1" applyFont="1" applyFill="1" applyBorder="1" applyAlignment="1" applyProtection="1">
      <alignment vertical="top"/>
      <protection locked="0"/>
    </xf>
    <xf numFmtId="44" fontId="0" fillId="0" borderId="22" xfId="0" applyNumberFormat="1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top"/>
      <protection locked="0"/>
    </xf>
    <xf numFmtId="0" fontId="0" fillId="35" borderId="24" xfId="0" applyFont="1" applyFill="1" applyBorder="1" applyAlignment="1" applyProtection="1">
      <alignment vertical="top"/>
      <protection/>
    </xf>
    <xf numFmtId="0" fontId="0" fillId="35" borderId="24" xfId="0" applyFont="1" applyFill="1" applyBorder="1" applyAlignment="1" applyProtection="1">
      <alignment vertical="top"/>
      <protection locked="0"/>
    </xf>
    <xf numFmtId="173" fontId="0" fillId="35" borderId="10" xfId="44" applyNumberFormat="1" applyFont="1" applyFill="1" applyBorder="1" applyAlignment="1" applyProtection="1">
      <alignment vertical="top"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170" fontId="0" fillId="35" borderId="25" xfId="44" applyFont="1" applyFill="1" applyBorder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73" fontId="0" fillId="35" borderId="10" xfId="44" applyNumberFormat="1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vertical="center"/>
      <protection locked="0"/>
    </xf>
    <xf numFmtId="170" fontId="15" fillId="35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81" fontId="0" fillId="4" borderId="22" xfId="44" applyNumberFormat="1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173" fontId="0" fillId="0" borderId="22" xfId="44" applyNumberFormat="1" applyFont="1" applyFill="1" applyBorder="1" applyAlignment="1" applyProtection="1">
      <alignment vertical="center"/>
      <protection locked="0"/>
    </xf>
    <xf numFmtId="173" fontId="0" fillId="0" borderId="22" xfId="44" applyNumberFormat="1" applyFont="1" applyFill="1" applyBorder="1" applyAlignment="1" applyProtection="1">
      <alignment vertical="top"/>
      <protection locked="0"/>
    </xf>
    <xf numFmtId="170" fontId="0" fillId="0" borderId="23" xfId="44" applyFont="1" applyFill="1" applyBorder="1" applyAlignment="1" applyProtection="1">
      <alignment vertical="center"/>
      <protection/>
    </xf>
    <xf numFmtId="10" fontId="0" fillId="0" borderId="23" xfId="58" applyNumberFormat="1" applyFont="1" applyFill="1" applyBorder="1" applyAlignment="1" applyProtection="1">
      <alignment vertical="center"/>
      <protection/>
    </xf>
    <xf numFmtId="44" fontId="0" fillId="37" borderId="22" xfId="44" applyNumberFormat="1" applyFont="1" applyFill="1" applyBorder="1" applyAlignment="1" applyProtection="1">
      <alignment vertical="top"/>
      <protection locked="0"/>
    </xf>
    <xf numFmtId="0" fontId="0" fillId="35" borderId="24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/>
      <protection/>
    </xf>
    <xf numFmtId="44" fontId="15" fillId="35" borderId="25" xfId="0" applyNumberFormat="1" applyFont="1" applyFill="1" applyBorder="1" applyAlignment="1" applyProtection="1">
      <alignment vertical="center"/>
      <protection/>
    </xf>
    <xf numFmtId="0" fontId="0" fillId="35" borderId="25" xfId="0" applyFont="1" applyFill="1" applyBorder="1" applyAlignment="1" applyProtection="1">
      <alignment vertical="center"/>
      <protection/>
    </xf>
    <xf numFmtId="1" fontId="0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5" fillId="35" borderId="0" xfId="0" applyFont="1" applyFill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15" fillId="35" borderId="25" xfId="0" applyFont="1" applyFill="1" applyBorder="1" applyAlignment="1" applyProtection="1">
      <alignment vertical="center"/>
      <protection/>
    </xf>
    <xf numFmtId="1" fontId="0" fillId="0" borderId="22" xfId="0" applyNumberFormat="1" applyFont="1" applyFill="1" applyBorder="1" applyAlignment="1" applyProtection="1">
      <alignment vertical="center"/>
      <protection/>
    </xf>
    <xf numFmtId="1" fontId="0" fillId="0" borderId="23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Alignment="1" applyProtection="1">
      <alignment/>
      <protection/>
    </xf>
    <xf numFmtId="1" fontId="13" fillId="37" borderId="22" xfId="55" applyNumberFormat="1" applyFont="1" applyFill="1" applyBorder="1" applyAlignment="1" applyProtection="1">
      <alignment vertical="center"/>
      <protection/>
    </xf>
    <xf numFmtId="0" fontId="13" fillId="0" borderId="0" xfId="55" applyFont="1" applyAlignment="1" applyProtection="1">
      <alignment vertical="center"/>
      <protection/>
    </xf>
    <xf numFmtId="0" fontId="0" fillId="36" borderId="21" xfId="0" applyFont="1" applyFill="1" applyBorder="1" applyAlignment="1" applyProtection="1">
      <alignment vertical="top"/>
      <protection/>
    </xf>
    <xf numFmtId="0" fontId="0" fillId="36" borderId="21" xfId="0" applyFont="1" applyFill="1" applyBorder="1" applyAlignment="1" applyProtection="1">
      <alignment vertical="top"/>
      <protection locked="0"/>
    </xf>
    <xf numFmtId="173" fontId="0" fillId="36" borderId="27" xfId="44" applyNumberFormat="1" applyFont="1" applyFill="1" applyBorder="1" applyAlignment="1" applyProtection="1">
      <alignment vertical="top"/>
      <protection locked="0"/>
    </xf>
    <xf numFmtId="0" fontId="0" fillId="36" borderId="28" xfId="0" applyFont="1" applyFill="1" applyBorder="1" applyAlignment="1" applyProtection="1">
      <alignment vertical="center"/>
      <protection locked="0"/>
    </xf>
    <xf numFmtId="170" fontId="0" fillId="36" borderId="21" xfId="44" applyFont="1" applyFill="1" applyBorder="1" applyAlignment="1" applyProtection="1">
      <alignment vertical="center"/>
      <protection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vertical="center"/>
      <protection locked="0"/>
    </xf>
    <xf numFmtId="44" fontId="0" fillId="36" borderId="27" xfId="0" applyNumberFormat="1" applyFont="1" applyFill="1" applyBorder="1" applyAlignment="1" applyProtection="1">
      <alignment vertical="center"/>
      <protection/>
    </xf>
    <xf numFmtId="10" fontId="0" fillId="36" borderId="29" xfId="58" applyNumberFormat="1" applyFont="1" applyFill="1" applyBorder="1" applyAlignment="1" applyProtection="1">
      <alignment vertical="center"/>
      <protection/>
    </xf>
    <xf numFmtId="9" fontId="0" fillId="0" borderId="22" xfId="0" applyNumberFormat="1" applyFont="1" applyFill="1" applyBorder="1" applyAlignment="1" applyProtection="1">
      <alignment vertical="top"/>
      <protection/>
    </xf>
    <xf numFmtId="9" fontId="0" fillId="0" borderId="0" xfId="0" applyNumberFormat="1" applyFont="1" applyFill="1" applyBorder="1" applyAlignment="1" applyProtection="1">
      <alignment vertical="center"/>
      <protection/>
    </xf>
    <xf numFmtId="44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vertical="center"/>
      <protection/>
    </xf>
    <xf numFmtId="9" fontId="15" fillId="0" borderId="22" xfId="0" applyNumberFormat="1" applyFont="1" applyFill="1" applyBorder="1" applyAlignment="1" applyProtection="1">
      <alignment vertical="center"/>
      <protection/>
    </xf>
    <xf numFmtId="44" fontId="15" fillId="0" borderId="35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83" fontId="56" fillId="0" borderId="22" xfId="44" applyNumberFormat="1" applyFont="1" applyFill="1" applyBorder="1" applyAlignment="1" applyProtection="1">
      <alignment vertical="center"/>
      <protection locked="0"/>
    </xf>
    <xf numFmtId="9" fontId="0" fillId="0" borderId="22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44" fontId="13" fillId="0" borderId="26" xfId="0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9" fontId="13" fillId="0" borderId="22" xfId="0" applyNumberFormat="1" applyFont="1" applyFill="1" applyBorder="1" applyAlignment="1" applyProtection="1">
      <alignment vertical="center"/>
      <protection locked="0"/>
    </xf>
    <xf numFmtId="44" fontId="13" fillId="0" borderId="23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top"/>
      <protection/>
    </xf>
    <xf numFmtId="170" fontId="58" fillId="0" borderId="26" xfId="0" applyNumberFormat="1" applyFont="1" applyFill="1" applyBorder="1" applyAlignment="1" applyProtection="1">
      <alignment vertical="center"/>
      <protection/>
    </xf>
    <xf numFmtId="170" fontId="57" fillId="0" borderId="23" xfId="0" applyNumberFormat="1" applyFont="1" applyFill="1" applyBorder="1" applyAlignment="1" applyProtection="1">
      <alignment vertical="center"/>
      <protection/>
    </xf>
    <xf numFmtId="0" fontId="0" fillId="7" borderId="0" xfId="0" applyFont="1" applyFill="1" applyAlignment="1" applyProtection="1">
      <alignment vertical="top"/>
      <protection/>
    </xf>
    <xf numFmtId="0" fontId="0" fillId="7" borderId="30" xfId="0" applyFont="1" applyFill="1" applyBorder="1" applyAlignment="1" applyProtection="1">
      <alignment vertical="top"/>
      <protection/>
    </xf>
    <xf numFmtId="0" fontId="0" fillId="7" borderId="11" xfId="0" applyFont="1" applyFill="1" applyBorder="1" applyAlignment="1" applyProtection="1">
      <alignment vertical="center"/>
      <protection/>
    </xf>
    <xf numFmtId="44" fontId="15" fillId="7" borderId="36" xfId="0" applyNumberFormat="1" applyFont="1" applyFill="1" applyBorder="1" applyAlignment="1" applyProtection="1">
      <alignment vertical="center"/>
      <protection/>
    </xf>
    <xf numFmtId="0" fontId="15" fillId="7" borderId="30" xfId="0" applyFont="1" applyFill="1" applyBorder="1" applyAlignment="1" applyProtection="1">
      <alignment vertical="center"/>
      <protection/>
    </xf>
    <xf numFmtId="44" fontId="15" fillId="7" borderId="34" xfId="0" applyNumberFormat="1" applyFont="1" applyFill="1" applyBorder="1" applyAlignment="1" applyProtection="1">
      <alignment vertical="center"/>
      <protection/>
    </xf>
    <xf numFmtId="0" fontId="15" fillId="7" borderId="11" xfId="0" applyFont="1" applyFill="1" applyBorder="1" applyAlignment="1" applyProtection="1">
      <alignment vertical="center"/>
      <protection/>
    </xf>
    <xf numFmtId="183" fontId="56" fillId="7" borderId="22" xfId="44" applyNumberFormat="1" applyFont="1" applyFill="1" applyBorder="1" applyAlignment="1" applyProtection="1">
      <alignment vertical="center"/>
      <protection locked="0"/>
    </xf>
    <xf numFmtId="0" fontId="13" fillId="36" borderId="28" xfId="55" applyFont="1" applyFill="1" applyBorder="1" applyAlignment="1" applyProtection="1">
      <alignment vertical="center"/>
      <protection locked="0"/>
    </xf>
    <xf numFmtId="0" fontId="13" fillId="36" borderId="21" xfId="55" applyFont="1" applyFill="1" applyBorder="1" applyAlignment="1" applyProtection="1">
      <alignment vertical="center"/>
      <protection/>
    </xf>
    <xf numFmtId="0" fontId="13" fillId="36" borderId="27" xfId="55" applyFont="1" applyFill="1" applyBorder="1" applyAlignment="1" applyProtection="1">
      <alignment vertical="center"/>
      <protection locked="0"/>
    </xf>
    <xf numFmtId="44" fontId="13" fillId="36" borderId="27" xfId="55" applyNumberFormat="1" applyFont="1" applyFill="1" applyBorder="1" applyAlignment="1" applyProtection="1">
      <alignment vertical="center"/>
      <protection/>
    </xf>
    <xf numFmtId="9" fontId="13" fillId="0" borderId="22" xfId="55" applyNumberFormat="1" applyFont="1" applyFill="1" applyBorder="1" applyAlignment="1" applyProtection="1">
      <alignment vertical="top"/>
      <protection/>
    </xf>
    <xf numFmtId="9" fontId="13" fillId="0" borderId="0" xfId="55" applyNumberFormat="1" applyFont="1" applyFill="1" applyBorder="1" applyAlignment="1" applyProtection="1">
      <alignment vertical="center"/>
      <protection/>
    </xf>
    <xf numFmtId="44" fontId="15" fillId="0" borderId="26" xfId="55" applyNumberFormat="1" applyFont="1" applyFill="1" applyBorder="1" applyAlignment="1" applyProtection="1">
      <alignment vertical="center"/>
      <protection/>
    </xf>
    <xf numFmtId="0" fontId="15" fillId="0" borderId="22" xfId="55" applyFont="1" applyFill="1" applyBorder="1" applyAlignment="1" applyProtection="1">
      <alignment vertical="center"/>
      <protection/>
    </xf>
    <xf numFmtId="9" fontId="15" fillId="0" borderId="22" xfId="55" applyNumberFormat="1" applyFont="1" applyFill="1" applyBorder="1" applyAlignment="1" applyProtection="1">
      <alignment vertical="center"/>
      <protection/>
    </xf>
    <xf numFmtId="44" fontId="15" fillId="0" borderId="35" xfId="55" applyNumberFormat="1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9" fontId="13" fillId="0" borderId="22" xfId="55" applyNumberFormat="1" applyFont="1" applyFill="1" applyBorder="1" applyAlignment="1" applyProtection="1">
      <alignment vertical="top"/>
      <protection locked="0"/>
    </xf>
    <xf numFmtId="44" fontId="13" fillId="0" borderId="26" xfId="55" applyNumberFormat="1" applyFont="1" applyFill="1" applyBorder="1" applyAlignment="1" applyProtection="1">
      <alignment vertical="center"/>
      <protection/>
    </xf>
    <xf numFmtId="0" fontId="13" fillId="0" borderId="22" xfId="55" applyFont="1" applyFill="1" applyBorder="1" applyAlignment="1" applyProtection="1">
      <alignment vertical="center"/>
      <protection/>
    </xf>
    <xf numFmtId="9" fontId="13" fillId="0" borderId="22" xfId="55" applyNumberFormat="1" applyFont="1" applyFill="1" applyBorder="1" applyAlignment="1" applyProtection="1">
      <alignment vertical="center"/>
      <protection/>
    </xf>
    <xf numFmtId="44" fontId="13" fillId="0" borderId="23" xfId="55" applyNumberFormat="1" applyFont="1" applyFill="1" applyBorder="1" applyAlignment="1" applyProtection="1">
      <alignment vertical="center"/>
      <protection/>
    </xf>
    <xf numFmtId="0" fontId="13" fillId="0" borderId="0" xfId="55" applyFont="1" applyFill="1" applyBorder="1" applyAlignment="1" applyProtection="1">
      <alignment vertical="center"/>
      <protection/>
    </xf>
    <xf numFmtId="0" fontId="13" fillId="0" borderId="22" xfId="55" applyFont="1" applyFill="1" applyBorder="1" applyAlignment="1" applyProtection="1">
      <alignment vertical="top"/>
      <protection/>
    </xf>
    <xf numFmtId="170" fontId="57" fillId="0" borderId="26" xfId="55" applyNumberFormat="1" applyFont="1" applyFill="1" applyBorder="1" applyAlignment="1" applyProtection="1">
      <alignment vertical="center"/>
      <protection/>
    </xf>
    <xf numFmtId="170" fontId="57" fillId="0" borderId="23" xfId="55" applyNumberFormat="1" applyFont="1" applyFill="1" applyBorder="1" applyAlignment="1" applyProtection="1">
      <alignment vertical="center"/>
      <protection/>
    </xf>
    <xf numFmtId="0" fontId="13" fillId="7" borderId="22" xfId="55" applyFont="1" applyFill="1" applyBorder="1" applyAlignment="1" applyProtection="1">
      <alignment vertical="top"/>
      <protection/>
    </xf>
    <xf numFmtId="0" fontId="13" fillId="7" borderId="0" xfId="55" applyFont="1" applyFill="1" applyBorder="1" applyAlignment="1" applyProtection="1">
      <alignment vertical="center"/>
      <protection/>
    </xf>
    <xf numFmtId="44" fontId="15" fillId="7" borderId="26" xfId="55" applyNumberFormat="1" applyFont="1" applyFill="1" applyBorder="1" applyAlignment="1" applyProtection="1">
      <alignment vertical="center"/>
      <protection/>
    </xf>
    <xf numFmtId="0" fontId="15" fillId="7" borderId="22" xfId="55" applyFont="1" applyFill="1" applyBorder="1" applyAlignment="1" applyProtection="1">
      <alignment vertical="center"/>
      <protection/>
    </xf>
    <xf numFmtId="44" fontId="15" fillId="7" borderId="23" xfId="55" applyNumberFormat="1" applyFont="1" applyFill="1" applyBorder="1" applyAlignment="1" applyProtection="1">
      <alignment vertical="center"/>
      <protection/>
    </xf>
    <xf numFmtId="0" fontId="15" fillId="7" borderId="0" xfId="55" applyFont="1" applyFill="1" applyBorder="1" applyAlignment="1" applyProtection="1">
      <alignment vertical="center"/>
      <protection/>
    </xf>
    <xf numFmtId="173" fontId="0" fillId="36" borderId="28" xfId="44" applyNumberFormat="1" applyFont="1" applyFill="1" applyBorder="1" applyAlignment="1" applyProtection="1">
      <alignment vertical="top"/>
      <protection locked="0"/>
    </xf>
    <xf numFmtId="170" fontId="0" fillId="36" borderId="31" xfId="44" applyFont="1" applyFill="1" applyBorder="1" applyAlignment="1" applyProtection="1">
      <alignment vertical="center"/>
      <protection/>
    </xf>
    <xf numFmtId="170" fontId="0" fillId="36" borderId="27" xfId="44" applyFont="1" applyFill="1" applyBorder="1" applyAlignment="1" applyProtection="1">
      <alignment vertical="center"/>
      <protection/>
    </xf>
    <xf numFmtId="10" fontId="0" fillId="4" borderId="10" xfId="58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 quotePrefix="1">
      <alignment horizontal="center"/>
      <protection/>
    </xf>
    <xf numFmtId="0" fontId="15" fillId="0" borderId="34" xfId="0" applyFont="1" applyBorder="1" applyAlignment="1" applyProtection="1" quotePrefix="1">
      <alignment horizontal="center"/>
      <protection/>
    </xf>
    <xf numFmtId="0" fontId="13" fillId="4" borderId="0" xfId="0" applyFont="1" applyFill="1" applyAlignment="1" applyProtection="1">
      <alignment vertical="top" wrapText="1"/>
      <protection/>
    </xf>
    <xf numFmtId="0" fontId="15" fillId="35" borderId="19" xfId="0" applyFont="1" applyFill="1" applyBorder="1" applyAlignment="1" applyProtection="1">
      <alignment vertical="top"/>
      <protection locked="0"/>
    </xf>
    <xf numFmtId="10" fontId="15" fillId="35" borderId="25" xfId="58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top"/>
      <protection/>
    </xf>
    <xf numFmtId="0" fontId="13" fillId="0" borderId="0" xfId="0" applyFont="1" applyFill="1" applyAlignment="1" applyProtection="1">
      <alignment vertical="top"/>
      <protection/>
    </xf>
    <xf numFmtId="0" fontId="15" fillId="35" borderId="19" xfId="0" applyFont="1" applyFill="1" applyBorder="1" applyAlignment="1" applyProtection="1">
      <alignment vertical="top" wrapText="1"/>
      <protection/>
    </xf>
    <xf numFmtId="0" fontId="13" fillId="0" borderId="0" xfId="55" applyFont="1" applyAlignment="1" applyProtection="1">
      <alignment vertical="top"/>
      <protection/>
    </xf>
    <xf numFmtId="0" fontId="13" fillId="2" borderId="0" xfId="55" applyFont="1" applyFill="1" applyAlignment="1" applyProtection="1">
      <alignment vertical="top"/>
      <protection locked="0"/>
    </xf>
    <xf numFmtId="0" fontId="13" fillId="0" borderId="0" xfId="55" applyFont="1" applyFill="1" applyAlignment="1" applyProtection="1">
      <alignment vertical="top"/>
      <protection/>
    </xf>
    <xf numFmtId="0" fontId="13" fillId="0" borderId="0" xfId="55" applyFont="1" applyProtection="1">
      <alignment/>
      <protection/>
    </xf>
    <xf numFmtId="0" fontId="13" fillId="36" borderId="2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vertical="top"/>
      <protection/>
    </xf>
    <xf numFmtId="10" fontId="15" fillId="0" borderId="23" xfId="58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top" indent="1"/>
      <protection/>
    </xf>
    <xf numFmtId="10" fontId="13" fillId="0" borderId="23" xfId="58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top" wrapText="1" indent="1"/>
      <protection/>
    </xf>
    <xf numFmtId="10" fontId="57" fillId="0" borderId="23" xfId="58" applyNumberFormat="1" applyFont="1" applyFill="1" applyBorder="1" applyAlignment="1" applyProtection="1">
      <alignment vertical="center"/>
      <protection/>
    </xf>
    <xf numFmtId="10" fontId="15" fillId="7" borderId="34" xfId="58" applyNumberFormat="1" applyFont="1" applyFill="1" applyBorder="1" applyAlignment="1" applyProtection="1">
      <alignment vertical="center"/>
      <protection/>
    </xf>
    <xf numFmtId="0" fontId="13" fillId="36" borderId="20" xfId="55" applyFont="1" applyFill="1" applyBorder="1" applyProtection="1">
      <alignment/>
      <protection/>
    </xf>
    <xf numFmtId="0" fontId="13" fillId="36" borderId="21" xfId="55" applyFont="1" applyFill="1" applyBorder="1" applyAlignment="1" applyProtection="1">
      <alignment vertical="top"/>
      <protection/>
    </xf>
    <xf numFmtId="0" fontId="13" fillId="36" borderId="21" xfId="55" applyFont="1" applyFill="1" applyBorder="1" applyAlignment="1" applyProtection="1">
      <alignment vertical="top"/>
      <protection locked="0"/>
    </xf>
    <xf numFmtId="0" fontId="15" fillId="0" borderId="0" xfId="55" applyFont="1" applyFill="1" applyAlignment="1" applyProtection="1">
      <alignment vertical="top"/>
      <protection/>
    </xf>
    <xf numFmtId="0" fontId="13" fillId="0" borderId="0" xfId="55" applyFont="1" applyFill="1" applyAlignment="1" applyProtection="1">
      <alignment horizontal="left" vertical="top" indent="1"/>
      <protection/>
    </xf>
    <xf numFmtId="0" fontId="15" fillId="0" borderId="0" xfId="55" applyFont="1" applyAlignment="1" applyProtection="1">
      <alignment horizontal="left" vertical="top" wrapText="1" indent="1"/>
      <protection/>
    </xf>
    <xf numFmtId="0" fontId="13" fillId="7" borderId="0" xfId="55" applyFont="1" applyFill="1" applyAlignment="1" applyProtection="1">
      <alignment vertical="top"/>
      <protection/>
    </xf>
    <xf numFmtId="10" fontId="15" fillId="7" borderId="23" xfId="58" applyNumberFormat="1" applyFont="1" applyFill="1" applyBorder="1" applyAlignment="1" applyProtection="1">
      <alignment vertical="center"/>
      <protection/>
    </xf>
    <xf numFmtId="0" fontId="13" fillId="36" borderId="21" xfId="55" applyFont="1" applyFill="1" applyBorder="1" applyAlignment="1" applyProtection="1">
      <alignment vertical="center"/>
      <protection locked="0"/>
    </xf>
    <xf numFmtId="0" fontId="13" fillId="36" borderId="28" xfId="55" applyFont="1" applyFill="1" applyBorder="1" applyAlignment="1" applyProtection="1">
      <alignment vertical="center"/>
      <protection/>
    </xf>
    <xf numFmtId="44" fontId="13" fillId="36" borderId="28" xfId="55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4" fontId="0" fillId="0" borderId="22" xfId="44" applyNumberFormat="1" applyFont="1" applyFill="1" applyBorder="1" applyAlignment="1" applyProtection="1">
      <alignment vertical="top"/>
      <protection locked="0"/>
    </xf>
    <xf numFmtId="44" fontId="0" fillId="0" borderId="22" xfId="44" applyNumberFormat="1" applyFont="1" applyFill="1" applyBorder="1" applyAlignment="1" applyProtection="1">
      <alignment vertical="center"/>
      <protection locked="0"/>
    </xf>
    <xf numFmtId="173" fontId="0" fillId="0" borderId="10" xfId="44" applyNumberFormat="1" applyFont="1" applyFill="1" applyBorder="1" applyAlignment="1" applyProtection="1">
      <alignment vertical="center"/>
      <protection locked="0"/>
    </xf>
    <xf numFmtId="181" fontId="0" fillId="0" borderId="22" xfId="44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vertical="top" wrapText="1"/>
      <protection/>
    </xf>
    <xf numFmtId="170" fontId="0" fillId="0" borderId="22" xfId="44" applyNumberFormat="1" applyFont="1" applyFill="1" applyBorder="1" applyAlignment="1" applyProtection="1">
      <alignment vertical="top"/>
      <protection locked="0"/>
    </xf>
    <xf numFmtId="181" fontId="0" fillId="0" borderId="22" xfId="44" applyNumberFormat="1" applyFont="1" applyFill="1" applyBorder="1" applyAlignment="1" applyProtection="1">
      <alignment vertical="top"/>
      <protection locked="0"/>
    </xf>
    <xf numFmtId="10" fontId="0" fillId="0" borderId="10" xfId="5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vertical="top" wrapText="1"/>
      <protection/>
    </xf>
    <xf numFmtId="170" fontId="0" fillId="0" borderId="22" xfId="0" applyNumberFormat="1" applyFont="1" applyBorder="1" applyAlignment="1" applyProtection="1">
      <alignment vertical="center"/>
      <protection/>
    </xf>
    <xf numFmtId="44" fontId="13" fillId="0" borderId="22" xfId="55" applyNumberFormat="1" applyFont="1" applyBorder="1" applyAlignment="1" applyProtection="1">
      <alignment vertical="center"/>
      <protection/>
    </xf>
    <xf numFmtId="170" fontId="15" fillId="0" borderId="22" xfId="0" applyNumberFormat="1" applyFont="1" applyFill="1" applyBorder="1" applyAlignment="1" applyProtection="1">
      <alignment vertical="center"/>
      <protection/>
    </xf>
    <xf numFmtId="170" fontId="13" fillId="0" borderId="22" xfId="0" applyNumberFormat="1" applyFont="1" applyFill="1" applyBorder="1" applyAlignment="1" applyProtection="1">
      <alignment vertical="center"/>
      <protection/>
    </xf>
    <xf numFmtId="170" fontId="57" fillId="0" borderId="26" xfId="0" applyNumberFormat="1" applyFont="1" applyFill="1" applyBorder="1" applyAlignment="1" applyProtection="1">
      <alignment vertical="center"/>
      <protection/>
    </xf>
    <xf numFmtId="44" fontId="57" fillId="0" borderId="22" xfId="0" applyNumberFormat="1" applyFont="1" applyFill="1" applyBorder="1" applyAlignment="1" applyProtection="1">
      <alignment vertical="center"/>
      <protection/>
    </xf>
    <xf numFmtId="170" fontId="15" fillId="7" borderId="30" xfId="0" applyNumberFormat="1" applyFont="1" applyFill="1" applyBorder="1" applyAlignment="1" applyProtection="1">
      <alignment vertical="center"/>
      <protection/>
    </xf>
    <xf numFmtId="170" fontId="15" fillId="0" borderId="22" xfId="55" applyNumberFormat="1" applyFont="1" applyFill="1" applyBorder="1" applyAlignment="1" applyProtection="1">
      <alignment vertical="center"/>
      <protection/>
    </xf>
    <xf numFmtId="170" fontId="13" fillId="0" borderId="22" xfId="55" applyNumberFormat="1" applyFont="1" applyFill="1" applyBorder="1" applyAlignment="1" applyProtection="1">
      <alignment vertical="center"/>
      <protection/>
    </xf>
    <xf numFmtId="170" fontId="15" fillId="7" borderId="22" xfId="55" applyNumberFormat="1" applyFont="1" applyFill="1" applyBorder="1" applyAlignment="1" applyProtection="1">
      <alignment vertical="center"/>
      <protection/>
    </xf>
    <xf numFmtId="44" fontId="0" fillId="0" borderId="22" xfId="44" applyNumberFormat="1" applyFont="1" applyFill="1" applyBorder="1" applyAlignment="1" applyProtection="1">
      <alignment vertical="top"/>
      <protection locked="0"/>
    </xf>
    <xf numFmtId="170" fontId="0" fillId="0" borderId="22" xfId="44" applyNumberFormat="1" applyFont="1" applyFill="1" applyBorder="1" applyAlignment="1" applyProtection="1">
      <alignment vertical="top"/>
      <protection locked="0"/>
    </xf>
    <xf numFmtId="44" fontId="0" fillId="0" borderId="22" xfId="44" applyNumberFormat="1" applyFont="1" applyFill="1" applyBorder="1" applyAlignment="1" applyProtection="1">
      <alignment vertical="center"/>
      <protection locked="0"/>
    </xf>
    <xf numFmtId="181" fontId="0" fillId="0" borderId="22" xfId="44" applyNumberFormat="1" applyFont="1" applyFill="1" applyBorder="1" applyAlignment="1" applyProtection="1">
      <alignment vertical="top"/>
      <protection locked="0"/>
    </xf>
    <xf numFmtId="172" fontId="0" fillId="0" borderId="22" xfId="0" applyNumberFormat="1" applyFont="1" applyFill="1" applyBorder="1" applyAlignment="1" applyProtection="1">
      <alignment vertical="center"/>
      <protection/>
    </xf>
    <xf numFmtId="181" fontId="0" fillId="0" borderId="22" xfId="44" applyNumberFormat="1" applyFont="1" applyFill="1" applyBorder="1" applyAlignment="1" applyProtection="1">
      <alignment vertical="center"/>
      <protection locked="0"/>
    </xf>
    <xf numFmtId="1" fontId="13" fillId="0" borderId="22" xfId="55" applyNumberFormat="1" applyFont="1" applyFill="1" applyBorder="1" applyAlignment="1" applyProtection="1">
      <alignment vertical="center"/>
      <protection/>
    </xf>
    <xf numFmtId="44" fontId="15" fillId="35" borderId="10" xfId="0" applyNumberFormat="1" applyFont="1" applyFill="1" applyBorder="1" applyAlignment="1" applyProtection="1">
      <alignment vertical="center"/>
      <protection/>
    </xf>
    <xf numFmtId="44" fontId="15" fillId="0" borderId="22" xfId="0" applyNumberFormat="1" applyFont="1" applyFill="1" applyBorder="1" applyAlignment="1" applyProtection="1">
      <alignment vertical="center"/>
      <protection/>
    </xf>
    <xf numFmtId="44" fontId="13" fillId="0" borderId="22" xfId="0" applyNumberFormat="1" applyFont="1" applyFill="1" applyBorder="1" applyAlignment="1" applyProtection="1">
      <alignment vertical="center"/>
      <protection/>
    </xf>
    <xf numFmtId="44" fontId="15" fillId="7" borderId="30" xfId="0" applyNumberFormat="1" applyFont="1" applyFill="1" applyBorder="1" applyAlignment="1" applyProtection="1">
      <alignment vertical="center"/>
      <protection/>
    </xf>
    <xf numFmtId="44" fontId="15" fillId="0" borderId="22" xfId="55" applyNumberFormat="1" applyFont="1" applyFill="1" applyBorder="1" applyAlignment="1" applyProtection="1">
      <alignment vertical="center"/>
      <protection/>
    </xf>
    <xf numFmtId="44" fontId="13" fillId="0" borderId="22" xfId="55" applyNumberFormat="1" applyFont="1" applyFill="1" applyBorder="1" applyAlignment="1" applyProtection="1">
      <alignment vertical="center"/>
      <protection/>
    </xf>
    <xf numFmtId="44" fontId="15" fillId="7" borderId="22" xfId="55" applyNumberFormat="1" applyFont="1" applyFill="1" applyBorder="1" applyAlignment="1" applyProtection="1">
      <alignment vertical="center"/>
      <protection/>
    </xf>
    <xf numFmtId="0" fontId="13" fillId="38" borderId="0" xfId="55" applyFont="1" applyFill="1" applyAlignment="1" applyProtection="1">
      <alignment vertical="top"/>
      <protection/>
    </xf>
    <xf numFmtId="44" fontId="57" fillId="0" borderId="26" xfId="0" applyNumberFormat="1" applyFont="1" applyFill="1" applyBorder="1" applyAlignment="1" applyProtection="1">
      <alignment vertical="center"/>
      <protection/>
    </xf>
    <xf numFmtId="44" fontId="57" fillId="0" borderId="23" xfId="0" applyNumberFormat="1" applyFont="1" applyFill="1" applyBorder="1" applyAlignment="1" applyProtection="1">
      <alignment vertical="center"/>
      <protection/>
    </xf>
    <xf numFmtId="170" fontId="13" fillId="0" borderId="23" xfId="55" applyNumberFormat="1" applyFont="1" applyFill="1" applyBorder="1" applyAlignment="1" applyProtection="1">
      <alignment vertical="center"/>
      <protection/>
    </xf>
    <xf numFmtId="183" fontId="56" fillId="35" borderId="10" xfId="44" applyNumberFormat="1" applyFont="1" applyFill="1" applyBorder="1" applyAlignment="1" applyProtection="1">
      <alignment vertical="center"/>
      <protection locked="0"/>
    </xf>
    <xf numFmtId="170" fontId="13" fillId="0" borderId="23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/>
    </xf>
    <xf numFmtId="0" fontId="15" fillId="0" borderId="19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center" wrapText="1"/>
      <protection/>
    </xf>
    <xf numFmtId="180" fontId="0" fillId="0" borderId="22" xfId="44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top"/>
      <protection/>
    </xf>
    <xf numFmtId="181" fontId="0" fillId="5" borderId="22" xfId="44" applyNumberFormat="1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/>
    </xf>
    <xf numFmtId="170" fontId="0" fillId="0" borderId="22" xfId="44" applyFont="1" applyBorder="1" applyAlignment="1" applyProtection="1">
      <alignment vertical="center"/>
      <protection/>
    </xf>
    <xf numFmtId="170" fontId="0" fillId="0" borderId="30" xfId="44" applyFont="1" applyBorder="1" applyAlignment="1" applyProtection="1">
      <alignment vertical="center"/>
      <protection/>
    </xf>
    <xf numFmtId="10" fontId="0" fillId="0" borderId="34" xfId="58" applyNumberFormat="1" applyFont="1" applyBorder="1" applyAlignment="1" applyProtection="1">
      <alignment vertical="center"/>
      <protection/>
    </xf>
    <xf numFmtId="0" fontId="0" fillId="5" borderId="0" xfId="0" applyFont="1" applyFill="1" applyAlignment="1" applyProtection="1">
      <alignment/>
      <protection/>
    </xf>
    <xf numFmtId="173" fontId="0" fillId="5" borderId="22" xfId="44" applyNumberFormat="1" applyFont="1" applyFill="1" applyBorder="1" applyAlignment="1" applyProtection="1">
      <alignment vertical="center"/>
      <protection locked="0"/>
    </xf>
    <xf numFmtId="170" fontId="57" fillId="5" borderId="26" xfId="55" applyNumberFormat="1" applyFont="1" applyFill="1" applyBorder="1" applyAlignment="1" applyProtection="1">
      <alignment vertical="center"/>
      <protection/>
    </xf>
    <xf numFmtId="1" fontId="0" fillId="5" borderId="22" xfId="0" applyNumberFormat="1" applyFont="1" applyFill="1" applyBorder="1" applyAlignment="1" applyProtection="1">
      <alignment vertical="center"/>
      <protection/>
    </xf>
    <xf numFmtId="187" fontId="0" fillId="5" borderId="22" xfId="44" applyNumberFormat="1" applyFont="1" applyFill="1" applyBorder="1" applyAlignment="1" applyProtection="1">
      <alignment vertical="center"/>
      <protection/>
    </xf>
    <xf numFmtId="44" fontId="0" fillId="5" borderId="22" xfId="44" applyNumberFormat="1" applyFont="1" applyFill="1" applyBorder="1" applyAlignment="1" applyProtection="1">
      <alignment vertical="center"/>
      <protection locked="0"/>
    </xf>
    <xf numFmtId="173" fontId="0" fillId="5" borderId="22" xfId="44" applyNumberFormat="1" applyFont="1" applyFill="1" applyBorder="1" applyAlignment="1" applyProtection="1">
      <alignment vertical="top"/>
      <protection locked="0"/>
    </xf>
    <xf numFmtId="44" fontId="0" fillId="5" borderId="22" xfId="44" applyNumberFormat="1" applyFont="1" applyFill="1" applyBorder="1" applyAlignment="1" applyProtection="1">
      <alignment vertical="top"/>
      <protection locked="0"/>
    </xf>
    <xf numFmtId="173" fontId="0" fillId="5" borderId="22" xfId="44" applyNumberFormat="1" applyFont="1" applyFill="1" applyBorder="1" applyAlignment="1" applyProtection="1">
      <alignment vertical="top"/>
      <protection locked="0"/>
    </xf>
    <xf numFmtId="173" fontId="0" fillId="5" borderId="22" xfId="44" applyNumberFormat="1" applyFont="1" applyFill="1" applyBorder="1" applyAlignment="1" applyProtection="1">
      <alignment vertical="center"/>
      <protection locked="0"/>
    </xf>
    <xf numFmtId="0" fontId="0" fillId="5" borderId="0" xfId="0" applyFont="1" applyFill="1" applyAlignment="1" applyProtection="1">
      <alignment/>
      <protection/>
    </xf>
    <xf numFmtId="0" fontId="3" fillId="39" borderId="16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0" xfId="0" applyAlignment="1">
      <alignment wrapText="1"/>
    </xf>
    <xf numFmtId="0" fontId="3" fillId="39" borderId="15" xfId="0" applyFont="1" applyFill="1" applyBorder="1" applyAlignment="1">
      <alignment horizontal="center" vertical="center" wrapText="1"/>
    </xf>
    <xf numFmtId="0" fontId="0" fillId="0" borderId="39" xfId="0" applyBorder="1" applyAlignment="1" quotePrefix="1">
      <alignment horizontal="center"/>
    </xf>
    <xf numFmtId="171" fontId="0" fillId="0" borderId="39" xfId="42" applyFont="1" applyBorder="1" applyAlignment="1">
      <alignment/>
    </xf>
    <xf numFmtId="171" fontId="0" fillId="0" borderId="40" xfId="42" applyFont="1" applyBorder="1" applyAlignment="1">
      <alignment/>
    </xf>
    <xf numFmtId="171" fontId="0" fillId="0" borderId="41" xfId="42" applyFont="1" applyBorder="1" applyAlignment="1">
      <alignment/>
    </xf>
    <xf numFmtId="0" fontId="56" fillId="39" borderId="42" xfId="0" applyFont="1" applyFill="1" applyBorder="1" applyAlignment="1">
      <alignment horizontal="centerContinuous" wrapText="1"/>
    </xf>
    <xf numFmtId="0" fontId="0" fillId="39" borderId="42" xfId="0" applyFill="1" applyBorder="1" applyAlignment="1">
      <alignment horizontal="centerContinuous" wrapText="1"/>
    </xf>
    <xf numFmtId="0" fontId="0" fillId="0" borderId="43" xfId="0" applyBorder="1" applyAlignment="1" quotePrefix="1">
      <alignment horizontal="center"/>
    </xf>
    <xf numFmtId="171" fontId="0" fillId="0" borderId="43" xfId="42" applyFont="1" applyBorder="1" applyAlignment="1">
      <alignment vertical="center"/>
    </xf>
    <xf numFmtId="171" fontId="0" fillId="0" borderId="43" xfId="42" applyFont="1" applyBorder="1" applyAlignment="1">
      <alignment/>
    </xf>
    <xf numFmtId="171" fontId="0" fillId="0" borderId="44" xfId="42" applyFont="1" applyBorder="1" applyAlignment="1">
      <alignment/>
    </xf>
    <xf numFmtId="171" fontId="0" fillId="0" borderId="45" xfId="42" applyFont="1" applyBorder="1" applyAlignment="1">
      <alignment/>
    </xf>
    <xf numFmtId="0" fontId="0" fillId="0" borderId="46" xfId="0" applyBorder="1" applyAlignment="1">
      <alignment/>
    </xf>
    <xf numFmtId="171" fontId="0" fillId="32" borderId="43" xfId="42" applyFont="1" applyFill="1" applyBorder="1" applyAlignment="1">
      <alignment/>
    </xf>
    <xf numFmtId="171" fontId="0" fillId="32" borderId="39" xfId="42" applyFont="1" applyFill="1" applyBorder="1" applyAlignment="1">
      <alignment/>
    </xf>
    <xf numFmtId="171" fontId="0" fillId="32" borderId="0" xfId="42" applyFont="1" applyFill="1" applyBorder="1" applyAlignment="1">
      <alignment/>
    </xf>
    <xf numFmtId="10" fontId="0" fillId="32" borderId="18" xfId="58" applyNumberFormat="1" applyFont="1" applyFill="1" applyBorder="1" applyAlignment="1">
      <alignment/>
    </xf>
    <xf numFmtId="43" fontId="0" fillId="0" borderId="0" xfId="0" applyNumberFormat="1" applyAlignment="1">
      <alignment/>
    </xf>
    <xf numFmtId="183" fontId="0" fillId="0" borderId="43" xfId="44" applyNumberFormat="1" applyFont="1" applyFill="1" applyBorder="1" applyAlignment="1" applyProtection="1">
      <alignment vertical="center"/>
      <protection locked="0"/>
    </xf>
    <xf numFmtId="183" fontId="0" fillId="32" borderId="43" xfId="44" applyNumberFormat="1" applyFont="1" applyFill="1" applyBorder="1" applyAlignment="1" applyProtection="1">
      <alignment vertical="center"/>
      <protection locked="0"/>
    </xf>
    <xf numFmtId="0" fontId="3" fillId="39" borderId="47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83" fontId="0" fillId="5" borderId="22" xfId="44" applyNumberFormat="1" applyFont="1" applyFill="1" applyBorder="1" applyAlignment="1" applyProtection="1">
      <alignment vertical="center"/>
      <protection locked="0"/>
    </xf>
    <xf numFmtId="1" fontId="0" fillId="34" borderId="22" xfId="0" applyNumberFormat="1" applyFont="1" applyFill="1" applyBorder="1" applyAlignment="1" applyProtection="1">
      <alignment vertical="center"/>
      <protection/>
    </xf>
    <xf numFmtId="1" fontId="0" fillId="34" borderId="23" xfId="0" applyNumberFormat="1" applyFont="1" applyFill="1" applyBorder="1" applyAlignment="1" applyProtection="1">
      <alignment vertical="center"/>
      <protection/>
    </xf>
    <xf numFmtId="44" fontId="0" fillId="5" borderId="22" xfId="44" applyNumberFormat="1" applyFont="1" applyFill="1" applyBorder="1" applyAlignment="1" applyProtection="1">
      <alignment vertical="top"/>
      <protection locked="0"/>
    </xf>
    <xf numFmtId="181" fontId="0" fillId="5" borderId="22" xfId="44" applyNumberFormat="1" applyFont="1" applyFill="1" applyBorder="1" applyAlignment="1" applyProtection="1">
      <alignment vertical="top"/>
      <protection locked="0"/>
    </xf>
    <xf numFmtId="170" fontId="0" fillId="5" borderId="22" xfId="44" applyFont="1" applyFill="1" applyBorder="1" applyAlignment="1" applyProtection="1">
      <alignment vertical="center"/>
      <protection locked="0"/>
    </xf>
    <xf numFmtId="1" fontId="0" fillId="34" borderId="23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/>
    </xf>
    <xf numFmtId="0" fontId="60" fillId="0" borderId="19" xfId="0" applyFont="1" applyBorder="1" applyAlignment="1">
      <alignment horizontal="centerContinuous"/>
    </xf>
    <xf numFmtId="0" fontId="59" fillId="0" borderId="24" xfId="0" applyFont="1" applyBorder="1" applyAlignment="1">
      <alignment horizontal="centerContinuous"/>
    </xf>
    <xf numFmtId="0" fontId="59" fillId="0" borderId="25" xfId="0" applyFont="1" applyBorder="1" applyAlignment="1">
      <alignment horizontal="centerContinuous"/>
    </xf>
    <xf numFmtId="0" fontId="59" fillId="39" borderId="51" xfId="0" applyFont="1" applyFill="1" applyBorder="1" applyAlignment="1">
      <alignment horizontal="center"/>
    </xf>
    <xf numFmtId="0" fontId="59" fillId="39" borderId="52" xfId="0" applyFont="1" applyFill="1" applyBorder="1" applyAlignment="1">
      <alignment horizontal="center"/>
    </xf>
    <xf numFmtId="0" fontId="59" fillId="39" borderId="53" xfId="0" applyFont="1" applyFill="1" applyBorder="1" applyAlignment="1">
      <alignment horizontal="center"/>
    </xf>
    <xf numFmtId="0" fontId="59" fillId="39" borderId="54" xfId="0" applyFont="1" applyFill="1" applyBorder="1" applyAlignment="1">
      <alignment horizontal="center"/>
    </xf>
    <xf numFmtId="0" fontId="59" fillId="0" borderId="11" xfId="0" applyFont="1" applyBorder="1" applyAlignment="1">
      <alignment horizontal="center"/>
    </xf>
    <xf numFmtId="170" fontId="59" fillId="0" borderId="55" xfId="0" applyNumberFormat="1" applyFont="1" applyBorder="1" applyAlignment="1">
      <alignment/>
    </xf>
    <xf numFmtId="10" fontId="59" fillId="0" borderId="56" xfId="58" applyNumberFormat="1" applyFont="1" applyBorder="1" applyAlignment="1">
      <alignment/>
    </xf>
    <xf numFmtId="10" fontId="59" fillId="0" borderId="57" xfId="58" applyNumberFormat="1" applyFont="1" applyBorder="1" applyAlignment="1">
      <alignment/>
    </xf>
    <xf numFmtId="0" fontId="59" fillId="0" borderId="37" xfId="0" applyFont="1" applyBorder="1" applyAlignment="1">
      <alignment horizontal="center"/>
    </xf>
    <xf numFmtId="170" fontId="59" fillId="0" borderId="58" xfId="0" applyNumberFormat="1" applyFont="1" applyBorder="1" applyAlignment="1">
      <alignment/>
    </xf>
    <xf numFmtId="10" fontId="59" fillId="0" borderId="50" xfId="58" applyNumberFormat="1" applyFont="1" applyBorder="1" applyAlignment="1">
      <alignment/>
    </xf>
    <xf numFmtId="170" fontId="59" fillId="0" borderId="59" xfId="0" applyNumberFormat="1" applyFont="1" applyBorder="1" applyAlignment="1">
      <alignment/>
    </xf>
    <xf numFmtId="10" fontId="59" fillId="0" borderId="52" xfId="58" applyNumberFormat="1" applyFont="1" applyBorder="1" applyAlignment="1">
      <alignment/>
    </xf>
    <xf numFmtId="0" fontId="59" fillId="0" borderId="60" xfId="0" applyFont="1" applyBorder="1" applyAlignment="1">
      <alignment horizontal="left"/>
    </xf>
    <xf numFmtId="0" fontId="59" fillId="0" borderId="61" xfId="0" applyFont="1" applyBorder="1" applyAlignment="1">
      <alignment horizontal="left"/>
    </xf>
    <xf numFmtId="170" fontId="59" fillId="0" borderId="60" xfId="0" applyNumberFormat="1" applyFont="1" applyBorder="1" applyAlignment="1">
      <alignment/>
    </xf>
    <xf numFmtId="10" fontId="59" fillId="0" borderId="36" xfId="58" applyNumberFormat="1" applyFont="1" applyBorder="1" applyAlignment="1">
      <alignment/>
    </xf>
    <xf numFmtId="10" fontId="59" fillId="0" borderId="61" xfId="58" applyNumberFormat="1" applyFont="1" applyBorder="1" applyAlignment="1">
      <alignment/>
    </xf>
    <xf numFmtId="0" fontId="59" fillId="0" borderId="24" xfId="0" applyFont="1" applyBorder="1" applyAlignment="1">
      <alignment horizontal="center"/>
    </xf>
    <xf numFmtId="170" fontId="59" fillId="0" borderId="62" xfId="0" applyNumberFormat="1" applyFont="1" applyBorder="1" applyAlignment="1">
      <alignment/>
    </xf>
    <xf numFmtId="10" fontId="59" fillId="0" borderId="63" xfId="58" applyNumberFormat="1" applyFont="1" applyBorder="1" applyAlignment="1">
      <alignment/>
    </xf>
    <xf numFmtId="0" fontId="59" fillId="0" borderId="37" xfId="0" applyFont="1" applyBorder="1" applyAlignment="1">
      <alignment horizontal="center" vertical="center"/>
    </xf>
    <xf numFmtId="170" fontId="59" fillId="0" borderId="58" xfId="0" applyNumberFormat="1" applyFont="1" applyBorder="1" applyAlignment="1">
      <alignment vertical="center"/>
    </xf>
    <xf numFmtId="10" fontId="59" fillId="0" borderId="50" xfId="58" applyNumberFormat="1" applyFont="1" applyBorder="1" applyAlignment="1">
      <alignment vertical="center"/>
    </xf>
    <xf numFmtId="170" fontId="59" fillId="0" borderId="59" xfId="0" applyNumberFormat="1" applyFont="1" applyBorder="1" applyAlignment="1">
      <alignment vertical="center"/>
    </xf>
    <xf numFmtId="10" fontId="59" fillId="0" borderId="52" xfId="58" applyNumberFormat="1" applyFont="1" applyBorder="1" applyAlignment="1">
      <alignment vertical="center"/>
    </xf>
    <xf numFmtId="0" fontId="59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center" vertical="center"/>
    </xf>
    <xf numFmtId="170" fontId="59" fillId="0" borderId="0" xfId="0" applyNumberFormat="1" applyFont="1" applyBorder="1" applyAlignment="1">
      <alignment vertical="center"/>
    </xf>
    <xf numFmtId="10" fontId="59" fillId="0" borderId="0" xfId="58" applyNumberFormat="1" applyFont="1" applyBorder="1" applyAlignment="1">
      <alignment vertical="center"/>
    </xf>
    <xf numFmtId="44" fontId="59" fillId="0" borderId="0" xfId="0" applyNumberFormat="1" applyFont="1" applyAlignment="1">
      <alignment/>
    </xf>
    <xf numFmtId="10" fontId="59" fillId="0" borderId="0" xfId="0" applyNumberFormat="1" applyFont="1" applyAlignment="1">
      <alignment/>
    </xf>
    <xf numFmtId="0" fontId="22" fillId="39" borderId="37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65" xfId="0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65" xfId="0" applyFill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/>
    </xf>
    <xf numFmtId="3" fontId="0" fillId="32" borderId="2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171" fontId="0" fillId="0" borderId="46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0" fontId="0" fillId="0" borderId="17" xfId="58" applyNumberFormat="1" applyFont="1" applyBorder="1" applyAlignment="1">
      <alignment/>
    </xf>
    <xf numFmtId="183" fontId="0" fillId="0" borderId="44" xfId="44" applyNumberFormat="1" applyFont="1" applyFill="1" applyBorder="1" applyAlignment="1" applyProtection="1">
      <alignment vertical="center"/>
      <protection locked="0"/>
    </xf>
    <xf numFmtId="43" fontId="0" fillId="0" borderId="11" xfId="0" applyNumberFormat="1" applyBorder="1" applyAlignment="1">
      <alignment/>
    </xf>
    <xf numFmtId="44" fontId="0" fillId="35" borderId="19" xfId="0" applyNumberFormat="1" applyFont="1" applyFill="1" applyBorder="1" applyAlignment="1" applyProtection="1">
      <alignment/>
      <protection/>
    </xf>
    <xf numFmtId="10" fontId="0" fillId="35" borderId="25" xfId="58" applyNumberFormat="1" applyFont="1" applyFill="1" applyBorder="1" applyAlignment="1" applyProtection="1">
      <alignment/>
      <protection/>
    </xf>
    <xf numFmtId="0" fontId="8" fillId="0" borderId="3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39" borderId="68" xfId="0" applyFont="1" applyFill="1" applyBorder="1" applyAlignment="1">
      <alignment horizontal="center" vertical="center"/>
    </xf>
    <xf numFmtId="0" fontId="3" fillId="39" borderId="3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9" fillId="0" borderId="69" xfId="0" applyFont="1" applyBorder="1" applyAlignment="1">
      <alignment horizontal="left" wrapText="1"/>
    </xf>
    <xf numFmtId="0" fontId="59" fillId="0" borderId="70" xfId="0" applyFont="1" applyBorder="1" applyAlignment="1">
      <alignment horizontal="left" wrapText="1"/>
    </xf>
    <xf numFmtId="0" fontId="59" fillId="39" borderId="60" xfId="0" applyFont="1" applyFill="1" applyBorder="1" applyAlignment="1">
      <alignment horizontal="center" vertical="center" wrapText="1"/>
    </xf>
    <xf numFmtId="0" fontId="59" fillId="39" borderId="61" xfId="0" applyFont="1" applyFill="1" applyBorder="1" applyAlignment="1">
      <alignment horizontal="center" vertical="center" wrapText="1"/>
    </xf>
    <xf numFmtId="0" fontId="59" fillId="39" borderId="59" xfId="0" applyFont="1" applyFill="1" applyBorder="1" applyAlignment="1">
      <alignment horizontal="center" vertical="center" wrapText="1"/>
    </xf>
    <xf numFmtId="0" fontId="59" fillId="39" borderId="52" xfId="0" applyFont="1" applyFill="1" applyBorder="1" applyAlignment="1">
      <alignment horizontal="center" vertical="center" wrapText="1"/>
    </xf>
    <xf numFmtId="0" fontId="59" fillId="39" borderId="43" xfId="0" applyFont="1" applyFill="1" applyBorder="1" applyAlignment="1">
      <alignment horizontal="center" vertical="center" wrapText="1"/>
    </xf>
    <xf numFmtId="0" fontId="59" fillId="39" borderId="46" xfId="0" applyFont="1" applyFill="1" applyBorder="1" applyAlignment="1">
      <alignment horizontal="center" vertical="center" wrapText="1"/>
    </xf>
    <xf numFmtId="0" fontId="59" fillId="0" borderId="62" xfId="0" applyFont="1" applyBorder="1" applyAlignment="1">
      <alignment horizontal="left"/>
    </xf>
    <xf numFmtId="0" fontId="59" fillId="0" borderId="63" xfId="0" applyFont="1" applyBorder="1" applyAlignment="1">
      <alignment horizontal="left"/>
    </xf>
    <xf numFmtId="0" fontId="59" fillId="39" borderId="34" xfId="0" applyFont="1" applyFill="1" applyBorder="1" applyAlignment="1">
      <alignment horizontal="center" vertical="center" wrapText="1"/>
    </xf>
    <xf numFmtId="0" fontId="59" fillId="0" borderId="60" xfId="0" applyFont="1" applyBorder="1" applyAlignment="1">
      <alignment horizontal="left"/>
    </xf>
    <xf numFmtId="0" fontId="59" fillId="0" borderId="61" xfId="0" applyFont="1" applyBorder="1" applyAlignment="1">
      <alignment horizontal="left"/>
    </xf>
    <xf numFmtId="0" fontId="59" fillId="0" borderId="59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15" fillId="7" borderId="0" xfId="55" applyFont="1" applyFill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15" fillId="0" borderId="22" xfId="0" applyFont="1" applyFill="1" applyBorder="1" applyAlignment="1" applyProtection="1">
      <alignment horizontal="center" wrapText="1"/>
      <protection/>
    </xf>
    <xf numFmtId="0" fontId="0" fillId="0" borderId="30" xfId="0" applyFont="1" applyBorder="1" applyAlignment="1">
      <alignment wrapText="1"/>
    </xf>
    <xf numFmtId="0" fontId="15" fillId="0" borderId="23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>
      <alignment wrapText="1"/>
    </xf>
    <xf numFmtId="0" fontId="16" fillId="0" borderId="0" xfId="0" applyFont="1" applyAlignment="1" applyProtection="1">
      <alignment horizontal="left" vertical="top" wrapText="1" indent="1"/>
      <protection/>
    </xf>
    <xf numFmtId="0" fontId="15" fillId="7" borderId="0" xfId="0" applyFont="1" applyFill="1" applyAlignment="1" applyProtection="1">
      <alignment horizontal="left" vertical="top" wrapText="1"/>
      <protection/>
    </xf>
    <xf numFmtId="0" fontId="16" fillId="0" borderId="0" xfId="55" applyFont="1" applyAlignment="1" applyProtection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left" indent="7"/>
      <protection/>
    </xf>
    <xf numFmtId="0" fontId="7" fillId="0" borderId="0" xfId="0" applyFont="1" applyAlignment="1" applyProtection="1">
      <alignment horizontal="center"/>
      <protection/>
    </xf>
    <xf numFmtId="0" fontId="6" fillId="4" borderId="0" xfId="0" applyFont="1" applyFill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 vertical="top"/>
    </xf>
    <xf numFmtId="0" fontId="4" fillId="4" borderId="0" xfId="0" applyFont="1" applyFill="1" applyBorder="1" applyAlignment="1">
      <alignment horizontal="right" vertical="top"/>
    </xf>
    <xf numFmtId="49" fontId="4" fillId="4" borderId="0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5" fontId="4" fillId="4" borderId="0" xfId="0" applyNumberFormat="1" applyFont="1" applyFill="1" applyAlignment="1">
      <alignment horizontal="right" vertical="top"/>
    </xf>
    <xf numFmtId="0" fontId="15" fillId="7" borderId="0" xfId="55" applyFont="1" applyFill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15" fillId="0" borderId="22" xfId="0" applyFont="1" applyFill="1" applyBorder="1" applyAlignment="1" applyProtection="1">
      <alignment horizontal="center" wrapText="1"/>
      <protection/>
    </xf>
    <xf numFmtId="0" fontId="0" fillId="0" borderId="30" xfId="0" applyFont="1" applyBorder="1" applyAlignment="1">
      <alignment wrapText="1"/>
    </xf>
    <xf numFmtId="0" fontId="15" fillId="0" borderId="23" xfId="0" applyFont="1" applyFill="1" applyBorder="1" applyAlignment="1" applyProtection="1">
      <alignment horizontal="center" wrapText="1"/>
      <protection/>
    </xf>
    <xf numFmtId="0" fontId="0" fillId="0" borderId="34" xfId="0" applyFont="1" applyBorder="1" applyAlignment="1">
      <alignment wrapText="1"/>
    </xf>
    <xf numFmtId="0" fontId="16" fillId="0" borderId="0" xfId="0" applyFont="1" applyAlignment="1" applyProtection="1">
      <alignment horizontal="left" vertical="top" wrapText="1" indent="1"/>
      <protection/>
    </xf>
    <xf numFmtId="0" fontId="15" fillId="7" borderId="0" xfId="0" applyFont="1" applyFill="1" applyAlignment="1" applyProtection="1">
      <alignment horizontal="left" vertical="top" wrapText="1"/>
      <protection/>
    </xf>
    <xf numFmtId="0" fontId="16" fillId="0" borderId="0" xfId="55" applyFont="1" applyAlignment="1" applyProtection="1">
      <alignment horizontal="left" vertical="top" wrapText="1" indent="1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15" fillId="0" borderId="25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EB%20Rate%20Applications\2014%20COS%20Rate%20Rebasing\New%20Working%20Models%20August%202013\Revised_Filing_Requirements_Chapter2_Appendices_for%2020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EB-2013-0116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4"/>
  <sheetViews>
    <sheetView showGridLines="0" zoomScalePageLayoutView="0" workbookViewId="0" topLeftCell="A2">
      <selection activeCell="S37" sqref="S37"/>
    </sheetView>
  </sheetViews>
  <sheetFormatPr defaultColWidth="9.140625" defaultRowHeight="15"/>
  <cols>
    <col min="1" max="1" width="1.57421875" style="0" customWidth="1"/>
    <col min="3" max="3" width="6.421875" style="0" customWidth="1"/>
    <col min="4" max="4" width="6.57421875" style="0" bestFit="1" customWidth="1"/>
    <col min="5" max="5" width="4.00390625" style="0" bestFit="1" customWidth="1"/>
    <col min="6" max="6" width="5.421875" style="0" bestFit="1" customWidth="1"/>
    <col min="7" max="7" width="10.140625" style="0" bestFit="1" customWidth="1"/>
    <col min="8" max="8" width="9.421875" style="0" customWidth="1"/>
    <col min="9" max="9" width="12.8515625" style="0" customWidth="1"/>
    <col min="10" max="10" width="10.7109375" style="0" bestFit="1" customWidth="1"/>
    <col min="11" max="11" width="9.57421875" style="0" bestFit="1" customWidth="1"/>
    <col min="12" max="12" width="10.28125" style="0" bestFit="1" customWidth="1"/>
    <col min="13" max="13" width="10.7109375" style="0" bestFit="1" customWidth="1"/>
    <col min="14" max="14" width="10.28125" style="0" bestFit="1" customWidth="1"/>
    <col min="15" max="15" width="9.57421875" style="0" bestFit="1" customWidth="1"/>
    <col min="16" max="16" width="10.28125" style="0" bestFit="1" customWidth="1"/>
    <col min="17" max="17" width="10.7109375" style="0" bestFit="1" customWidth="1"/>
    <col min="19" max="19" width="9.00390625" style="0" customWidth="1"/>
  </cols>
  <sheetData>
    <row r="1" ht="9.75" customHeight="1"/>
    <row r="3" ht="6" customHeight="1"/>
    <row r="4" spans="8:17" s="441" customFormat="1" ht="30">
      <c r="H4" s="447" t="s">
        <v>156</v>
      </c>
      <c r="I4" s="448"/>
      <c r="J4" s="448"/>
      <c r="K4" s="447" t="s">
        <v>138</v>
      </c>
      <c r="L4" s="447"/>
      <c r="M4" s="447"/>
      <c r="O4" s="447" t="s">
        <v>136</v>
      </c>
      <c r="P4" s="447"/>
      <c r="Q4" s="447"/>
    </row>
    <row r="5" spans="2:17" ht="51.75" thickBot="1">
      <c r="B5" s="544" t="s">
        <v>102</v>
      </c>
      <c r="C5" s="545"/>
      <c r="D5" s="436" t="s">
        <v>103</v>
      </c>
      <c r="E5" s="436" t="s">
        <v>70</v>
      </c>
      <c r="F5" s="510" t="s">
        <v>160</v>
      </c>
      <c r="G5" s="462" t="s">
        <v>114</v>
      </c>
      <c r="H5" s="442" t="s">
        <v>133</v>
      </c>
      <c r="I5" s="434" t="s">
        <v>152</v>
      </c>
      <c r="J5" s="435" t="s">
        <v>153</v>
      </c>
      <c r="K5" s="434" t="s">
        <v>134</v>
      </c>
      <c r="L5" s="434" t="s">
        <v>154</v>
      </c>
      <c r="M5" s="435" t="s">
        <v>155</v>
      </c>
      <c r="N5" s="462" t="s">
        <v>135</v>
      </c>
      <c r="O5" s="434" t="s">
        <v>132</v>
      </c>
      <c r="P5" s="434" t="s">
        <v>106</v>
      </c>
      <c r="Q5" s="435" t="s">
        <v>107</v>
      </c>
    </row>
    <row r="6" spans="2:17" ht="15">
      <c r="B6" s="464"/>
      <c r="C6" s="465"/>
      <c r="D6" s="511"/>
      <c r="E6" s="512"/>
      <c r="F6" s="513"/>
      <c r="G6" s="449" t="s">
        <v>94</v>
      </c>
      <c r="H6" s="443" t="s">
        <v>94</v>
      </c>
      <c r="I6" s="39" t="s">
        <v>94</v>
      </c>
      <c r="J6" s="40" t="s">
        <v>95</v>
      </c>
      <c r="K6" s="38" t="s">
        <v>94</v>
      </c>
      <c r="L6" s="39" t="s">
        <v>94</v>
      </c>
      <c r="M6" s="40" t="s">
        <v>95</v>
      </c>
      <c r="N6" s="449" t="s">
        <v>94</v>
      </c>
      <c r="O6" s="38" t="s">
        <v>94</v>
      </c>
      <c r="P6" s="39" t="s">
        <v>94</v>
      </c>
      <c r="Q6" s="40" t="s">
        <v>95</v>
      </c>
    </row>
    <row r="7" spans="2:17" ht="15">
      <c r="B7" s="546" t="s">
        <v>61</v>
      </c>
      <c r="C7" s="547"/>
      <c r="D7" s="514">
        <v>100</v>
      </c>
      <c r="E7" s="514"/>
      <c r="F7" s="515"/>
      <c r="G7" s="450">
        <f>'Res (100kWh)'!H71</f>
        <v>28.860499489999995</v>
      </c>
      <c r="H7" s="444">
        <f>'Res (100kWh)'!L71</f>
        <v>36.16657999000001</v>
      </c>
      <c r="I7" s="26">
        <f aca="true" t="shared" si="0" ref="I7:I13">H7-G7</f>
        <v>7.306080500000014</v>
      </c>
      <c r="J7" s="37">
        <f>I7/G7</f>
        <v>0.2531515610993334</v>
      </c>
      <c r="K7" s="26">
        <v>37.03667999</v>
      </c>
      <c r="L7" s="26">
        <f>K7-G7</f>
        <v>8.176180500000008</v>
      </c>
      <c r="M7" s="37">
        <f>L7/G7</f>
        <v>0.28330003445827434</v>
      </c>
      <c r="N7" s="460">
        <f>L7-I7</f>
        <v>0.8700999999999937</v>
      </c>
      <c r="O7" s="444">
        <v>37.00110194</v>
      </c>
      <c r="P7" s="26">
        <v>8.140602450000003</v>
      </c>
      <c r="Q7" s="37">
        <v>0.28206727512878554</v>
      </c>
    </row>
    <row r="8" spans="2:17" ht="15">
      <c r="B8" s="546" t="s">
        <v>104</v>
      </c>
      <c r="C8" s="547"/>
      <c r="D8" s="514">
        <v>250</v>
      </c>
      <c r="E8" s="514"/>
      <c r="F8" s="515"/>
      <c r="G8" s="451">
        <f>'Res (250kWh)'!H71</f>
        <v>50.78929872500001</v>
      </c>
      <c r="H8" s="444">
        <f>'Res (250kWh)'!L71</f>
        <v>60.821749974999996</v>
      </c>
      <c r="I8" s="26">
        <f t="shared" si="0"/>
        <v>10.032451249999987</v>
      </c>
      <c r="J8" s="37">
        <f aca="true" t="shared" si="1" ref="J8:J13">I8/G8</f>
        <v>0.1975308086910386</v>
      </c>
      <c r="K8" s="26">
        <v>61.505399975</v>
      </c>
      <c r="L8" s="26">
        <f aca="true" t="shared" si="2" ref="L8:L13">K8-G8</f>
        <v>10.716101249999994</v>
      </c>
      <c r="M8" s="37">
        <f aca="true" t="shared" si="3" ref="M8:M13">L8/G8</f>
        <v>0.21099132138095872</v>
      </c>
      <c r="N8" s="460">
        <f aca="true" t="shared" si="4" ref="N8:N13">L8-I8</f>
        <v>0.6836500000000072</v>
      </c>
      <c r="O8" s="444">
        <v>61.41645485000001</v>
      </c>
      <c r="P8" s="26">
        <v>10.627156124999999</v>
      </c>
      <c r="Q8" s="37">
        <v>0.20924006418243762</v>
      </c>
    </row>
    <row r="9" spans="2:17" ht="15">
      <c r="B9" s="437"/>
      <c r="C9" s="25"/>
      <c r="D9" s="516">
        <v>350</v>
      </c>
      <c r="E9" s="516"/>
      <c r="F9" s="517"/>
      <c r="G9" s="455">
        <f>'Res (350kWh)'!H71</f>
        <v>65.398498215</v>
      </c>
      <c r="H9" s="456">
        <f>'Res (350kWh)'!L71</f>
        <v>77.25852996500001</v>
      </c>
      <c r="I9" s="457">
        <f t="shared" si="0"/>
        <v>11.860031750000005</v>
      </c>
      <c r="J9" s="458">
        <f t="shared" si="1"/>
        <v>0.18135021558155215</v>
      </c>
      <c r="K9" s="457">
        <v>77.81787996500002</v>
      </c>
      <c r="L9" s="457">
        <f t="shared" si="2"/>
        <v>12.419381750000014</v>
      </c>
      <c r="M9" s="458">
        <f t="shared" si="3"/>
        <v>0.18990316427711892</v>
      </c>
      <c r="N9" s="461">
        <f t="shared" si="4"/>
        <v>0.5593500000000091</v>
      </c>
      <c r="O9" s="456">
        <v>77.69335679000002</v>
      </c>
      <c r="P9" s="457">
        <v>12.29485857500002</v>
      </c>
      <c r="Q9" s="458">
        <v>0.18799909647130145</v>
      </c>
    </row>
    <row r="10" spans="2:17" ht="15">
      <c r="B10" s="437"/>
      <c r="C10" s="25"/>
      <c r="D10" s="516">
        <v>800</v>
      </c>
      <c r="E10" s="516"/>
      <c r="F10" s="517"/>
      <c r="G10" s="455">
        <f>'Res (800kWh)'!H71</f>
        <v>131.17489592</v>
      </c>
      <c r="H10" s="456">
        <f>'Res (800kWh)'!L71</f>
        <v>151.22403992000002</v>
      </c>
      <c r="I10" s="457">
        <f t="shared" si="0"/>
        <v>20.049144000000013</v>
      </c>
      <c r="J10" s="458">
        <f t="shared" si="1"/>
        <v>0.1528428428273916</v>
      </c>
      <c r="K10" s="457">
        <v>151.22403992000002</v>
      </c>
      <c r="L10" s="457">
        <f t="shared" si="2"/>
        <v>20.049144000000013</v>
      </c>
      <c r="M10" s="458">
        <f t="shared" si="3"/>
        <v>0.1528428428273916</v>
      </c>
      <c r="N10" s="461">
        <f t="shared" si="4"/>
        <v>0</v>
      </c>
      <c r="O10" s="456">
        <v>150.93941552</v>
      </c>
      <c r="P10" s="457">
        <v>19.7645196</v>
      </c>
      <c r="Q10" s="458">
        <v>0.15067303435905785</v>
      </c>
    </row>
    <row r="11" spans="2:17" ht="15">
      <c r="B11" s="437"/>
      <c r="C11" s="25"/>
      <c r="D11" s="518">
        <v>1000</v>
      </c>
      <c r="E11" s="514"/>
      <c r="F11" s="515"/>
      <c r="G11" s="451">
        <f>'Res (1,000kWh)'!H71</f>
        <v>160.40329490000005</v>
      </c>
      <c r="H11" s="444">
        <f>'Res (1,000kWh)'!L71</f>
        <v>184.0975999</v>
      </c>
      <c r="I11" s="26">
        <f t="shared" si="0"/>
        <v>23.694304999999957</v>
      </c>
      <c r="J11" s="37">
        <f t="shared" si="1"/>
        <v>0.14771707161484218</v>
      </c>
      <c r="K11" s="26">
        <v>183.8489999</v>
      </c>
      <c r="L11" s="26">
        <f t="shared" si="2"/>
        <v>23.445704999999947</v>
      </c>
      <c r="M11" s="37">
        <f t="shared" si="3"/>
        <v>0.14616722813965052</v>
      </c>
      <c r="N11" s="460">
        <f t="shared" si="4"/>
        <v>-0.24860000000001037</v>
      </c>
      <c r="O11" s="444">
        <v>183.4932194</v>
      </c>
      <c r="P11" s="26">
        <v>23.08992449999994</v>
      </c>
      <c r="Q11" s="37">
        <v>0.1439491907843592</v>
      </c>
    </row>
    <row r="12" spans="2:17" ht="15">
      <c r="B12" s="437"/>
      <c r="C12" s="25"/>
      <c r="D12" s="518">
        <v>1500</v>
      </c>
      <c r="E12" s="514"/>
      <c r="F12" s="515"/>
      <c r="G12" s="451">
        <f>'Res (1,500kWh)'!H71</f>
        <v>233.47929235000004</v>
      </c>
      <c r="H12" s="444">
        <f>'Res (1,500kWh)'!L71</f>
        <v>266.28149985000005</v>
      </c>
      <c r="I12" s="26">
        <f t="shared" si="0"/>
        <v>32.80220750000001</v>
      </c>
      <c r="J12" s="37">
        <f t="shared" si="1"/>
        <v>0.14049300548173432</v>
      </c>
      <c r="K12" s="26">
        <v>265.41139985</v>
      </c>
      <c r="L12" s="26">
        <f t="shared" si="2"/>
        <v>31.932107499999972</v>
      </c>
      <c r="M12" s="37">
        <f t="shared" si="3"/>
        <v>0.13676633665709312</v>
      </c>
      <c r="N12" s="460">
        <f t="shared" si="4"/>
        <v>-0.8701000000000363</v>
      </c>
      <c r="O12" s="444">
        <v>264.8777291</v>
      </c>
      <c r="P12" s="26">
        <v>31.398436749999973</v>
      </c>
      <c r="Q12" s="37">
        <v>0.13448060611273294</v>
      </c>
    </row>
    <row r="13" spans="2:17" ht="15">
      <c r="B13" s="438"/>
      <c r="C13" s="27"/>
      <c r="D13" s="519">
        <v>2000</v>
      </c>
      <c r="E13" s="520"/>
      <c r="F13" s="521"/>
      <c r="G13" s="452">
        <f>'Res (2,000kWh)'!H71</f>
        <v>306.5552898000001</v>
      </c>
      <c r="H13" s="445">
        <f>'Res (2,000kWh)'!L71</f>
        <v>348.4653998</v>
      </c>
      <c r="I13" s="28">
        <f t="shared" si="0"/>
        <v>41.91010999999992</v>
      </c>
      <c r="J13" s="29">
        <f t="shared" si="1"/>
        <v>0.13671305436400238</v>
      </c>
      <c r="K13" s="28">
        <v>346.9737998</v>
      </c>
      <c r="L13" s="28">
        <f t="shared" si="2"/>
        <v>40.41850999999991</v>
      </c>
      <c r="M13" s="29">
        <f t="shared" si="3"/>
        <v>0.13184737417634965</v>
      </c>
      <c r="N13" s="536">
        <f t="shared" si="4"/>
        <v>-1.4916000000000054</v>
      </c>
      <c r="O13" s="445">
        <v>303.04676739999996</v>
      </c>
      <c r="P13" s="28">
        <v>35.3869489999999</v>
      </c>
      <c r="Q13" s="29">
        <v>0.13220867148283133</v>
      </c>
    </row>
    <row r="14" spans="2:17" ht="14.25" customHeight="1" hidden="1">
      <c r="B14" s="438"/>
      <c r="C14" s="27"/>
      <c r="D14" s="519"/>
      <c r="E14" s="520"/>
      <c r="F14" s="521"/>
      <c r="G14" s="452"/>
      <c r="H14" s="445"/>
      <c r="I14" s="28"/>
      <c r="J14" s="29"/>
      <c r="K14" s="28"/>
      <c r="L14" s="28"/>
      <c r="M14" s="29"/>
      <c r="N14" s="463"/>
      <c r="O14" s="445"/>
      <c r="P14" s="28"/>
      <c r="Q14" s="29"/>
    </row>
    <row r="15" spans="2:17" ht="15" hidden="1">
      <c r="B15" s="439"/>
      <c r="C15" s="30"/>
      <c r="D15" s="522"/>
      <c r="E15" s="522"/>
      <c r="F15" s="523"/>
      <c r="G15" s="453"/>
      <c r="H15" s="446"/>
      <c r="I15" s="31"/>
      <c r="J15" s="32"/>
      <c r="K15" s="31"/>
      <c r="L15" s="31"/>
      <c r="M15" s="32"/>
      <c r="O15" s="446"/>
      <c r="P15" s="31"/>
      <c r="Q15" s="32"/>
    </row>
    <row r="16" spans="2:17" ht="15">
      <c r="B16" s="548" t="s">
        <v>68</v>
      </c>
      <c r="C16" s="549"/>
      <c r="D16" s="518">
        <v>1000</v>
      </c>
      <c r="E16" s="514"/>
      <c r="F16" s="515"/>
      <c r="G16" s="451">
        <f>'GS&lt;50 (1,000kWh)'!H71</f>
        <v>165.37933390000003</v>
      </c>
      <c r="H16" s="444">
        <f>'GS&lt;50 (1,000kWh)'!L71</f>
        <v>198.53442339999998</v>
      </c>
      <c r="I16" s="26">
        <f>H16-G16</f>
        <v>33.155089499999946</v>
      </c>
      <c r="J16" s="37">
        <f>I16/G16</f>
        <v>0.20047903639548967</v>
      </c>
      <c r="K16" s="26">
        <v>198.53442339999998</v>
      </c>
      <c r="L16" s="26">
        <f>K16-G16</f>
        <v>33.155089499999946</v>
      </c>
      <c r="M16" s="37">
        <f>L16/G16</f>
        <v>0.20047903639548967</v>
      </c>
      <c r="N16" s="459"/>
      <c r="O16" s="444">
        <v>198.1786429</v>
      </c>
      <c r="P16" s="26">
        <v>32.799308999999965</v>
      </c>
      <c r="Q16" s="37">
        <v>0.1983277367644541</v>
      </c>
    </row>
    <row r="17" spans="2:17" ht="15">
      <c r="B17" s="546" t="s">
        <v>104</v>
      </c>
      <c r="C17" s="547"/>
      <c r="D17" s="524">
        <v>2000</v>
      </c>
      <c r="E17" s="516"/>
      <c r="F17" s="517"/>
      <c r="G17" s="455">
        <f>'GS&lt;50 (2,000kWh)'!H71</f>
        <v>307.63376780000004</v>
      </c>
      <c r="H17" s="456">
        <f>'GS&lt;50 (2,000kWh)'!L71</f>
        <v>371.3839468</v>
      </c>
      <c r="I17" s="457">
        <f>H17-G17</f>
        <v>63.750178999999946</v>
      </c>
      <c r="J17" s="458">
        <f>I17/G17</f>
        <v>0.20722750774695656</v>
      </c>
      <c r="K17" s="457">
        <v>371.3839468</v>
      </c>
      <c r="L17" s="457">
        <f>K17-G17</f>
        <v>63.750178999999946</v>
      </c>
      <c r="M17" s="458">
        <f>L17/G17</f>
        <v>0.20722750774695656</v>
      </c>
      <c r="N17" s="459"/>
      <c r="O17" s="456">
        <v>370.6723858000001</v>
      </c>
      <c r="P17" s="457">
        <v>63.03861800000004</v>
      </c>
      <c r="Q17" s="458">
        <v>0.20491449443541884</v>
      </c>
    </row>
    <row r="18" spans="2:17" ht="15">
      <c r="B18" s="437"/>
      <c r="C18" s="25"/>
      <c r="D18" s="518">
        <v>5000</v>
      </c>
      <c r="E18" s="514"/>
      <c r="F18" s="515"/>
      <c r="G18" s="451">
        <f>'GS&lt;50 (5,000kWh)'!H71</f>
        <v>734.4070695000001</v>
      </c>
      <c r="H18" s="444">
        <f>'GS&lt;50 (5,000kWh)'!L71</f>
        <v>889.9325170000002</v>
      </c>
      <c r="I18" s="26">
        <f>H18-G18</f>
        <v>155.52544750000004</v>
      </c>
      <c r="J18" s="37">
        <f>I18/G18</f>
        <v>0.2117700849555888</v>
      </c>
      <c r="K18" s="26">
        <v>889.9325170000002</v>
      </c>
      <c r="L18" s="26">
        <f>K18-G18</f>
        <v>155.52544750000004</v>
      </c>
      <c r="M18" s="37">
        <f>L18/G18</f>
        <v>0.2117700849555888</v>
      </c>
      <c r="N18" s="459"/>
      <c r="O18" s="444">
        <v>888.1536145000001</v>
      </c>
      <c r="P18" s="26">
        <v>153.74654499999997</v>
      </c>
      <c r="Q18" s="37">
        <v>0.20934785541303935</v>
      </c>
    </row>
    <row r="19" spans="2:17" ht="15">
      <c r="B19" s="437"/>
      <c r="C19" s="25"/>
      <c r="D19" s="518">
        <v>10000</v>
      </c>
      <c r="E19" s="514"/>
      <c r="F19" s="515"/>
      <c r="G19" s="451">
        <f>'GS&lt;50 (10,000kWh)'!H71</f>
        <v>1445.6992390000005</v>
      </c>
      <c r="H19" s="444">
        <f>'GS&lt;50 (10,000kWh)'!L71</f>
        <v>1754.1801340000004</v>
      </c>
      <c r="I19" s="26">
        <f>H19-G19</f>
        <v>308.4808949999999</v>
      </c>
      <c r="J19" s="37">
        <f>I19/G19</f>
        <v>0.2133783339426658</v>
      </c>
      <c r="K19" s="26">
        <v>1754.1801340000004</v>
      </c>
      <c r="L19" s="26">
        <f>K19-G19</f>
        <v>308.4808949999999</v>
      </c>
      <c r="M19" s="37">
        <f>L19/G19</f>
        <v>0.2133783339426658</v>
      </c>
      <c r="N19" s="459"/>
      <c r="O19" s="444">
        <v>1750.6223290000003</v>
      </c>
      <c r="P19" s="26">
        <v>304.9230899999998</v>
      </c>
      <c r="Q19" s="37">
        <v>0.21091737601723928</v>
      </c>
    </row>
    <row r="20" spans="2:17" ht="15">
      <c r="B20" s="438"/>
      <c r="C20" s="27"/>
      <c r="D20" s="519">
        <v>15000</v>
      </c>
      <c r="E20" s="520"/>
      <c r="F20" s="521"/>
      <c r="G20" s="452">
        <f>'GS&lt;50 (15,000kWh)'!H71</f>
        <v>2156.9814085000003</v>
      </c>
      <c r="H20" s="445">
        <f>'GS&lt;50 (15,000kWh)'!L71</f>
        <v>2618.4277510000006</v>
      </c>
      <c r="I20" s="28">
        <f>H20-G20</f>
        <v>461.44634250000036</v>
      </c>
      <c r="J20" s="29">
        <f>I20/G20</f>
        <v>0.21393153444975568</v>
      </c>
      <c r="K20" s="28">
        <v>2618.4277510000006</v>
      </c>
      <c r="L20" s="28">
        <f>K20-G20</f>
        <v>461.44634250000036</v>
      </c>
      <c r="M20" s="29">
        <f>L20/G20</f>
        <v>0.21393153444975568</v>
      </c>
      <c r="N20" s="537"/>
      <c r="O20" s="445">
        <v>2608.1981435000002</v>
      </c>
      <c r="P20" s="28">
        <v>455.61963499999956</v>
      </c>
      <c r="Q20" s="29">
        <v>0.21166226142315842</v>
      </c>
    </row>
    <row r="21" spans="2:17" ht="15" hidden="1">
      <c r="B21" s="438"/>
      <c r="C21" s="27"/>
      <c r="D21" s="519"/>
      <c r="E21" s="520"/>
      <c r="F21" s="521"/>
      <c r="G21" s="452"/>
      <c r="H21" s="445"/>
      <c r="I21" s="28"/>
      <c r="J21" s="29"/>
      <c r="K21" s="28"/>
      <c r="L21" s="28"/>
      <c r="M21" s="29"/>
      <c r="O21" s="445"/>
      <c r="P21" s="28"/>
      <c r="Q21" s="29"/>
    </row>
    <row r="22" spans="2:17" ht="15" hidden="1">
      <c r="B22" s="439"/>
      <c r="C22" s="30"/>
      <c r="D22" s="522"/>
      <c r="E22" s="522"/>
      <c r="F22" s="523"/>
      <c r="G22" s="453"/>
      <c r="H22" s="446"/>
      <c r="I22" s="31"/>
      <c r="J22" s="32"/>
      <c r="K22" s="31"/>
      <c r="L22" s="31"/>
      <c r="M22" s="32"/>
      <c r="O22" s="446"/>
      <c r="P22" s="31"/>
      <c r="Q22" s="32"/>
    </row>
    <row r="23" spans="2:17" ht="15">
      <c r="B23" s="548" t="s">
        <v>112</v>
      </c>
      <c r="C23" s="549"/>
      <c r="D23" s="518">
        <v>20000</v>
      </c>
      <c r="E23" s="514">
        <v>60</v>
      </c>
      <c r="F23" s="515"/>
      <c r="G23" s="451">
        <f>'GS 50-4999 (60kW)'!H75</f>
        <v>3257.9150378900003</v>
      </c>
      <c r="H23" s="444">
        <f>'GS 50-4999 (60kW)'!L75</f>
        <v>3414.67499075</v>
      </c>
      <c r="I23" s="26">
        <f>H23-G23</f>
        <v>156.75995285999943</v>
      </c>
      <c r="J23" s="37">
        <f>I23/G23</f>
        <v>0.04811664854265983</v>
      </c>
      <c r="K23" s="26">
        <v>3414.67499075</v>
      </c>
      <c r="L23" s="26">
        <f>K23-G23</f>
        <v>156.75995285999943</v>
      </c>
      <c r="M23" s="37">
        <f>L23/G23</f>
        <v>0.04811664854265983</v>
      </c>
      <c r="O23" s="444">
        <v>3407.9526207500003</v>
      </c>
      <c r="P23" s="26">
        <v>475.8275828599999</v>
      </c>
      <c r="Q23" s="37">
        <v>0.16228079522911898</v>
      </c>
    </row>
    <row r="24" spans="2:17" ht="15">
      <c r="B24" s="440"/>
      <c r="C24" s="33"/>
      <c r="D24" s="519">
        <v>40000</v>
      </c>
      <c r="E24" s="520">
        <v>100</v>
      </c>
      <c r="F24" s="521"/>
      <c r="G24" s="452">
        <f>'GS 50-4999 (100kW)'!H75</f>
        <v>6235.711493150001</v>
      </c>
      <c r="H24" s="445">
        <f>'GS 50-4999 (100kW)'!L75</f>
        <v>6499.349951249999</v>
      </c>
      <c r="I24" s="28">
        <f>H24-G24</f>
        <v>263.6384580999984</v>
      </c>
      <c r="J24" s="29">
        <f>I24/G24</f>
        <v>0.0422788094653847</v>
      </c>
      <c r="K24" s="28">
        <v>6499.349951249999</v>
      </c>
      <c r="L24" s="28">
        <f>K24-G24</f>
        <v>263.6384580999984</v>
      </c>
      <c r="M24" s="29">
        <f>L24/G24</f>
        <v>0.0422788094653847</v>
      </c>
      <c r="N24" s="27"/>
      <c r="O24" s="445">
        <v>6476.37253125</v>
      </c>
      <c r="P24" s="28">
        <v>864.2310380999988</v>
      </c>
      <c r="Q24" s="29">
        <v>0.1539930949985583</v>
      </c>
    </row>
    <row r="25" spans="2:17" ht="15" hidden="1">
      <c r="B25" s="438"/>
      <c r="C25" s="27"/>
      <c r="D25" s="519"/>
      <c r="E25" s="520"/>
      <c r="F25" s="521"/>
      <c r="G25" s="452"/>
      <c r="H25" s="445"/>
      <c r="I25" s="28"/>
      <c r="J25" s="29"/>
      <c r="K25" s="28"/>
      <c r="L25" s="28"/>
      <c r="M25" s="29"/>
      <c r="O25" s="445"/>
      <c r="P25" s="28"/>
      <c r="Q25" s="29"/>
    </row>
    <row r="26" spans="2:17" ht="15" hidden="1">
      <c r="B26" s="439"/>
      <c r="C26" s="30"/>
      <c r="D26" s="525"/>
      <c r="E26" s="522"/>
      <c r="F26" s="523"/>
      <c r="G26" s="453"/>
      <c r="H26" s="446"/>
      <c r="I26" s="31"/>
      <c r="J26" s="32"/>
      <c r="K26" s="31"/>
      <c r="L26" s="31"/>
      <c r="M26" s="32"/>
      <c r="O26" s="446"/>
      <c r="P26" s="31"/>
      <c r="Q26" s="32"/>
    </row>
    <row r="27" spans="2:17" ht="15">
      <c r="B27" s="540" t="s">
        <v>113</v>
      </c>
      <c r="C27" s="541"/>
      <c r="D27" s="519">
        <v>65</v>
      </c>
      <c r="E27" s="519" t="s">
        <v>115</v>
      </c>
      <c r="F27" s="526">
        <v>1</v>
      </c>
      <c r="G27" s="452">
        <f>Sentinel!H75</f>
        <v>43.35044280849999</v>
      </c>
      <c r="H27" s="445">
        <f>Sentinel!L75</f>
        <v>50.345430083500005</v>
      </c>
      <c r="I27" s="28">
        <f>H27-G27</f>
        <v>6.994987275000014</v>
      </c>
      <c r="J27" s="29">
        <f>I27/G27</f>
        <v>0.161359073214091</v>
      </c>
      <c r="K27" s="28">
        <v>50.345430083500005</v>
      </c>
      <c r="L27" s="28">
        <f>K27-G27</f>
        <v>6.994987275000014</v>
      </c>
      <c r="M27" s="29">
        <f>L27/G27</f>
        <v>0.161359073214091</v>
      </c>
      <c r="N27" s="27"/>
      <c r="O27" s="445">
        <v>49.995960350999994</v>
      </c>
      <c r="P27" s="28">
        <v>7.0241825425</v>
      </c>
      <c r="Q27" s="29">
        <v>0.16346036633165753</v>
      </c>
    </row>
    <row r="28" spans="2:17" ht="15" hidden="1">
      <c r="B28" s="440"/>
      <c r="C28" s="33"/>
      <c r="D28" s="519"/>
      <c r="E28" s="519"/>
      <c r="F28" s="521"/>
      <c r="G28" s="452"/>
      <c r="H28" s="445"/>
      <c r="I28" s="28"/>
      <c r="J28" s="29"/>
      <c r="K28" s="28"/>
      <c r="L28" s="28"/>
      <c r="M28" s="29"/>
      <c r="O28" s="445"/>
      <c r="P28" s="28"/>
      <c r="Q28" s="29"/>
    </row>
    <row r="29" spans="2:17" ht="15" hidden="1">
      <c r="B29" s="439"/>
      <c r="C29" s="30"/>
      <c r="D29" s="522"/>
      <c r="E29" s="522"/>
      <c r="F29" s="523"/>
      <c r="G29" s="453"/>
      <c r="H29" s="446"/>
      <c r="I29" s="31"/>
      <c r="J29" s="32"/>
      <c r="K29" s="31"/>
      <c r="L29" s="31"/>
      <c r="M29" s="32"/>
      <c r="O29" s="446"/>
      <c r="P29" s="31"/>
      <c r="Q29" s="32"/>
    </row>
    <row r="30" spans="2:17" ht="15.75" customHeight="1">
      <c r="B30" s="540" t="s">
        <v>105</v>
      </c>
      <c r="C30" s="541"/>
      <c r="D30" s="519">
        <v>800</v>
      </c>
      <c r="E30" s="520"/>
      <c r="F30" s="526">
        <v>1</v>
      </c>
      <c r="G30" s="452">
        <f>'USL (800kWh)'!H74</f>
        <v>136.77755040000002</v>
      </c>
      <c r="H30" s="445">
        <f>'USL (800kWh)'!L74</f>
        <v>142.41277</v>
      </c>
      <c r="I30" s="28">
        <f>H30-G30</f>
        <v>5.635219599999971</v>
      </c>
      <c r="J30" s="29">
        <f>I30/G30</f>
        <v>0.041199886849267404</v>
      </c>
      <c r="K30" s="28">
        <v>142.41277</v>
      </c>
      <c r="L30" s="28">
        <f>K30-G30</f>
        <v>5.635219599999971</v>
      </c>
      <c r="M30" s="29">
        <f>L30/G30</f>
        <v>0.041199886849267404</v>
      </c>
      <c r="N30" s="27"/>
      <c r="O30" s="445">
        <v>142.1281456</v>
      </c>
      <c r="P30" s="28">
        <v>19.030595199999993</v>
      </c>
      <c r="Q30" s="29">
        <v>0.15459767589331325</v>
      </c>
    </row>
    <row r="31" spans="2:17" ht="15" hidden="1">
      <c r="B31" s="440"/>
      <c r="C31" s="33"/>
      <c r="D31" s="519"/>
      <c r="E31" s="520"/>
      <c r="F31" s="526"/>
      <c r="G31" s="452"/>
      <c r="H31" s="445"/>
      <c r="I31" s="28"/>
      <c r="J31" s="29"/>
      <c r="K31" s="28"/>
      <c r="L31" s="28"/>
      <c r="M31" s="29"/>
      <c r="N31" s="25"/>
      <c r="O31" s="445"/>
      <c r="P31" s="28"/>
      <c r="Q31" s="29"/>
    </row>
    <row r="32" spans="2:17" ht="15" hidden="1">
      <c r="B32" s="439"/>
      <c r="C32" s="30"/>
      <c r="D32" s="522"/>
      <c r="E32" s="522"/>
      <c r="F32" s="527"/>
      <c r="G32" s="453"/>
      <c r="H32" s="446"/>
      <c r="I32" s="31"/>
      <c r="J32" s="32"/>
      <c r="K32" s="31"/>
      <c r="L32" s="31"/>
      <c r="M32" s="32"/>
      <c r="N32" s="25"/>
      <c r="O32" s="446"/>
      <c r="P32" s="31"/>
      <c r="Q32" s="32"/>
    </row>
    <row r="33" spans="2:17" ht="15.75" thickBot="1">
      <c r="B33" s="542" t="s">
        <v>72</v>
      </c>
      <c r="C33" s="543"/>
      <c r="D33" s="530">
        <v>150</v>
      </c>
      <c r="E33" s="530">
        <v>1</v>
      </c>
      <c r="F33" s="531">
        <v>1</v>
      </c>
      <c r="G33" s="532">
        <f>'ST (1kW)'!H74</f>
        <v>74.70920736400001</v>
      </c>
      <c r="H33" s="533">
        <f>'ST (1kW)'!L74</f>
        <v>77.0404612655</v>
      </c>
      <c r="I33" s="534">
        <f>H33-G33</f>
        <v>2.3312539014999913</v>
      </c>
      <c r="J33" s="535">
        <f>I33/G33</f>
        <v>0.031204372041341567</v>
      </c>
      <c r="K33" s="534">
        <v>77.0404612655</v>
      </c>
      <c r="L33" s="534">
        <f>K33-G33</f>
        <v>2.3312539014999913</v>
      </c>
      <c r="M33" s="535">
        <f>L33/G33</f>
        <v>0.031204372041341567</v>
      </c>
      <c r="N33" s="35"/>
      <c r="O33" s="533">
        <v>77.0657421905</v>
      </c>
      <c r="P33" s="534">
        <v>9.826534826499994</v>
      </c>
      <c r="Q33" s="535">
        <v>0.14614293076514073</v>
      </c>
    </row>
    <row r="34" spans="2:17" ht="15.75" hidden="1" thickBot="1">
      <c r="B34" s="466"/>
      <c r="C34" s="35"/>
      <c r="D34" s="528"/>
      <c r="E34" s="528"/>
      <c r="F34" s="529"/>
      <c r="G34" s="454"/>
      <c r="H34" s="34"/>
      <c r="I34" s="35"/>
      <c r="J34" s="36"/>
      <c r="K34" s="35"/>
      <c r="L34" s="35"/>
      <c r="M34" s="36"/>
      <c r="O34" s="34"/>
      <c r="P34" s="35"/>
      <c r="Q34" s="36"/>
    </row>
  </sheetData>
  <sheetProtection/>
  <mergeCells count="9">
    <mergeCell ref="B27:C27"/>
    <mergeCell ref="B30:C30"/>
    <mergeCell ref="B33:C33"/>
    <mergeCell ref="B5:C5"/>
    <mergeCell ref="B7:C7"/>
    <mergeCell ref="B8:C8"/>
    <mergeCell ref="B16:C16"/>
    <mergeCell ref="B17:C17"/>
    <mergeCell ref="B23:C23"/>
  </mergeCells>
  <printOptions/>
  <pageMargins left="0.31496062992125984" right="0.31496062992125984" top="0.9448818897637796" bottom="0.7480314960629921" header="0.31496062992125984" footer="0.31496062992125984"/>
  <pageSetup fitToHeight="0" fitToWidth="1" horizontalDpi="600" verticalDpi="600" orientation="portrait" scale="67" r:id="rId1"/>
  <rowBreaks count="1" manualBreakCount="1">
    <brk id="34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59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9.71093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8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83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68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214">
        <v>17.36</v>
      </c>
      <c r="G23" s="215">
        <v>1</v>
      </c>
      <c r="H23" s="216">
        <f>G23*F23</f>
        <v>17.36</v>
      </c>
      <c r="I23" s="217"/>
      <c r="J23" s="222">
        <v>17.36</v>
      </c>
      <c r="K23" s="218">
        <v>1</v>
      </c>
      <c r="L23" s="216">
        <f>K23*J23</f>
        <v>17.36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30">
      <c r="B24" s="380" t="s">
        <v>64</v>
      </c>
      <c r="C24" s="211"/>
      <c r="D24" s="224" t="s">
        <v>62</v>
      </c>
      <c r="E24" s="227"/>
      <c r="F24" s="222">
        <v>4.33</v>
      </c>
      <c r="G24" s="215">
        <v>1</v>
      </c>
      <c r="H24" s="216">
        <f>G24*F24</f>
        <v>4.33</v>
      </c>
      <c r="I24" s="217"/>
      <c r="J24" s="222">
        <v>4.33</v>
      </c>
      <c r="K24" s="218">
        <v>1</v>
      </c>
      <c r="L24" s="216">
        <f>K24*J24</f>
        <v>4.33</v>
      </c>
      <c r="M24" s="217"/>
      <c r="N24" s="219">
        <f>L24-H24</f>
        <v>0</v>
      </c>
      <c r="O24" s="220">
        <f>IF((H24)=0,"",(N24/H24))</f>
        <v>0</v>
      </c>
    </row>
    <row r="25" spans="2:15" s="210" customFormat="1" ht="36.75" customHeight="1" hidden="1">
      <c r="B25" s="223" t="s">
        <v>109</v>
      </c>
      <c r="C25" s="211"/>
      <c r="D25" s="224" t="s">
        <v>62</v>
      </c>
      <c r="E25" s="213"/>
      <c r="F25" s="222">
        <v>0</v>
      </c>
      <c r="G25" s="215">
        <v>1</v>
      </c>
      <c r="H25" s="216">
        <f>G25*F25</f>
        <v>0</v>
      </c>
      <c r="I25" s="217"/>
      <c r="J25" s="225"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380"/>
      <c r="C26" s="211"/>
      <c r="D26" s="224" t="s">
        <v>62</v>
      </c>
      <c r="E26" s="227"/>
      <c r="F26" s="222">
        <v>0</v>
      </c>
      <c r="G26" s="215">
        <v>1</v>
      </c>
      <c r="H26" s="216">
        <f aca="true" t="shared" si="0" ref="H26:H40">G26*F26</f>
        <v>0</v>
      </c>
      <c r="I26" s="217"/>
      <c r="J26" s="222">
        <v>0</v>
      </c>
      <c r="K26" s="218">
        <v>1</v>
      </c>
      <c r="L26" s="216">
        <f aca="true" t="shared" si="1" ref="L26:L40">K26*J26</f>
        <v>0</v>
      </c>
      <c r="M26" s="217"/>
      <c r="N26" s="219">
        <f aca="true" t="shared" si="2" ref="N26:N71">L26-H26</f>
        <v>0</v>
      </c>
      <c r="O26" s="220">
        <f aca="true" t="shared" si="3" ref="O26:O41">IF((H26)=0,"",(N26/H26))</f>
      </c>
    </row>
    <row r="27" spans="2:15" s="210" customFormat="1" ht="15" hidden="1">
      <c r="B27" s="226" t="s">
        <v>65</v>
      </c>
      <c r="C27" s="211"/>
      <c r="D27" s="212" t="s">
        <v>62</v>
      </c>
      <c r="E27" s="213"/>
      <c r="F27" s="228">
        <v>0</v>
      </c>
      <c r="G27" s="215">
        <v>1</v>
      </c>
      <c r="H27" s="216">
        <f t="shared" si="0"/>
        <v>0</v>
      </c>
      <c r="I27" s="217"/>
      <c r="J27" s="222">
        <v>0</v>
      </c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 hidden="1">
      <c r="B28" s="338" t="s">
        <v>66</v>
      </c>
      <c r="C28" s="211"/>
      <c r="D28" s="212" t="s">
        <v>63</v>
      </c>
      <c r="E28" s="213"/>
      <c r="F28" s="229">
        <v>0</v>
      </c>
      <c r="G28" s="215">
        <f aca="true" t="shared" si="4" ref="G28:G33">$F$18</f>
        <v>1000</v>
      </c>
      <c r="H28" s="216">
        <f t="shared" si="0"/>
        <v>0</v>
      </c>
      <c r="I28" s="217"/>
      <c r="J28" s="222"/>
      <c r="K28" s="215">
        <f>$F$18</f>
        <v>1000</v>
      </c>
      <c r="L28" s="216">
        <f t="shared" si="1"/>
        <v>0</v>
      </c>
      <c r="M28" s="217"/>
      <c r="N28" s="219">
        <f t="shared" si="2"/>
        <v>0</v>
      </c>
      <c r="O28" s="220">
        <f t="shared" si="3"/>
      </c>
    </row>
    <row r="29" spans="2:15" s="210" customFormat="1" ht="15">
      <c r="B29" s="211" t="s">
        <v>108</v>
      </c>
      <c r="C29" s="211"/>
      <c r="D29" s="212" t="s">
        <v>63</v>
      </c>
      <c r="E29" s="213"/>
      <c r="F29" s="228">
        <v>0</v>
      </c>
      <c r="G29" s="215">
        <f t="shared" si="4"/>
        <v>1000</v>
      </c>
      <c r="H29" s="216">
        <f>G29*F29</f>
        <v>0</v>
      </c>
      <c r="I29" s="217"/>
      <c r="J29" s="424">
        <v>0.0021</v>
      </c>
      <c r="K29" s="215">
        <f>$F$18</f>
        <v>1000</v>
      </c>
      <c r="L29" s="216">
        <f>K29*J29</f>
        <v>2.1</v>
      </c>
      <c r="M29" s="217"/>
      <c r="N29" s="219">
        <f>L29-H29</f>
        <v>2.1</v>
      </c>
      <c r="O29" s="220">
        <f>IF((H29)=0,"",(N29/H29))</f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28">
        <v>0</v>
      </c>
      <c r="G30" s="215">
        <f t="shared" si="4"/>
        <v>1000</v>
      </c>
      <c r="H30" s="216">
        <f t="shared" si="0"/>
        <v>0</v>
      </c>
      <c r="I30" s="217"/>
      <c r="J30" s="225">
        <v>0</v>
      </c>
      <c r="K30" s="215">
        <f>$F$18</f>
        <v>1000</v>
      </c>
      <c r="L30" s="216">
        <f>K30*J30</f>
        <v>0</v>
      </c>
      <c r="M30" s="217"/>
      <c r="N30" s="219">
        <f>L30-H30</f>
        <v>0</v>
      </c>
      <c r="O30" s="220">
        <f>IF((H30)=0,"",(N30/H30))</f>
      </c>
    </row>
    <row r="31" spans="2:15" s="210" customFormat="1" ht="15">
      <c r="B31" s="211" t="s">
        <v>21</v>
      </c>
      <c r="C31" s="211"/>
      <c r="D31" s="212" t="s">
        <v>63</v>
      </c>
      <c r="E31" s="213"/>
      <c r="F31" s="228">
        <v>0.018</v>
      </c>
      <c r="G31" s="215">
        <f t="shared" si="4"/>
        <v>1000</v>
      </c>
      <c r="H31" s="216">
        <f t="shared" si="0"/>
        <v>18</v>
      </c>
      <c r="I31" s="217"/>
      <c r="J31" s="225">
        <v>0.018</v>
      </c>
      <c r="K31" s="215">
        <f>$F$18</f>
        <v>1000</v>
      </c>
      <c r="L31" s="216">
        <f t="shared" si="1"/>
        <v>18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28"/>
      <c r="G32" s="215">
        <f t="shared" si="4"/>
        <v>1000</v>
      </c>
      <c r="H32" s="216">
        <f t="shared" si="0"/>
        <v>0</v>
      </c>
      <c r="I32" s="217"/>
      <c r="J32" s="225"/>
      <c r="K32" s="215">
        <f aca="true" t="shared" si="5" ref="K32:K40">$F$18</f>
        <v>1000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6.5" customHeight="1" hidden="1">
      <c r="B33" s="211" t="s">
        <v>108</v>
      </c>
      <c r="C33" s="211"/>
      <c r="D33" s="212" t="s">
        <v>63</v>
      </c>
      <c r="E33" s="213"/>
      <c r="F33" s="228">
        <v>0</v>
      </c>
      <c r="G33" s="215">
        <f t="shared" si="4"/>
        <v>1000</v>
      </c>
      <c r="H33" s="216">
        <f t="shared" si="0"/>
        <v>0</v>
      </c>
      <c r="I33" s="217"/>
      <c r="J33" s="225">
        <v>0</v>
      </c>
      <c r="K33" s="215">
        <f t="shared" si="5"/>
        <v>1000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6" ref="G34:G40">$F$18</f>
        <v>1000</v>
      </c>
      <c r="H34" s="216">
        <f t="shared" si="0"/>
        <v>0</v>
      </c>
      <c r="I34" s="217"/>
      <c r="J34" s="225"/>
      <c r="K34" s="215">
        <f t="shared" si="5"/>
        <v>1000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6"/>
        <v>1000</v>
      </c>
      <c r="H35" s="216">
        <f t="shared" si="0"/>
        <v>0</v>
      </c>
      <c r="I35" s="217"/>
      <c r="J35" s="225"/>
      <c r="K35" s="215">
        <f t="shared" si="5"/>
        <v>1000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6"/>
        <v>1000</v>
      </c>
      <c r="H36" s="216">
        <f t="shared" si="0"/>
        <v>0</v>
      </c>
      <c r="I36" s="217"/>
      <c r="J36" s="225"/>
      <c r="K36" s="215">
        <f t="shared" si="5"/>
        <v>1000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6"/>
        <v>1000</v>
      </c>
      <c r="H37" s="216">
        <f t="shared" si="0"/>
        <v>0</v>
      </c>
      <c r="I37" s="217"/>
      <c r="J37" s="225"/>
      <c r="K37" s="215">
        <f t="shared" si="5"/>
        <v>1000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6"/>
        <v>1000</v>
      </c>
      <c r="H38" s="216">
        <f t="shared" si="0"/>
        <v>0</v>
      </c>
      <c r="I38" s="217"/>
      <c r="J38" s="225"/>
      <c r="K38" s="215">
        <f t="shared" si="5"/>
        <v>1000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6"/>
        <v>1000</v>
      </c>
      <c r="H39" s="216">
        <f t="shared" si="0"/>
        <v>0</v>
      </c>
      <c r="I39" s="217"/>
      <c r="J39" s="225"/>
      <c r="K39" s="215">
        <f t="shared" si="5"/>
        <v>1000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6"/>
        <v>1000</v>
      </c>
      <c r="H40" s="216">
        <f t="shared" si="0"/>
        <v>0</v>
      </c>
      <c r="I40" s="217"/>
      <c r="J40" s="225"/>
      <c r="K40" s="215">
        <f t="shared" si="5"/>
        <v>1000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39.69</v>
      </c>
      <c r="I41" s="237"/>
      <c r="J41" s="238"/>
      <c r="K41" s="239"/>
      <c r="L41" s="236">
        <f>SUM(L23:L40)</f>
        <v>41.79</v>
      </c>
      <c r="M41" s="237"/>
      <c r="N41" s="240">
        <f t="shared" si="2"/>
        <v>2.1000000000000014</v>
      </c>
      <c r="O41" s="340">
        <f t="shared" si="3"/>
        <v>0.05291005291005295</v>
      </c>
    </row>
    <row r="42" spans="2:15" s="210" customFormat="1" ht="15" hidden="1">
      <c r="B42" s="226"/>
      <c r="C42" s="211"/>
      <c r="D42" s="224" t="s">
        <v>62</v>
      </c>
      <c r="E42" s="213"/>
      <c r="F42" s="228"/>
      <c r="G42" s="215">
        <v>1</v>
      </c>
      <c r="H42" s="216">
        <f>G42*F42</f>
        <v>0</v>
      </c>
      <c r="I42" s="217"/>
      <c r="J42" s="222"/>
      <c r="K42" s="218">
        <v>1</v>
      </c>
      <c r="L42" s="216">
        <f>K42*J42</f>
        <v>0</v>
      </c>
      <c r="M42" s="217"/>
      <c r="N42" s="230">
        <f>L42-H42</f>
        <v>0</v>
      </c>
      <c r="O42" s="220">
        <f>IF((H42)=0,"",(N42/H42))</f>
      </c>
    </row>
    <row r="43" spans="2:15" s="210" customFormat="1" ht="15">
      <c r="B43" s="381" t="s">
        <v>25</v>
      </c>
      <c r="C43" s="211"/>
      <c r="D43" s="224" t="s">
        <v>63</v>
      </c>
      <c r="E43" s="227"/>
      <c r="F43" s="229">
        <v>-0.0071</v>
      </c>
      <c r="G43" s="215">
        <f aca="true" t="shared" si="7" ref="G43:G49">$F$18</f>
        <v>1000</v>
      </c>
      <c r="H43" s="216">
        <f aca="true" t="shared" si="8" ref="H43:H51">G43*F43</f>
        <v>-7.1000000000000005</v>
      </c>
      <c r="I43" s="217"/>
      <c r="J43" s="242">
        <v>0.0021</v>
      </c>
      <c r="K43" s="215">
        <f aca="true" t="shared" si="9" ref="K43:K49">$F$18</f>
        <v>1000</v>
      </c>
      <c r="L43" s="216">
        <f aca="true" t="shared" si="10" ref="L43:L51">K43*J43</f>
        <v>2.1</v>
      </c>
      <c r="M43" s="217"/>
      <c r="N43" s="219">
        <f t="shared" si="2"/>
        <v>9.200000000000001</v>
      </c>
      <c r="O43" s="220">
        <f aca="true" t="shared" si="11" ref="O43:O50">IF((H43)=0,"",(N43/H43))</f>
        <v>-1.295774647887324</v>
      </c>
    </row>
    <row r="44" spans="2:15" s="210" customFormat="1" ht="15" hidden="1">
      <c r="B44" s="381"/>
      <c r="C44" s="211"/>
      <c r="D44" s="212" t="s">
        <v>63</v>
      </c>
      <c r="E44" s="213"/>
      <c r="F44" s="228"/>
      <c r="G44" s="215">
        <f t="shared" si="7"/>
        <v>1000</v>
      </c>
      <c r="H44" s="216">
        <f t="shared" si="8"/>
        <v>0</v>
      </c>
      <c r="I44" s="243"/>
      <c r="J44" s="225"/>
      <c r="K44" s="215">
        <f t="shared" si="9"/>
        <v>1000</v>
      </c>
      <c r="L44" s="216">
        <f t="shared" si="10"/>
        <v>0</v>
      </c>
      <c r="M44" s="244"/>
      <c r="N44" s="219">
        <f t="shared" si="2"/>
        <v>0</v>
      </c>
      <c r="O44" s="220">
        <f t="shared" si="11"/>
      </c>
    </row>
    <row r="45" spans="2:15" s="210" customFormat="1" ht="15" hidden="1">
      <c r="B45" s="381"/>
      <c r="C45" s="211"/>
      <c r="D45" s="212" t="s">
        <v>63</v>
      </c>
      <c r="E45" s="213"/>
      <c r="F45" s="228"/>
      <c r="G45" s="215">
        <f t="shared" si="7"/>
        <v>1000</v>
      </c>
      <c r="H45" s="216">
        <f t="shared" si="8"/>
        <v>0</v>
      </c>
      <c r="I45" s="243"/>
      <c r="J45" s="225"/>
      <c r="K45" s="215">
        <f t="shared" si="9"/>
        <v>1000</v>
      </c>
      <c r="L45" s="216">
        <f t="shared" si="10"/>
        <v>0</v>
      </c>
      <c r="M45" s="244"/>
      <c r="N45" s="219">
        <f t="shared" si="2"/>
        <v>0</v>
      </c>
      <c r="O45" s="220">
        <f t="shared" si="11"/>
      </c>
    </row>
    <row r="46" spans="2:15" s="210" customFormat="1" ht="15" hidden="1">
      <c r="B46" s="380"/>
      <c r="C46" s="211"/>
      <c r="D46" s="224" t="s">
        <v>62</v>
      </c>
      <c r="E46" s="227"/>
      <c r="F46" s="228"/>
      <c r="G46" s="215">
        <v>1</v>
      </c>
      <c r="H46" s="216">
        <f t="shared" si="8"/>
        <v>0</v>
      </c>
      <c r="I46" s="217"/>
      <c r="J46" s="225"/>
      <c r="K46" s="218">
        <v>1</v>
      </c>
      <c r="L46" s="216">
        <f t="shared" si="10"/>
        <v>0</v>
      </c>
      <c r="M46" s="217"/>
      <c r="N46" s="219">
        <f>L46-H46</f>
        <v>0</v>
      </c>
      <c r="O46" s="220">
        <f t="shared" si="11"/>
      </c>
    </row>
    <row r="47" spans="2:15" s="210" customFormat="1" ht="15" hidden="1">
      <c r="B47" s="381"/>
      <c r="C47" s="211"/>
      <c r="D47" s="212" t="s">
        <v>63</v>
      </c>
      <c r="E47" s="213"/>
      <c r="F47" s="229">
        <v>0</v>
      </c>
      <c r="G47" s="215">
        <f t="shared" si="7"/>
        <v>1000</v>
      </c>
      <c r="H47" s="216">
        <f t="shared" si="8"/>
        <v>0</v>
      </c>
      <c r="I47" s="217"/>
      <c r="J47" s="222"/>
      <c r="K47" s="215">
        <f t="shared" si="9"/>
        <v>1000</v>
      </c>
      <c r="L47" s="216">
        <f t="shared" si="10"/>
        <v>0</v>
      </c>
      <c r="M47" s="217"/>
      <c r="N47" s="219">
        <f>L47-H47</f>
        <v>0</v>
      </c>
      <c r="O47" s="220">
        <f t="shared" si="11"/>
      </c>
    </row>
    <row r="48" spans="2:15" s="210" customFormat="1" ht="15" hidden="1">
      <c r="B48" s="211"/>
      <c r="C48" s="211"/>
      <c r="D48" s="212" t="s">
        <v>63</v>
      </c>
      <c r="E48" s="213"/>
      <c r="F48" s="228">
        <v>0</v>
      </c>
      <c r="G48" s="215">
        <f t="shared" si="7"/>
        <v>1000</v>
      </c>
      <c r="H48" s="216">
        <f>G48*F48</f>
        <v>0</v>
      </c>
      <c r="I48" s="217"/>
      <c r="J48" s="225"/>
      <c r="K48" s="215">
        <f t="shared" si="9"/>
        <v>1000</v>
      </c>
      <c r="L48" s="216">
        <f>K48*J48</f>
        <v>0</v>
      </c>
      <c r="M48" s="217"/>
      <c r="N48" s="219">
        <f>L48-H48</f>
        <v>0</v>
      </c>
      <c r="O48" s="220">
        <f>IF((H48)=0,"",(N48/H48))</f>
      </c>
    </row>
    <row r="49" spans="2:15" s="210" customFormat="1" ht="15">
      <c r="B49" s="341" t="s">
        <v>26</v>
      </c>
      <c r="C49" s="211"/>
      <c r="D49" s="212" t="s">
        <v>63</v>
      </c>
      <c r="E49" s="213"/>
      <c r="F49" s="228">
        <v>0.0024</v>
      </c>
      <c r="G49" s="215">
        <f t="shared" si="7"/>
        <v>1000</v>
      </c>
      <c r="H49" s="216">
        <f t="shared" si="8"/>
        <v>2.4</v>
      </c>
      <c r="I49" s="217"/>
      <c r="J49" s="225">
        <v>0.0024</v>
      </c>
      <c r="K49" s="215">
        <f t="shared" si="9"/>
        <v>1000</v>
      </c>
      <c r="L49" s="216">
        <f t="shared" si="10"/>
        <v>2.4</v>
      </c>
      <c r="M49" s="217"/>
      <c r="N49" s="219">
        <f t="shared" si="2"/>
        <v>0</v>
      </c>
      <c r="O49" s="220">
        <f t="shared" si="11"/>
        <v>0</v>
      </c>
    </row>
    <row r="50" spans="2:15" s="241" customFormat="1" ht="15">
      <c r="B50" s="342" t="s">
        <v>27</v>
      </c>
      <c r="C50" s="213"/>
      <c r="D50" s="212" t="s">
        <v>63</v>
      </c>
      <c r="E50" s="213"/>
      <c r="F50" s="246">
        <f>IF(ISBLANK(D16)=TRUE,0,IF(D16="TOU",0.64*$F$61+0.18*$F$62+0.18*$F$63,IF(AND(D16="non-TOU",G65&gt;0),F65,F64)))</f>
        <v>0.10214000000000001</v>
      </c>
      <c r="G50" s="215">
        <f>$F$18*(1+$F$80)-$F$18</f>
        <v>49.5</v>
      </c>
      <c r="H50" s="247">
        <f t="shared" si="8"/>
        <v>5.05593</v>
      </c>
      <c r="I50" s="227"/>
      <c r="J50" s="245">
        <f>0.64*$F$61+0.18*$F$62+0.18*$F$63</f>
        <v>0.10214000000000001</v>
      </c>
      <c r="K50" s="215">
        <f>$F$18*(1+$J$80)-$F$18</f>
        <v>49.5</v>
      </c>
      <c r="L50" s="247">
        <f t="shared" si="10"/>
        <v>5.05593</v>
      </c>
      <c r="M50" s="227"/>
      <c r="N50" s="219">
        <f t="shared" si="2"/>
        <v>0</v>
      </c>
      <c r="O50" s="248">
        <f t="shared" si="11"/>
        <v>0</v>
      </c>
    </row>
    <row r="51" spans="2:15" s="210" customFormat="1" ht="15">
      <c r="B51" s="341" t="s">
        <v>28</v>
      </c>
      <c r="C51" s="211"/>
      <c r="D51" s="212" t="s">
        <v>62</v>
      </c>
      <c r="E51" s="213"/>
      <c r="F51" s="214">
        <v>0.79</v>
      </c>
      <c r="G51" s="215">
        <v>1</v>
      </c>
      <c r="H51" s="216">
        <f t="shared" si="8"/>
        <v>0.79</v>
      </c>
      <c r="I51" s="217"/>
      <c r="J51" s="214">
        <v>0.79</v>
      </c>
      <c r="K51" s="215">
        <v>1</v>
      </c>
      <c r="L51" s="216">
        <f t="shared" si="10"/>
        <v>0.79</v>
      </c>
      <c r="M51" s="217"/>
      <c r="N51" s="219">
        <f t="shared" si="2"/>
        <v>0</v>
      </c>
      <c r="O51" s="220"/>
    </row>
    <row r="52" spans="2:15" s="210" customFormat="1" ht="15">
      <c r="B52" s="343" t="s">
        <v>29</v>
      </c>
      <c r="C52" s="250"/>
      <c r="D52" s="250"/>
      <c r="E52" s="250"/>
      <c r="F52" s="43"/>
      <c r="G52" s="251"/>
      <c r="H52" s="252">
        <f>SUM(H42:H51)+H41</f>
        <v>40.83593</v>
      </c>
      <c r="I52" s="237"/>
      <c r="J52" s="251"/>
      <c r="K52" s="253"/>
      <c r="L52" s="252">
        <f>SUM(L42:L51)+L41</f>
        <v>52.13593</v>
      </c>
      <c r="M52" s="237"/>
      <c r="N52" s="240">
        <f t="shared" si="2"/>
        <v>11.300000000000004</v>
      </c>
      <c r="O52" s="340">
        <f aca="true" t="shared" si="12" ref="O52:O71">IF((H52)=0,"",(N52/H52))</f>
        <v>0.2767170969291015</v>
      </c>
    </row>
    <row r="53" spans="2:15" s="210" customFormat="1" ht="15">
      <c r="B53" s="217" t="s">
        <v>30</v>
      </c>
      <c r="C53" s="217"/>
      <c r="D53" s="224" t="s">
        <v>63</v>
      </c>
      <c r="E53" s="227"/>
      <c r="F53" s="225">
        <v>0.0044</v>
      </c>
      <c r="G53" s="468">
        <f>F18*(1+F80)</f>
        <v>1049.5</v>
      </c>
      <c r="H53" s="216">
        <f>G53*F53</f>
        <v>4.6178</v>
      </c>
      <c r="I53" s="217"/>
      <c r="J53" s="225">
        <v>0.0048</v>
      </c>
      <c r="K53" s="469">
        <f>F18*(1+J80)</f>
        <v>1049.5</v>
      </c>
      <c r="L53" s="216">
        <f>K53*J53</f>
        <v>5.037599999999999</v>
      </c>
      <c r="M53" s="217"/>
      <c r="N53" s="219">
        <f t="shared" si="2"/>
        <v>0.4197999999999995</v>
      </c>
      <c r="O53" s="220">
        <f t="shared" si="12"/>
        <v>0.0909090909090908</v>
      </c>
    </row>
    <row r="54" spans="2:15" s="210" customFormat="1" ht="15">
      <c r="B54" s="255" t="s">
        <v>31</v>
      </c>
      <c r="C54" s="217"/>
      <c r="D54" s="224" t="s">
        <v>63</v>
      </c>
      <c r="E54" s="227"/>
      <c r="F54" s="225">
        <v>0.0017</v>
      </c>
      <c r="G54" s="468">
        <f>G53</f>
        <v>1049.5</v>
      </c>
      <c r="H54" s="216">
        <f>G54*F54</f>
        <v>1.78415</v>
      </c>
      <c r="I54" s="217"/>
      <c r="J54" s="225">
        <v>0.0027</v>
      </c>
      <c r="K54" s="469">
        <f>K53</f>
        <v>1049.5</v>
      </c>
      <c r="L54" s="216">
        <f>K54*J54</f>
        <v>2.83365</v>
      </c>
      <c r="M54" s="217"/>
      <c r="N54" s="219">
        <f t="shared" si="2"/>
        <v>1.0495</v>
      </c>
      <c r="O54" s="220">
        <f t="shared" si="12"/>
        <v>0.5882352941176472</v>
      </c>
    </row>
    <row r="55" spans="2:15" s="210" customFormat="1" ht="15">
      <c r="B55" s="343" t="s">
        <v>32</v>
      </c>
      <c r="C55" s="232"/>
      <c r="D55" s="232"/>
      <c r="E55" s="232"/>
      <c r="F55" s="44"/>
      <c r="G55" s="109"/>
      <c r="H55" s="252">
        <f>SUM(H52:H54)</f>
        <v>47.23788</v>
      </c>
      <c r="I55" s="256"/>
      <c r="J55" s="257"/>
      <c r="K55" s="147"/>
      <c r="L55" s="252">
        <f>SUM(L52:L54)</f>
        <v>60.00718</v>
      </c>
      <c r="M55" s="256"/>
      <c r="N55" s="240">
        <f t="shared" si="2"/>
        <v>12.769300000000001</v>
      </c>
      <c r="O55" s="340">
        <f t="shared" si="12"/>
        <v>0.27031907443771824</v>
      </c>
    </row>
    <row r="56" spans="2:15" s="210" customFormat="1" ht="15">
      <c r="B56" s="223" t="s">
        <v>33</v>
      </c>
      <c r="C56" s="211"/>
      <c r="D56" s="212" t="s">
        <v>63</v>
      </c>
      <c r="E56" s="213"/>
      <c r="F56" s="228">
        <v>0.0044</v>
      </c>
      <c r="G56" s="468">
        <f>G54</f>
        <v>1049.5</v>
      </c>
      <c r="H56" s="216">
        <f aca="true" t="shared" si="13" ref="H56:H63">G56*F56</f>
        <v>4.6178</v>
      </c>
      <c r="I56" s="217"/>
      <c r="J56" s="424">
        <v>0.0036</v>
      </c>
      <c r="K56" s="469">
        <f>K54</f>
        <v>1049.5</v>
      </c>
      <c r="L56" s="216">
        <f aca="true" t="shared" si="14" ref="L56:L63">K56*J56</f>
        <v>3.7782</v>
      </c>
      <c r="M56" s="217"/>
      <c r="N56" s="219">
        <f t="shared" si="2"/>
        <v>-0.8395999999999999</v>
      </c>
      <c r="O56" s="220">
        <f t="shared" si="12"/>
        <v>-0.1818181818181818</v>
      </c>
    </row>
    <row r="57" spans="2:15" s="210" customFormat="1" ht="15">
      <c r="B57" s="223" t="s">
        <v>34</v>
      </c>
      <c r="C57" s="211"/>
      <c r="D57" s="212" t="s">
        <v>63</v>
      </c>
      <c r="E57" s="213"/>
      <c r="F57" s="228">
        <v>0.0013</v>
      </c>
      <c r="G57" s="468">
        <f>G54</f>
        <v>1049.5</v>
      </c>
      <c r="H57" s="216">
        <f t="shared" si="13"/>
        <v>1.36435</v>
      </c>
      <c r="I57" s="217"/>
      <c r="J57" s="225">
        <v>0.0013</v>
      </c>
      <c r="K57" s="469">
        <f>K54</f>
        <v>1049.5</v>
      </c>
      <c r="L57" s="216">
        <f t="shared" si="14"/>
        <v>1.36435</v>
      </c>
      <c r="M57" s="217"/>
      <c r="N57" s="219">
        <f t="shared" si="2"/>
        <v>0</v>
      </c>
      <c r="O57" s="220">
        <f t="shared" si="12"/>
        <v>0</v>
      </c>
    </row>
    <row r="58" spans="2:15" s="210" customFormat="1" ht="15">
      <c r="B58" s="223" t="s">
        <v>121</v>
      </c>
      <c r="C58" s="211"/>
      <c r="D58" s="212" t="s">
        <v>63</v>
      </c>
      <c r="E58" s="213"/>
      <c r="F58" s="228">
        <v>0</v>
      </c>
      <c r="G58" s="468">
        <f>G54</f>
        <v>1049.5</v>
      </c>
      <c r="H58" s="216">
        <f t="shared" si="13"/>
        <v>0</v>
      </c>
      <c r="I58" s="217"/>
      <c r="J58" s="424">
        <v>0.0011</v>
      </c>
      <c r="K58" s="469">
        <f>K54</f>
        <v>1049.5</v>
      </c>
      <c r="L58" s="216">
        <f t="shared" si="14"/>
        <v>1.15445</v>
      </c>
      <c r="M58" s="217"/>
      <c r="N58" s="219">
        <f t="shared" si="2"/>
        <v>1.15445</v>
      </c>
      <c r="O58" s="220">
        <f t="shared" si="12"/>
      </c>
    </row>
    <row r="59" spans="2:15" s="210" customFormat="1" ht="15">
      <c r="B59" s="211" t="s">
        <v>35</v>
      </c>
      <c r="C59" s="211"/>
      <c r="D59" s="212" t="s">
        <v>62</v>
      </c>
      <c r="E59" s="213"/>
      <c r="F59" s="214">
        <v>0.25</v>
      </c>
      <c r="G59" s="215">
        <v>1</v>
      </c>
      <c r="H59" s="216">
        <f t="shared" si="13"/>
        <v>0.25</v>
      </c>
      <c r="I59" s="217"/>
      <c r="J59" s="222">
        <v>0.25</v>
      </c>
      <c r="K59" s="218">
        <v>1</v>
      </c>
      <c r="L59" s="216">
        <f t="shared" si="14"/>
        <v>0.25</v>
      </c>
      <c r="M59" s="217"/>
      <c r="N59" s="219">
        <f t="shared" si="2"/>
        <v>0</v>
      </c>
      <c r="O59" s="220">
        <f t="shared" si="12"/>
        <v>0</v>
      </c>
    </row>
    <row r="60" spans="2:15" s="210" customFormat="1" ht="15">
      <c r="B60" s="211" t="s">
        <v>36</v>
      </c>
      <c r="C60" s="211"/>
      <c r="D60" s="212" t="s">
        <v>63</v>
      </c>
      <c r="E60" s="213"/>
      <c r="F60" s="228">
        <v>0.007</v>
      </c>
      <c r="G60" s="259">
        <f>F18</f>
        <v>1000</v>
      </c>
      <c r="H60" s="216">
        <f t="shared" si="13"/>
        <v>7</v>
      </c>
      <c r="I60" s="217"/>
      <c r="J60" s="225">
        <v>0.007</v>
      </c>
      <c r="K60" s="260">
        <f>F18</f>
        <v>1000</v>
      </c>
      <c r="L60" s="216">
        <f t="shared" si="14"/>
        <v>7</v>
      </c>
      <c r="M60" s="217"/>
      <c r="N60" s="219">
        <f t="shared" si="2"/>
        <v>0</v>
      </c>
      <c r="O60" s="220">
        <f t="shared" si="12"/>
        <v>0</v>
      </c>
    </row>
    <row r="61" spans="2:19" s="210" customFormat="1" ht="15">
      <c r="B61" s="341" t="s">
        <v>37</v>
      </c>
      <c r="C61" s="211"/>
      <c r="D61" s="212" t="s">
        <v>63</v>
      </c>
      <c r="E61" s="213"/>
      <c r="F61" s="246">
        <v>0.08</v>
      </c>
      <c r="G61" s="259">
        <f>0.64*$F$18</f>
        <v>640</v>
      </c>
      <c r="H61" s="216">
        <f t="shared" si="13"/>
        <v>51.2</v>
      </c>
      <c r="I61" s="217"/>
      <c r="J61" s="228">
        <v>0.08</v>
      </c>
      <c r="K61" s="259">
        <f>G61</f>
        <v>640</v>
      </c>
      <c r="L61" s="216">
        <f t="shared" si="14"/>
        <v>51.2</v>
      </c>
      <c r="M61" s="217"/>
      <c r="N61" s="219">
        <f t="shared" si="2"/>
        <v>0</v>
      </c>
      <c r="O61" s="220">
        <f t="shared" si="12"/>
        <v>0</v>
      </c>
      <c r="S61" s="261"/>
    </row>
    <row r="62" spans="2:19" s="210" customFormat="1" ht="15">
      <c r="B62" s="341" t="s">
        <v>38</v>
      </c>
      <c r="C62" s="211"/>
      <c r="D62" s="212" t="s">
        <v>63</v>
      </c>
      <c r="E62" s="213"/>
      <c r="F62" s="246">
        <v>0.122</v>
      </c>
      <c r="G62" s="259">
        <f>0.18*$F$18</f>
        <v>180</v>
      </c>
      <c r="H62" s="216">
        <f t="shared" si="13"/>
        <v>21.96</v>
      </c>
      <c r="I62" s="217"/>
      <c r="J62" s="228">
        <v>0.122</v>
      </c>
      <c r="K62" s="259">
        <f>G62</f>
        <v>180</v>
      </c>
      <c r="L62" s="216">
        <f t="shared" si="14"/>
        <v>21.96</v>
      </c>
      <c r="M62" s="217"/>
      <c r="N62" s="219">
        <f t="shared" si="2"/>
        <v>0</v>
      </c>
      <c r="O62" s="220">
        <f t="shared" si="12"/>
        <v>0</v>
      </c>
      <c r="S62" s="261"/>
    </row>
    <row r="63" spans="2:19" s="210" customFormat="1" ht="15">
      <c r="B63" s="330" t="s">
        <v>39</v>
      </c>
      <c r="C63" s="211"/>
      <c r="D63" s="212" t="s">
        <v>63</v>
      </c>
      <c r="E63" s="213"/>
      <c r="F63" s="246">
        <v>0.161</v>
      </c>
      <c r="G63" s="259">
        <f>0.18*$F$18</f>
        <v>180</v>
      </c>
      <c r="H63" s="216">
        <f t="shared" si="13"/>
        <v>28.98</v>
      </c>
      <c r="I63" s="217"/>
      <c r="J63" s="228">
        <v>0.161</v>
      </c>
      <c r="K63" s="259">
        <f>G63</f>
        <v>180</v>
      </c>
      <c r="L63" s="216">
        <f t="shared" si="14"/>
        <v>28.98</v>
      </c>
      <c r="M63" s="217"/>
      <c r="N63" s="219">
        <f t="shared" si="2"/>
        <v>0</v>
      </c>
      <c r="O63" s="220">
        <f t="shared" si="12"/>
        <v>0</v>
      </c>
      <c r="S63" s="261"/>
    </row>
    <row r="64" spans="2:15" s="347" customFormat="1" ht="15">
      <c r="B64" s="344" t="s">
        <v>40</v>
      </c>
      <c r="C64" s="344"/>
      <c r="D64" s="345" t="s">
        <v>63</v>
      </c>
      <c r="E64" s="346"/>
      <c r="F64" s="246">
        <f>0.094</f>
        <v>0.094</v>
      </c>
      <c r="G64" s="262">
        <f>IF(AND($T$1=1,F18&gt;=600),600,IF(AND($T$1=1,AND(F18&lt;600,F18&gt;=0)),F18,IF(AND($T$1=2,F18&gt;=1000),1000,IF(AND($T$1=2,AND(F18&lt;1000,F18&gt;=0)),F18))))</f>
        <v>600</v>
      </c>
      <c r="H64" s="216">
        <f>G64*F64</f>
        <v>56.4</v>
      </c>
      <c r="I64" s="263"/>
      <c r="J64" s="228">
        <v>0.094</v>
      </c>
      <c r="K64" s="262">
        <f>G64</f>
        <v>600</v>
      </c>
      <c r="L64" s="216">
        <f>K64*J64</f>
        <v>56.4</v>
      </c>
      <c r="M64" s="263"/>
      <c r="N64" s="219">
        <f t="shared" si="2"/>
        <v>0</v>
      </c>
      <c r="O64" s="220">
        <f t="shared" si="12"/>
        <v>0</v>
      </c>
    </row>
    <row r="65" spans="2:15" s="347" customFormat="1" ht="15.75" thickBot="1">
      <c r="B65" s="344" t="s">
        <v>41</v>
      </c>
      <c r="C65" s="344"/>
      <c r="D65" s="345" t="s">
        <v>63</v>
      </c>
      <c r="E65" s="346"/>
      <c r="F65" s="246">
        <f>0.11</f>
        <v>0.11</v>
      </c>
      <c r="G65" s="262">
        <f>IF(AND($T$1=1,F18&gt;=600),F18-600,IF(AND($T$1=1,AND(F18&lt;600,F18&gt;=0)),0,IF(AND($T$1=2,F18&gt;=1000),F18-1000,IF(AND($T$1=2,AND(F18&lt;1000,F18&gt;=0)),0))))</f>
        <v>400</v>
      </c>
      <c r="H65" s="216">
        <f>G65*F65</f>
        <v>44</v>
      </c>
      <c r="I65" s="263"/>
      <c r="J65" s="228">
        <v>0.11</v>
      </c>
      <c r="K65" s="262">
        <f>G65</f>
        <v>400</v>
      </c>
      <c r="L65" s="216">
        <f>K65*J65</f>
        <v>44</v>
      </c>
      <c r="M65" s="263"/>
      <c r="N65" s="219">
        <f t="shared" si="2"/>
        <v>0</v>
      </c>
      <c r="O65" s="220">
        <f t="shared" si="12"/>
        <v>0</v>
      </c>
    </row>
    <row r="66" spans="2:15" s="210" customFormat="1" ht="8.25" customHeight="1" thickBot="1">
      <c r="B66" s="348"/>
      <c r="C66" s="264"/>
      <c r="D66" s="265"/>
      <c r="E66" s="264"/>
      <c r="F66" s="266"/>
      <c r="G66" s="267"/>
      <c r="H66" s="268"/>
      <c r="I66" s="269"/>
      <c r="J66" s="266"/>
      <c r="K66" s="270"/>
      <c r="L66" s="268"/>
      <c r="M66" s="269"/>
      <c r="N66" s="271"/>
      <c r="O66" s="272"/>
    </row>
    <row r="67" spans="2:19" s="210" customFormat="1" ht="15">
      <c r="B67" s="349" t="s">
        <v>42</v>
      </c>
      <c r="C67" s="211"/>
      <c r="D67" s="211"/>
      <c r="E67" s="211"/>
      <c r="F67" s="273"/>
      <c r="G67" s="274"/>
      <c r="H67" s="275">
        <f>SUM(H56:H63,H55)</f>
        <v>162.61003000000002</v>
      </c>
      <c r="I67" s="276"/>
      <c r="J67" s="277"/>
      <c r="K67" s="277"/>
      <c r="L67" s="278">
        <f>SUM(L56:L63,L55)</f>
        <v>175.69418</v>
      </c>
      <c r="M67" s="279"/>
      <c r="N67" s="384">
        <f>L67-H67</f>
        <v>13.084149999999966</v>
      </c>
      <c r="O67" s="350">
        <f>IF((H67)=0,"",(N67/H67))</f>
        <v>0.0804633637912739</v>
      </c>
      <c r="S67" s="261"/>
    </row>
    <row r="68" spans="2:19" s="210" customFormat="1" ht="15">
      <c r="B68" s="351" t="s">
        <v>43</v>
      </c>
      <c r="C68" s="211"/>
      <c r="D68" s="211"/>
      <c r="E68" s="211"/>
      <c r="F68" s="281">
        <v>0.13</v>
      </c>
      <c r="G68" s="282"/>
      <c r="H68" s="283">
        <f>H67*F68</f>
        <v>21.139303900000005</v>
      </c>
      <c r="I68" s="284"/>
      <c r="J68" s="285">
        <v>0.13</v>
      </c>
      <c r="K68" s="284"/>
      <c r="L68" s="286">
        <f>L67*J68</f>
        <v>22.8402434</v>
      </c>
      <c r="M68" s="287"/>
      <c r="N68" s="385">
        <f t="shared" si="2"/>
        <v>1.7009394999999934</v>
      </c>
      <c r="O68" s="352">
        <f t="shared" si="12"/>
        <v>0.08046336379127379</v>
      </c>
      <c r="S68" s="261"/>
    </row>
    <row r="69" spans="2:19" s="210" customFormat="1" ht="15">
      <c r="B69" s="353" t="s">
        <v>126</v>
      </c>
      <c r="C69" s="211"/>
      <c r="D69" s="211"/>
      <c r="E69" s="211"/>
      <c r="F69" s="288"/>
      <c r="G69" s="282"/>
      <c r="H69" s="283">
        <f>H67+H68</f>
        <v>183.74933390000004</v>
      </c>
      <c r="I69" s="284"/>
      <c r="J69" s="284"/>
      <c r="K69" s="284"/>
      <c r="L69" s="286">
        <f>L67+L68</f>
        <v>198.53442339999998</v>
      </c>
      <c r="M69" s="287"/>
      <c r="N69" s="385">
        <f t="shared" si="2"/>
        <v>14.785089499999941</v>
      </c>
      <c r="O69" s="352">
        <f t="shared" si="12"/>
        <v>0.08046336379127379</v>
      </c>
      <c r="S69" s="261"/>
    </row>
    <row r="70" spans="2:15" s="210" customFormat="1" ht="15.75" customHeight="1">
      <c r="B70" s="593" t="s">
        <v>127</v>
      </c>
      <c r="C70" s="593"/>
      <c r="D70" s="593"/>
      <c r="E70" s="211"/>
      <c r="F70" s="288"/>
      <c r="G70" s="282"/>
      <c r="H70" s="386">
        <f>ROUND(-H69*10%,2)</f>
        <v>-18.37</v>
      </c>
      <c r="I70" s="284"/>
      <c r="J70" s="284"/>
      <c r="K70" s="284"/>
      <c r="L70" s="411">
        <v>0</v>
      </c>
      <c r="M70" s="287"/>
      <c r="N70" s="385">
        <f t="shared" si="2"/>
        <v>18.37</v>
      </c>
      <c r="O70" s="352">
        <f t="shared" si="12"/>
        <v>-1</v>
      </c>
    </row>
    <row r="71" spans="2:15" s="210" customFormat="1" ht="15.75" thickBot="1">
      <c r="B71" s="594" t="s">
        <v>46</v>
      </c>
      <c r="C71" s="594"/>
      <c r="D71" s="594"/>
      <c r="E71" s="291"/>
      <c r="F71" s="292"/>
      <c r="G71" s="293"/>
      <c r="H71" s="294">
        <f>H69+H70</f>
        <v>165.37933390000003</v>
      </c>
      <c r="I71" s="295"/>
      <c r="J71" s="295"/>
      <c r="K71" s="295"/>
      <c r="L71" s="296">
        <f>L69+L70</f>
        <v>198.53442339999998</v>
      </c>
      <c r="M71" s="297"/>
      <c r="N71" s="388">
        <f t="shared" si="2"/>
        <v>33.155089499999946</v>
      </c>
      <c r="O71" s="355">
        <f t="shared" si="12"/>
        <v>0.20047903639548967</v>
      </c>
    </row>
    <row r="72" spans="2:15" s="347" customFormat="1" ht="8.25" customHeight="1" thickBot="1">
      <c r="B72" s="356"/>
      <c r="C72" s="357"/>
      <c r="D72" s="358"/>
      <c r="E72" s="357"/>
      <c r="F72" s="266"/>
      <c r="G72" s="299"/>
      <c r="H72" s="268"/>
      <c r="I72" s="300"/>
      <c r="J72" s="266"/>
      <c r="K72" s="301"/>
      <c r="L72" s="268"/>
      <c r="M72" s="300"/>
      <c r="N72" s="302"/>
      <c r="O72" s="272"/>
    </row>
    <row r="73" spans="2:15" s="347" customFormat="1" ht="15">
      <c r="B73" s="359" t="s">
        <v>47</v>
      </c>
      <c r="C73" s="344"/>
      <c r="D73" s="344"/>
      <c r="E73" s="344"/>
      <c r="F73" s="303"/>
      <c r="G73" s="304"/>
      <c r="H73" s="305">
        <f>SUM(H64:H65,H55,H56:H60)</f>
        <v>160.87002999999999</v>
      </c>
      <c r="I73" s="306"/>
      <c r="J73" s="307"/>
      <c r="K73" s="307"/>
      <c r="L73" s="308">
        <f>SUM(L64:L65,L55,L56:L60)</f>
        <v>173.95418</v>
      </c>
      <c r="M73" s="309"/>
      <c r="N73" s="389">
        <f>L73-H73</f>
        <v>13.084150000000022</v>
      </c>
      <c r="O73" s="350">
        <f>IF((H73)=0,"",(N73/H73))</f>
        <v>0.08133367041704427</v>
      </c>
    </row>
    <row r="74" spans="2:15" s="347" customFormat="1" ht="15">
      <c r="B74" s="360" t="s">
        <v>43</v>
      </c>
      <c r="C74" s="344"/>
      <c r="D74" s="344"/>
      <c r="E74" s="344"/>
      <c r="F74" s="310">
        <v>0.13</v>
      </c>
      <c r="G74" s="304"/>
      <c r="H74" s="311">
        <f>H73*F74</f>
        <v>20.9131039</v>
      </c>
      <c r="I74" s="312"/>
      <c r="J74" s="310">
        <v>0.13</v>
      </c>
      <c r="K74" s="313"/>
      <c r="L74" s="314">
        <f>L73*J74</f>
        <v>22.614043400000003</v>
      </c>
      <c r="M74" s="315"/>
      <c r="N74" s="390">
        <f>L74-H74</f>
        <v>1.700939500000004</v>
      </c>
      <c r="O74" s="352">
        <f>IF((H74)=0,"",(N74/H74))</f>
        <v>0.08133367041704431</v>
      </c>
    </row>
    <row r="75" spans="2:15" s="347" customFormat="1" ht="15">
      <c r="B75" s="361" t="s">
        <v>126</v>
      </c>
      <c r="C75" s="344"/>
      <c r="D75" s="344"/>
      <c r="E75" s="344"/>
      <c r="F75" s="316"/>
      <c r="G75" s="315"/>
      <c r="H75" s="311">
        <f>H73+H74</f>
        <v>181.7831339</v>
      </c>
      <c r="I75" s="312"/>
      <c r="J75" s="312"/>
      <c r="K75" s="312"/>
      <c r="L75" s="314">
        <f>L73+L74</f>
        <v>196.56822340000002</v>
      </c>
      <c r="M75" s="315"/>
      <c r="N75" s="390">
        <f>L75-H75</f>
        <v>14.785089500000026</v>
      </c>
      <c r="O75" s="352">
        <f>IF((H75)=0,"",(N75/H75))</f>
        <v>0.08133367041704427</v>
      </c>
    </row>
    <row r="76" spans="2:15" s="347" customFormat="1" ht="15.75" customHeight="1">
      <c r="B76" s="595" t="s">
        <v>127</v>
      </c>
      <c r="C76" s="595"/>
      <c r="D76" s="595"/>
      <c r="E76" s="344"/>
      <c r="F76" s="316"/>
      <c r="G76" s="315"/>
      <c r="H76" s="317">
        <f>ROUND(-H75*10%,2)</f>
        <v>-18.18</v>
      </c>
      <c r="I76" s="312"/>
      <c r="J76" s="312"/>
      <c r="K76" s="312"/>
      <c r="L76" s="409">
        <v>0</v>
      </c>
      <c r="M76" s="315"/>
      <c r="N76" s="390">
        <f>L76-H76</f>
        <v>18.18</v>
      </c>
      <c r="O76" s="352">
        <f>IF((H76)=0,"",(N76/H76))</f>
        <v>-1</v>
      </c>
    </row>
    <row r="77" spans="2:15" s="347" customFormat="1" ht="15.75" thickBot="1">
      <c r="B77" s="586" t="s">
        <v>48</v>
      </c>
      <c r="C77" s="586"/>
      <c r="D77" s="586"/>
      <c r="E77" s="362"/>
      <c r="F77" s="319"/>
      <c r="G77" s="320"/>
      <c r="H77" s="321">
        <f>SUM(H75:H76)</f>
        <v>163.6031339</v>
      </c>
      <c r="I77" s="322"/>
      <c r="J77" s="322"/>
      <c r="K77" s="322"/>
      <c r="L77" s="323">
        <f>SUM(L75:L76)</f>
        <v>196.56822340000002</v>
      </c>
      <c r="M77" s="324"/>
      <c r="N77" s="391">
        <f>L77-H77</f>
        <v>32.96508950000003</v>
      </c>
      <c r="O77" s="363">
        <f>IF((H77)=0,"",(N77/H77))</f>
        <v>0.20149424228113785</v>
      </c>
    </row>
    <row r="78" spans="2:15" s="347" customFormat="1" ht="8.25" customHeight="1" thickBot="1">
      <c r="B78" s="356"/>
      <c r="C78" s="357"/>
      <c r="D78" s="358"/>
      <c r="E78" s="357"/>
      <c r="F78" s="325"/>
      <c r="G78" s="364"/>
      <c r="H78" s="326"/>
      <c r="I78" s="365"/>
      <c r="J78" s="325"/>
      <c r="K78" s="299"/>
      <c r="L78" s="327"/>
      <c r="M78" s="300"/>
      <c r="N78" s="366"/>
      <c r="O78" s="272"/>
    </row>
    <row r="79" s="210" customFormat="1" ht="10.5" customHeight="1">
      <c r="L79" s="261"/>
    </row>
    <row r="80" spans="2:10" s="210" customFormat="1" ht="15">
      <c r="B80" s="367" t="s">
        <v>49</v>
      </c>
      <c r="F80" s="328">
        <v>0.0495</v>
      </c>
      <c r="J80" s="328">
        <v>0.0495</v>
      </c>
    </row>
    <row r="81" s="210" customFormat="1" ht="10.5" customHeight="1"/>
    <row r="82" spans="2:15" s="210" customFormat="1" ht="15">
      <c r="B82" s="423" t="s">
        <v>144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="210" customFormat="1" ht="10.5" customHeight="1"/>
    <row r="84" s="210" customFormat="1" ht="17.25">
      <c r="A84" s="368" t="s">
        <v>128</v>
      </c>
    </row>
    <row r="85" s="210" customFormat="1" ht="10.5" customHeight="1"/>
    <row r="86" s="210" customFormat="1" ht="15">
      <c r="A86" s="210" t="s">
        <v>51</v>
      </c>
    </row>
    <row r="87" s="210" customFormat="1" ht="15">
      <c r="A87" s="210" t="s">
        <v>52</v>
      </c>
    </row>
    <row r="88" s="210" customFormat="1" ht="15"/>
    <row r="89" s="210" customFormat="1" ht="15">
      <c r="A89" s="330" t="s">
        <v>53</v>
      </c>
    </row>
    <row r="90" s="210" customFormat="1" ht="15">
      <c r="A90" s="330" t="s">
        <v>54</v>
      </c>
    </row>
    <row r="91" s="210" customFormat="1" ht="15"/>
    <row r="92" s="210" customFormat="1" ht="15">
      <c r="A92" s="210" t="s">
        <v>55</v>
      </c>
    </row>
    <row r="93" s="210" customFormat="1" ht="15">
      <c r="A93" s="210" t="s">
        <v>56</v>
      </c>
    </row>
    <row r="94" s="210" customFormat="1" ht="15">
      <c r="A94" s="210" t="s">
        <v>57</v>
      </c>
    </row>
    <row r="95" s="210" customFormat="1" ht="15">
      <c r="A95" s="210" t="s">
        <v>58</v>
      </c>
    </row>
    <row r="96" s="210" customFormat="1" ht="15">
      <c r="A96" s="210" t="s">
        <v>59</v>
      </c>
    </row>
    <row r="97" s="210" customFormat="1" ht="15"/>
    <row r="98" spans="1:2" s="210" customFormat="1" ht="15">
      <c r="A98" s="329"/>
      <c r="B98" s="210" t="s">
        <v>60</v>
      </c>
    </row>
    <row r="99" s="210" customFormat="1" ht="15"/>
    <row r="100" s="210" customFormat="1" ht="15"/>
    <row r="101" s="210" customFormat="1" ht="15"/>
    <row r="102" s="210" customFormat="1" ht="15"/>
    <row r="103" s="210" customFormat="1" ht="15"/>
    <row r="104" s="210" customFormat="1" ht="15"/>
    <row r="105" s="210" customFormat="1" ht="15"/>
    <row r="106" s="210" customFormat="1" ht="15"/>
    <row r="107" s="210" customFormat="1" ht="15"/>
    <row r="108" s="210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56:E63 E66 E42:E51 E23:E40">
      <formula1>'GS&lt;50 (1,000kWh)'!#REF!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'GS&lt;50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8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60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7" width="8.00390625" style="8" bestFit="1" customWidth="1"/>
    <col min="8" max="8" width="9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9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9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84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68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6.5" customHeight="1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392">
        <f>'GS&lt;50 (1,000kWh)'!F23</f>
        <v>17.36</v>
      </c>
      <c r="G23" s="215">
        <v>1</v>
      </c>
      <c r="H23" s="216">
        <f>G23*F23</f>
        <v>17.36</v>
      </c>
      <c r="I23" s="217"/>
      <c r="J23" s="392">
        <f>'GS&lt;50 (1,000kWh)'!J23</f>
        <v>17.36</v>
      </c>
      <c r="K23" s="218">
        <v>1</v>
      </c>
      <c r="L23" s="216">
        <f>K23*J23</f>
        <v>17.36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30">
      <c r="B24" s="380" t="s">
        <v>64</v>
      </c>
      <c r="C24" s="211"/>
      <c r="D24" s="224" t="s">
        <v>62</v>
      </c>
      <c r="E24" s="213"/>
      <c r="F24" s="393">
        <f>'GS&lt;50 (1,000kWh)'!F24</f>
        <v>4.33</v>
      </c>
      <c r="G24" s="215">
        <v>1</v>
      </c>
      <c r="H24" s="216">
        <f>G24*F24</f>
        <v>4.33</v>
      </c>
      <c r="I24" s="217"/>
      <c r="J24" s="393">
        <f>'GS&lt;50 (1,000kWh)'!J24</f>
        <v>4.33</v>
      </c>
      <c r="K24" s="218">
        <v>1</v>
      </c>
      <c r="L24" s="216">
        <f>K24*J24</f>
        <v>4.33</v>
      </c>
      <c r="M24" s="217"/>
      <c r="N24" s="219">
        <f>L24-H24</f>
        <v>0</v>
      </c>
      <c r="O24" s="220">
        <f>IF((H24)=0,"",(N24/H24))</f>
        <v>0</v>
      </c>
    </row>
    <row r="25" spans="2:15" s="210" customFormat="1" ht="15" customHeight="1" hidden="1">
      <c r="B25" s="223" t="s">
        <v>109</v>
      </c>
      <c r="C25" s="211"/>
      <c r="D25" s="224" t="s">
        <v>62</v>
      </c>
      <c r="E25" s="213"/>
      <c r="F25" s="394">
        <f>'GS&lt;50 (1,000kWh)'!F25</f>
        <v>0</v>
      </c>
      <c r="G25" s="215">
        <v>1</v>
      </c>
      <c r="H25" s="216">
        <f>G25*F25</f>
        <v>0</v>
      </c>
      <c r="I25" s="217"/>
      <c r="J25" s="428">
        <f>'GS&lt;50 (1,000kWh)'!J25</f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380"/>
      <c r="C26" s="211"/>
      <c r="D26" s="224" t="s">
        <v>62</v>
      </c>
      <c r="E26" s="227"/>
      <c r="F26" s="394">
        <f>'GS&lt;50 (1,000kWh)'!F26</f>
        <v>0</v>
      </c>
      <c r="G26" s="215">
        <v>1</v>
      </c>
      <c r="H26" s="216">
        <f aca="true" t="shared" si="0" ref="H26:H40">G26*F26</f>
        <v>0</v>
      </c>
      <c r="I26" s="217"/>
      <c r="J26" s="470">
        <f>'GS&lt;50 (1,000kWh)'!J26</f>
        <v>0</v>
      </c>
      <c r="K26" s="218">
        <v>1</v>
      </c>
      <c r="L26" s="216">
        <f aca="true" t="shared" si="1" ref="L26:L40">K26*J26</f>
        <v>0</v>
      </c>
      <c r="M26" s="217"/>
      <c r="N26" s="219">
        <f aca="true" t="shared" si="2" ref="N26:N71">L26-H26</f>
        <v>0</v>
      </c>
      <c r="O26" s="220">
        <f aca="true" t="shared" si="3" ref="O26:O50">IF((H26)=0,"",(N26/H26))</f>
      </c>
    </row>
    <row r="27" spans="2:15" s="210" customFormat="1" ht="15" hidden="1">
      <c r="B27" s="226" t="s">
        <v>65</v>
      </c>
      <c r="C27" s="211"/>
      <c r="D27" s="212" t="s">
        <v>62</v>
      </c>
      <c r="E27" s="213"/>
      <c r="F27" s="246">
        <f>'GS&lt;50 (1,000kWh)'!F27</f>
        <v>0</v>
      </c>
      <c r="G27" s="215">
        <v>1</v>
      </c>
      <c r="H27" s="216">
        <f t="shared" si="0"/>
        <v>0</v>
      </c>
      <c r="I27" s="217"/>
      <c r="J27" s="429">
        <v>0</v>
      </c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 hidden="1">
      <c r="B28" s="338" t="s">
        <v>66</v>
      </c>
      <c r="C28" s="211"/>
      <c r="D28" s="212" t="s">
        <v>63</v>
      </c>
      <c r="E28" s="213"/>
      <c r="F28" s="246">
        <f>'GS&lt;50 (1,000kWh)'!F28</f>
        <v>0</v>
      </c>
      <c r="G28" s="215">
        <v>1</v>
      </c>
      <c r="H28" s="216">
        <f t="shared" si="0"/>
        <v>0</v>
      </c>
      <c r="I28" s="217"/>
      <c r="J28" s="471">
        <f>'GS&lt;50 (1,000kWh)'!J28</f>
        <v>0</v>
      </c>
      <c r="K28" s="215">
        <v>1</v>
      </c>
      <c r="L28" s="216">
        <f t="shared" si="1"/>
        <v>0</v>
      </c>
      <c r="M28" s="217"/>
      <c r="N28" s="219">
        <f t="shared" si="2"/>
        <v>0</v>
      </c>
      <c r="O28" s="220">
        <f t="shared" si="3"/>
      </c>
    </row>
    <row r="29" spans="2:15" s="210" customFormat="1" ht="15">
      <c r="B29" s="211" t="s">
        <v>108</v>
      </c>
      <c r="C29" s="211"/>
      <c r="D29" s="212" t="s">
        <v>63</v>
      </c>
      <c r="E29" s="213"/>
      <c r="F29" s="395">
        <f>'GS&lt;50 (1,000kWh)'!F29</f>
        <v>0</v>
      </c>
      <c r="G29" s="396">
        <f>F18</f>
        <v>2000</v>
      </c>
      <c r="H29" s="216">
        <f t="shared" si="0"/>
        <v>0</v>
      </c>
      <c r="I29" s="217"/>
      <c r="J29" s="471">
        <f>'GS&lt;50 (1,000kWh)'!J29</f>
        <v>0.0021</v>
      </c>
      <c r="K29" s="215">
        <f>$F$18</f>
        <v>2000</v>
      </c>
      <c r="L29" s="216">
        <f t="shared" si="1"/>
        <v>4.2</v>
      </c>
      <c r="M29" s="217"/>
      <c r="N29" s="219">
        <f t="shared" si="2"/>
        <v>4.2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46">
        <f>'GS&lt;50 (1,000kWh)'!F30</f>
        <v>0</v>
      </c>
      <c r="G30" s="215">
        <f>$F$18</f>
        <v>2000</v>
      </c>
      <c r="H30" s="216">
        <f t="shared" si="0"/>
        <v>0</v>
      </c>
      <c r="I30" s="217"/>
      <c r="J30" s="429">
        <f>'GS&lt;50 (1,000kWh)'!J30</f>
        <v>0</v>
      </c>
      <c r="K30" s="215">
        <f>$F$18</f>
        <v>2000</v>
      </c>
      <c r="L30" s="216">
        <f>K30*J30</f>
        <v>0</v>
      </c>
      <c r="M30" s="217"/>
      <c r="N30" s="219">
        <f>L30-H30</f>
        <v>0</v>
      </c>
      <c r="O30" s="220">
        <f>IF((H30)=0,"",(N30/H30))</f>
      </c>
    </row>
    <row r="31" spans="2:15" s="210" customFormat="1" ht="15">
      <c r="B31" s="211" t="s">
        <v>21</v>
      </c>
      <c r="C31" s="211"/>
      <c r="D31" s="212" t="s">
        <v>63</v>
      </c>
      <c r="E31" s="213"/>
      <c r="F31" s="246">
        <f>'GS&lt;50 (1,000kWh)'!F31</f>
        <v>0.018</v>
      </c>
      <c r="G31" s="215">
        <f>$F$18</f>
        <v>2000</v>
      </c>
      <c r="H31" s="216">
        <f t="shared" si="0"/>
        <v>36</v>
      </c>
      <c r="I31" s="217"/>
      <c r="J31" s="246">
        <f>'GS&lt;50 (1,000kWh)'!J31</f>
        <v>0.018</v>
      </c>
      <c r="K31" s="215">
        <f>$F$18</f>
        <v>2000</v>
      </c>
      <c r="L31" s="216">
        <f t="shared" si="1"/>
        <v>36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46">
        <f>'GS&lt;50 (1,000kWh)'!F32</f>
        <v>0</v>
      </c>
      <c r="G32" s="215">
        <f>$F$18</f>
        <v>2000</v>
      </c>
      <c r="H32" s="216">
        <f t="shared" si="0"/>
        <v>0</v>
      </c>
      <c r="I32" s="217"/>
      <c r="J32" s="246"/>
      <c r="K32" s="215">
        <f aca="true" t="shared" si="4" ref="K32:K40">$F$18</f>
        <v>2000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5.75" customHeight="1" hidden="1">
      <c r="B33" s="211" t="s">
        <v>108</v>
      </c>
      <c r="C33" s="211"/>
      <c r="D33" s="212" t="s">
        <v>63</v>
      </c>
      <c r="E33" s="213"/>
      <c r="F33" s="246">
        <f>'GS&lt;50 (1,000kWh)'!F33</f>
        <v>0</v>
      </c>
      <c r="G33" s="215">
        <f>$F$18</f>
        <v>2000</v>
      </c>
      <c r="H33" s="216">
        <f t="shared" si="0"/>
        <v>0</v>
      </c>
      <c r="I33" s="217"/>
      <c r="J33" s="246">
        <f>'GS&lt;50 (1,000kWh)'!$J33</f>
        <v>0</v>
      </c>
      <c r="K33" s="215">
        <f t="shared" si="4"/>
        <v>2000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>
        <f>'GS&lt;50 (1,000kWh)'!F34</f>
        <v>0</v>
      </c>
      <c r="G34" s="215">
        <f aca="true" t="shared" si="5" ref="G34:G40">$F$18</f>
        <v>2000</v>
      </c>
      <c r="H34" s="216">
        <f t="shared" si="0"/>
        <v>0</v>
      </c>
      <c r="I34" s="217"/>
      <c r="J34" s="228"/>
      <c r="K34" s="215">
        <f t="shared" si="4"/>
        <v>2000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>
        <f>'GS&lt;50 (1,000kWh)'!F35</f>
        <v>0</v>
      </c>
      <c r="G35" s="215">
        <f t="shared" si="5"/>
        <v>2000</v>
      </c>
      <c r="H35" s="216">
        <f t="shared" si="0"/>
        <v>0</v>
      </c>
      <c r="I35" s="217"/>
      <c r="J35" s="228"/>
      <c r="K35" s="215">
        <f t="shared" si="4"/>
        <v>2000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>
        <f>'GS&lt;50 (1,000kWh)'!F36</f>
        <v>0</v>
      </c>
      <c r="G36" s="215">
        <f t="shared" si="5"/>
        <v>2000</v>
      </c>
      <c r="H36" s="216">
        <f t="shared" si="0"/>
        <v>0</v>
      </c>
      <c r="I36" s="217"/>
      <c r="J36" s="228"/>
      <c r="K36" s="215">
        <f t="shared" si="4"/>
        <v>2000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>
        <f>'GS&lt;50 (1,000kWh)'!F37</f>
        <v>0</v>
      </c>
      <c r="G37" s="215">
        <f t="shared" si="5"/>
        <v>2000</v>
      </c>
      <c r="H37" s="216">
        <f t="shared" si="0"/>
        <v>0</v>
      </c>
      <c r="I37" s="217"/>
      <c r="J37" s="228"/>
      <c r="K37" s="215">
        <f t="shared" si="4"/>
        <v>2000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>
        <f>'GS&lt;50 (1,000kWh)'!F38</f>
        <v>0</v>
      </c>
      <c r="G38" s="215">
        <f t="shared" si="5"/>
        <v>2000</v>
      </c>
      <c r="H38" s="216">
        <f t="shared" si="0"/>
        <v>0</v>
      </c>
      <c r="I38" s="217"/>
      <c r="J38" s="228"/>
      <c r="K38" s="215">
        <f t="shared" si="4"/>
        <v>2000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>
        <f>'GS&lt;50 (1,000kWh)'!F39</f>
        <v>0</v>
      </c>
      <c r="G39" s="215">
        <f t="shared" si="5"/>
        <v>2000</v>
      </c>
      <c r="H39" s="216">
        <f t="shared" si="0"/>
        <v>0</v>
      </c>
      <c r="I39" s="217"/>
      <c r="J39" s="228"/>
      <c r="K39" s="215">
        <f t="shared" si="4"/>
        <v>2000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>
        <f>'GS&lt;50 (1,000kWh)'!F40</f>
        <v>0</v>
      </c>
      <c r="G40" s="215">
        <f t="shared" si="5"/>
        <v>2000</v>
      </c>
      <c r="H40" s="216">
        <f t="shared" si="0"/>
        <v>0</v>
      </c>
      <c r="I40" s="217"/>
      <c r="J40" s="228"/>
      <c r="K40" s="215">
        <f t="shared" si="4"/>
        <v>2000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57.69</v>
      </c>
      <c r="I41" s="237"/>
      <c r="J41" s="234"/>
      <c r="K41" s="239"/>
      <c r="L41" s="236">
        <f>SUM(L23:L40)</f>
        <v>61.89</v>
      </c>
      <c r="M41" s="237"/>
      <c r="N41" s="240">
        <f t="shared" si="2"/>
        <v>4.200000000000003</v>
      </c>
      <c r="O41" s="340">
        <f t="shared" si="3"/>
        <v>0.07280291211648471</v>
      </c>
    </row>
    <row r="42" spans="2:15" s="210" customFormat="1" ht="15" hidden="1">
      <c r="B42" s="226"/>
      <c r="C42" s="211"/>
      <c r="D42" s="224" t="s">
        <v>62</v>
      </c>
      <c r="E42" s="213"/>
      <c r="F42" s="228">
        <f>'GS&lt;50 (1,000kWh)'!F42</f>
        <v>0</v>
      </c>
      <c r="G42" s="215">
        <v>1</v>
      </c>
      <c r="H42" s="216">
        <f>G42*F42</f>
        <v>0</v>
      </c>
      <c r="I42" s="217"/>
      <c r="J42" s="228"/>
      <c r="K42" s="218">
        <v>1</v>
      </c>
      <c r="L42" s="216">
        <f>K42*J42</f>
        <v>0</v>
      </c>
      <c r="M42" s="217"/>
      <c r="N42" s="230">
        <f>L42-H42</f>
        <v>0</v>
      </c>
      <c r="O42" s="220">
        <f>IF((H42)=0,"",(N42/H42))</f>
      </c>
    </row>
    <row r="43" spans="2:15" s="210" customFormat="1" ht="15">
      <c r="B43" s="381" t="s">
        <v>25</v>
      </c>
      <c r="C43" s="211"/>
      <c r="D43" s="224" t="s">
        <v>63</v>
      </c>
      <c r="E43" s="227"/>
      <c r="F43" s="397">
        <f>'GS&lt;50 (1,000kWh)'!F43</f>
        <v>-0.0071</v>
      </c>
      <c r="G43" s="215">
        <f>$F$18</f>
        <v>2000</v>
      </c>
      <c r="H43" s="216">
        <f aca="true" t="shared" si="6" ref="H43:H51">G43*F43</f>
        <v>-14.200000000000001</v>
      </c>
      <c r="I43" s="217"/>
      <c r="J43" s="397">
        <f>'GS&lt;50 (1,000kWh)'!J43</f>
        <v>0.0021</v>
      </c>
      <c r="K43" s="215">
        <f>$F$18</f>
        <v>2000</v>
      </c>
      <c r="L43" s="216">
        <f aca="true" t="shared" si="7" ref="L43:L51">K43*J43</f>
        <v>4.2</v>
      </c>
      <c r="M43" s="217"/>
      <c r="N43" s="219">
        <f t="shared" si="2"/>
        <v>18.400000000000002</v>
      </c>
      <c r="O43" s="220">
        <f t="shared" si="3"/>
        <v>-1.295774647887324</v>
      </c>
    </row>
    <row r="44" spans="2:15" s="210" customFormat="1" ht="12.75" customHeight="1" hidden="1">
      <c r="B44" s="381"/>
      <c r="C44" s="211"/>
      <c r="D44" s="212" t="s">
        <v>63</v>
      </c>
      <c r="E44" s="213"/>
      <c r="F44" s="246">
        <f>'GS&lt;50 (1,000kWh)'!F44</f>
        <v>0</v>
      </c>
      <c r="G44" s="215">
        <f>$F$18</f>
        <v>2000</v>
      </c>
      <c r="H44" s="216">
        <f t="shared" si="6"/>
        <v>0</v>
      </c>
      <c r="I44" s="243"/>
      <c r="J44" s="397">
        <f>'GS&lt;50 (1,000kWh)'!J44</f>
        <v>0</v>
      </c>
      <c r="K44" s="215">
        <f>$F$18</f>
        <v>2000</v>
      </c>
      <c r="L44" s="216">
        <f t="shared" si="7"/>
        <v>0</v>
      </c>
      <c r="M44" s="244"/>
      <c r="N44" s="219">
        <f t="shared" si="2"/>
        <v>0</v>
      </c>
      <c r="O44" s="220">
        <f t="shared" si="3"/>
      </c>
    </row>
    <row r="45" spans="2:15" s="210" customFormat="1" ht="15" hidden="1">
      <c r="B45" s="381"/>
      <c r="C45" s="211"/>
      <c r="D45" s="212" t="s">
        <v>63</v>
      </c>
      <c r="E45" s="213"/>
      <c r="F45" s="246">
        <f>'GS&lt;50 (1,000kWh)'!F45</f>
        <v>0</v>
      </c>
      <c r="G45" s="215">
        <f>$F$18</f>
        <v>2000</v>
      </c>
      <c r="H45" s="216">
        <f t="shared" si="6"/>
        <v>0</v>
      </c>
      <c r="I45" s="243"/>
      <c r="J45" s="397">
        <f>'GS&lt;50 (1,000kWh)'!J45</f>
        <v>0</v>
      </c>
      <c r="K45" s="215">
        <f>$F$18</f>
        <v>2000</v>
      </c>
      <c r="L45" s="216">
        <f t="shared" si="7"/>
        <v>0</v>
      </c>
      <c r="M45" s="244"/>
      <c r="N45" s="219">
        <f t="shared" si="2"/>
        <v>0</v>
      </c>
      <c r="O45" s="220">
        <f t="shared" si="3"/>
      </c>
    </row>
    <row r="46" spans="2:15" s="210" customFormat="1" ht="15" hidden="1">
      <c r="B46" s="380"/>
      <c r="C46" s="211"/>
      <c r="D46" s="224" t="s">
        <v>62</v>
      </c>
      <c r="E46" s="213"/>
      <c r="F46" s="246">
        <f>'GS&lt;50 (1,000kWh)'!F46</f>
        <v>0</v>
      </c>
      <c r="G46" s="215">
        <v>1</v>
      </c>
      <c r="H46" s="216">
        <f t="shared" si="6"/>
        <v>0</v>
      </c>
      <c r="I46" s="243"/>
      <c r="J46" s="397">
        <f>'GS&lt;50 (1,000kWh)'!J46</f>
        <v>0</v>
      </c>
      <c r="K46" s="215">
        <v>1</v>
      </c>
      <c r="L46" s="216">
        <f t="shared" si="7"/>
        <v>0</v>
      </c>
      <c r="M46" s="244"/>
      <c r="N46" s="219">
        <f t="shared" si="2"/>
        <v>0</v>
      </c>
      <c r="O46" s="220">
        <f t="shared" si="3"/>
      </c>
    </row>
    <row r="47" spans="2:15" s="210" customFormat="1" ht="15" hidden="1">
      <c r="B47" s="381"/>
      <c r="C47" s="211"/>
      <c r="D47" s="212" t="s">
        <v>63</v>
      </c>
      <c r="E47" s="213"/>
      <c r="F47" s="246">
        <f>'GS&lt;50 (1,000kWh)'!F47</f>
        <v>0</v>
      </c>
      <c r="G47" s="215">
        <v>1</v>
      </c>
      <c r="H47" s="216">
        <f t="shared" si="6"/>
        <v>0</v>
      </c>
      <c r="I47" s="217"/>
      <c r="J47" s="397">
        <f>'GS&lt;50 (1,000kWh)'!J47</f>
        <v>0</v>
      </c>
      <c r="K47" s="218">
        <v>1</v>
      </c>
      <c r="L47" s="216">
        <f t="shared" si="7"/>
        <v>0</v>
      </c>
      <c r="M47" s="217"/>
      <c r="N47" s="219">
        <f>L47-H47</f>
        <v>0</v>
      </c>
      <c r="O47" s="220">
        <f>IF((H47)=0,"",(N47/H47))</f>
      </c>
    </row>
    <row r="48" spans="2:15" s="210" customFormat="1" ht="15" hidden="1">
      <c r="B48" s="211"/>
      <c r="C48" s="211"/>
      <c r="D48" s="212" t="s">
        <v>63</v>
      </c>
      <c r="E48" s="213"/>
      <c r="F48" s="246">
        <f>'GS&lt;50 (1,000kWh)'!F48</f>
        <v>0</v>
      </c>
      <c r="G48" s="215">
        <f>$F$18</f>
        <v>2000</v>
      </c>
      <c r="H48" s="216">
        <f t="shared" si="6"/>
        <v>0</v>
      </c>
      <c r="I48" s="217"/>
      <c r="J48" s="246">
        <f>'GS&lt;50 (1,000kWh)'!$J48</f>
        <v>0</v>
      </c>
      <c r="K48" s="215">
        <f>$F$18</f>
        <v>2000</v>
      </c>
      <c r="L48" s="216">
        <f t="shared" si="7"/>
        <v>0</v>
      </c>
      <c r="M48" s="217"/>
      <c r="N48" s="219">
        <f>L48-H48</f>
        <v>0</v>
      </c>
      <c r="O48" s="220">
        <f>IF((H48)=0,"",(N48/H48))</f>
      </c>
    </row>
    <row r="49" spans="2:15" s="210" customFormat="1" ht="15">
      <c r="B49" s="341" t="s">
        <v>26</v>
      </c>
      <c r="C49" s="211"/>
      <c r="D49" s="212" t="s">
        <v>63</v>
      </c>
      <c r="E49" s="213"/>
      <c r="F49" s="246">
        <f>'GS&lt;50 (1,000kWh)'!F49</f>
        <v>0.0024</v>
      </c>
      <c r="G49" s="215">
        <f>$F$18</f>
        <v>2000</v>
      </c>
      <c r="H49" s="216">
        <f t="shared" si="6"/>
        <v>4.8</v>
      </c>
      <c r="I49" s="217"/>
      <c r="J49" s="246">
        <f>'GS&lt;50 (1,000kWh)'!J49</f>
        <v>0.0024</v>
      </c>
      <c r="K49" s="215">
        <f>$F$18</f>
        <v>2000</v>
      </c>
      <c r="L49" s="216">
        <f t="shared" si="7"/>
        <v>4.8</v>
      </c>
      <c r="M49" s="217"/>
      <c r="N49" s="219">
        <f t="shared" si="2"/>
        <v>0</v>
      </c>
      <c r="O49" s="220">
        <f t="shared" si="3"/>
        <v>0</v>
      </c>
    </row>
    <row r="50" spans="2:15" s="241" customFormat="1" ht="15">
      <c r="B50" s="342" t="s">
        <v>27</v>
      </c>
      <c r="C50" s="213"/>
      <c r="D50" s="212" t="s">
        <v>63</v>
      </c>
      <c r="E50" s="213"/>
      <c r="F50" s="246">
        <f>'GS&lt;50 (1,000kWh)'!F50</f>
        <v>0.10214000000000001</v>
      </c>
      <c r="G50" s="215">
        <f>$F$18*(1+$F$80)-$F$18</f>
        <v>99</v>
      </c>
      <c r="H50" s="247">
        <f t="shared" si="6"/>
        <v>10.11186</v>
      </c>
      <c r="I50" s="227"/>
      <c r="J50" s="246">
        <f>0.64*$F$61+0.18*$F$62+0.18*$F$63</f>
        <v>0.10214000000000001</v>
      </c>
      <c r="K50" s="215">
        <f>$F$18*(1+$J$80)-$F$18</f>
        <v>99</v>
      </c>
      <c r="L50" s="247">
        <f t="shared" si="7"/>
        <v>10.11186</v>
      </c>
      <c r="M50" s="227"/>
      <c r="N50" s="219">
        <f t="shared" si="2"/>
        <v>0</v>
      </c>
      <c r="O50" s="248">
        <f t="shared" si="3"/>
        <v>0</v>
      </c>
    </row>
    <row r="51" spans="2:15" s="210" customFormat="1" ht="15">
      <c r="B51" s="341" t="s">
        <v>28</v>
      </c>
      <c r="C51" s="211"/>
      <c r="D51" s="212" t="s">
        <v>62</v>
      </c>
      <c r="E51" s="213"/>
      <c r="F51" s="249">
        <f>'GS&lt;50 (1,000kWh)'!F51</f>
        <v>0.79</v>
      </c>
      <c r="G51" s="215">
        <v>1</v>
      </c>
      <c r="H51" s="216">
        <f t="shared" si="6"/>
        <v>0.79</v>
      </c>
      <c r="I51" s="217"/>
      <c r="J51" s="249">
        <v>0.79</v>
      </c>
      <c r="K51" s="215">
        <v>1</v>
      </c>
      <c r="L51" s="216">
        <f t="shared" si="7"/>
        <v>0.79</v>
      </c>
      <c r="M51" s="217"/>
      <c r="N51" s="219">
        <f t="shared" si="2"/>
        <v>0</v>
      </c>
      <c r="O51" s="220"/>
    </row>
    <row r="52" spans="2:15" s="210" customFormat="1" ht="15">
      <c r="B52" s="343" t="s">
        <v>29</v>
      </c>
      <c r="C52" s="250"/>
      <c r="D52" s="250"/>
      <c r="E52" s="250"/>
      <c r="F52" s="43"/>
      <c r="G52" s="251"/>
      <c r="H52" s="252">
        <f>SUM(H42:H51)+H41</f>
        <v>59.19186</v>
      </c>
      <c r="I52" s="237"/>
      <c r="J52" s="43"/>
      <c r="K52" s="253"/>
      <c r="L52" s="252">
        <f>SUM(L42:L51)+L41</f>
        <v>81.79186</v>
      </c>
      <c r="M52" s="237"/>
      <c r="N52" s="240">
        <f t="shared" si="2"/>
        <v>22.6</v>
      </c>
      <c r="O52" s="340">
        <f aca="true" t="shared" si="8" ref="O52:O71">IF((H52)=0,"",(N52/H52))</f>
        <v>0.3818092555293921</v>
      </c>
    </row>
    <row r="53" spans="2:15" s="210" customFormat="1" ht="15">
      <c r="B53" s="217" t="s">
        <v>30</v>
      </c>
      <c r="C53" s="217"/>
      <c r="D53" s="224" t="s">
        <v>63</v>
      </c>
      <c r="E53" s="227"/>
      <c r="F53" s="245">
        <f>'GS&lt;50 (1,000kWh)'!F53</f>
        <v>0.0044</v>
      </c>
      <c r="G53" s="468">
        <f>F18*(1+F80)</f>
        <v>2099</v>
      </c>
      <c r="H53" s="216">
        <f>G53*F53</f>
        <v>9.2356</v>
      </c>
      <c r="I53" s="217"/>
      <c r="J53" s="245">
        <f>'GS&lt;50 (1,000kWh)'!J53</f>
        <v>0.0048</v>
      </c>
      <c r="K53" s="469">
        <f>F18*(1+J80)</f>
        <v>2099</v>
      </c>
      <c r="L53" s="216">
        <f>K53*J53</f>
        <v>10.075199999999999</v>
      </c>
      <c r="M53" s="217"/>
      <c r="N53" s="219">
        <f t="shared" si="2"/>
        <v>0.839599999999999</v>
      </c>
      <c r="O53" s="220">
        <f t="shared" si="8"/>
        <v>0.0909090909090908</v>
      </c>
    </row>
    <row r="54" spans="2:15" s="210" customFormat="1" ht="15">
      <c r="B54" s="255" t="s">
        <v>31</v>
      </c>
      <c r="C54" s="217"/>
      <c r="D54" s="224" t="s">
        <v>63</v>
      </c>
      <c r="E54" s="227"/>
      <c r="F54" s="245">
        <f>'GS&lt;50 (1,000kWh)'!F54</f>
        <v>0.0017</v>
      </c>
      <c r="G54" s="468">
        <f>G53</f>
        <v>2099</v>
      </c>
      <c r="H54" s="216">
        <f>G54*F54</f>
        <v>3.5683</v>
      </c>
      <c r="I54" s="217"/>
      <c r="J54" s="245">
        <f>'GS&lt;50 (1,000kWh)'!J54</f>
        <v>0.0027</v>
      </c>
      <c r="K54" s="469">
        <f>K53</f>
        <v>2099</v>
      </c>
      <c r="L54" s="216">
        <f>K54*J54</f>
        <v>5.6673</v>
      </c>
      <c r="M54" s="217"/>
      <c r="N54" s="219">
        <f t="shared" si="2"/>
        <v>2.099</v>
      </c>
      <c r="O54" s="220">
        <f t="shared" si="8"/>
        <v>0.5882352941176472</v>
      </c>
    </row>
    <row r="55" spans="2:15" s="210" customFormat="1" ht="15">
      <c r="B55" s="343" t="s">
        <v>32</v>
      </c>
      <c r="C55" s="232"/>
      <c r="D55" s="232"/>
      <c r="E55" s="232"/>
      <c r="F55" s="44"/>
      <c r="G55" s="109"/>
      <c r="H55" s="252">
        <f>SUM(H52:H54)</f>
        <v>71.99575999999999</v>
      </c>
      <c r="I55" s="256"/>
      <c r="J55" s="44"/>
      <c r="K55" s="147"/>
      <c r="L55" s="252">
        <f>SUM(L52:L54)</f>
        <v>97.53435999999999</v>
      </c>
      <c r="M55" s="256"/>
      <c r="N55" s="240">
        <f t="shared" si="2"/>
        <v>25.538600000000002</v>
      </c>
      <c r="O55" s="340">
        <f t="shared" si="8"/>
        <v>0.35472366706039365</v>
      </c>
    </row>
    <row r="56" spans="2:15" s="210" customFormat="1" ht="15">
      <c r="B56" s="223" t="s">
        <v>33</v>
      </c>
      <c r="C56" s="211"/>
      <c r="D56" s="212" t="s">
        <v>63</v>
      </c>
      <c r="E56" s="213"/>
      <c r="F56" s="246">
        <f>'GS&lt;50 (1,000kWh)'!F56</f>
        <v>0.0044</v>
      </c>
      <c r="G56" s="468">
        <f>G54</f>
        <v>2099</v>
      </c>
      <c r="H56" s="216">
        <f aca="true" t="shared" si="9" ref="H56:H63">G56*F56</f>
        <v>9.2356</v>
      </c>
      <c r="I56" s="217"/>
      <c r="J56" s="429">
        <f>'GS&lt;50 (1,000kWh)'!J56</f>
        <v>0.0036</v>
      </c>
      <c r="K56" s="469">
        <f>K54</f>
        <v>2099</v>
      </c>
      <c r="L56" s="216">
        <f aca="true" t="shared" si="10" ref="L56:L63">K56*J56</f>
        <v>7.5564</v>
      </c>
      <c r="M56" s="217"/>
      <c r="N56" s="219">
        <f t="shared" si="2"/>
        <v>-1.6791999999999998</v>
      </c>
      <c r="O56" s="220">
        <f t="shared" si="8"/>
        <v>-0.1818181818181818</v>
      </c>
    </row>
    <row r="57" spans="2:15" s="210" customFormat="1" ht="15">
      <c r="B57" s="223" t="s">
        <v>34</v>
      </c>
      <c r="C57" s="211"/>
      <c r="D57" s="212" t="s">
        <v>63</v>
      </c>
      <c r="E57" s="213"/>
      <c r="F57" s="246">
        <f>'GS&lt;50 (1,000kWh)'!F57</f>
        <v>0.0013</v>
      </c>
      <c r="G57" s="468">
        <f>G54</f>
        <v>2099</v>
      </c>
      <c r="H57" s="216">
        <f t="shared" si="9"/>
        <v>2.7287</v>
      </c>
      <c r="I57" s="217"/>
      <c r="J57" s="246">
        <f>'GS&lt;50 (1,000kWh)'!J57</f>
        <v>0.0013</v>
      </c>
      <c r="K57" s="469">
        <f>K54</f>
        <v>2099</v>
      </c>
      <c r="L57" s="216">
        <f t="shared" si="10"/>
        <v>2.7287</v>
      </c>
      <c r="M57" s="217"/>
      <c r="N57" s="219">
        <f t="shared" si="2"/>
        <v>0</v>
      </c>
      <c r="O57" s="220">
        <f t="shared" si="8"/>
        <v>0</v>
      </c>
    </row>
    <row r="58" spans="2:15" s="210" customFormat="1" ht="15">
      <c r="B58" s="223" t="s">
        <v>121</v>
      </c>
      <c r="C58" s="211"/>
      <c r="D58" s="212" t="s">
        <v>63</v>
      </c>
      <c r="E58" s="213"/>
      <c r="F58" s="246">
        <f>'GS&lt;50 (1,000kWh)'!F58</f>
        <v>0</v>
      </c>
      <c r="G58" s="468">
        <f>G54</f>
        <v>2099</v>
      </c>
      <c r="H58" s="216">
        <f t="shared" si="9"/>
        <v>0</v>
      </c>
      <c r="I58" s="217"/>
      <c r="J58" s="429">
        <f>'GS&lt;50 (1,000kWh)'!J58</f>
        <v>0.0011</v>
      </c>
      <c r="K58" s="469">
        <f>K54</f>
        <v>2099</v>
      </c>
      <c r="L58" s="216">
        <f t="shared" si="10"/>
        <v>2.3089</v>
      </c>
      <c r="M58" s="217"/>
      <c r="N58" s="219">
        <f t="shared" si="2"/>
        <v>2.3089</v>
      </c>
      <c r="O58" s="220">
        <f t="shared" si="8"/>
      </c>
    </row>
    <row r="59" spans="2:15" s="210" customFormat="1" ht="15">
      <c r="B59" s="211" t="s">
        <v>35</v>
      </c>
      <c r="C59" s="211"/>
      <c r="D59" s="212" t="s">
        <v>62</v>
      </c>
      <c r="E59" s="213"/>
      <c r="F59" s="392">
        <f>'GS&lt;50 (1,000kWh)'!F59</f>
        <v>0.25</v>
      </c>
      <c r="G59" s="215">
        <v>1</v>
      </c>
      <c r="H59" s="216">
        <f t="shared" si="9"/>
        <v>0.25</v>
      </c>
      <c r="I59" s="217"/>
      <c r="J59" s="392">
        <f>'GS&lt;50 (1,000kWh)'!J59</f>
        <v>0.25</v>
      </c>
      <c r="K59" s="218">
        <v>1</v>
      </c>
      <c r="L59" s="216">
        <f t="shared" si="10"/>
        <v>0.25</v>
      </c>
      <c r="M59" s="217"/>
      <c r="N59" s="219">
        <f t="shared" si="2"/>
        <v>0</v>
      </c>
      <c r="O59" s="220">
        <f t="shared" si="8"/>
        <v>0</v>
      </c>
    </row>
    <row r="60" spans="2:15" s="210" customFormat="1" ht="15">
      <c r="B60" s="211" t="s">
        <v>36</v>
      </c>
      <c r="C60" s="211"/>
      <c r="D60" s="212" t="s">
        <v>63</v>
      </c>
      <c r="E60" s="213"/>
      <c r="F60" s="246">
        <f>'GS&lt;50 (1,000kWh)'!F60</f>
        <v>0.007</v>
      </c>
      <c r="G60" s="259">
        <f>F18</f>
        <v>2000</v>
      </c>
      <c r="H60" s="216">
        <f t="shared" si="9"/>
        <v>14</v>
      </c>
      <c r="I60" s="217"/>
      <c r="J60" s="246">
        <f>'GS&lt;50 (1,000kWh)'!J60</f>
        <v>0.007</v>
      </c>
      <c r="K60" s="260">
        <f>F18</f>
        <v>2000</v>
      </c>
      <c r="L60" s="216">
        <f t="shared" si="10"/>
        <v>14</v>
      </c>
      <c r="M60" s="217"/>
      <c r="N60" s="219">
        <f t="shared" si="2"/>
        <v>0</v>
      </c>
      <c r="O60" s="220">
        <f t="shared" si="8"/>
        <v>0</v>
      </c>
    </row>
    <row r="61" spans="2:19" s="210" customFormat="1" ht="15">
      <c r="B61" s="341" t="s">
        <v>37</v>
      </c>
      <c r="C61" s="211"/>
      <c r="D61" s="212" t="s">
        <v>63</v>
      </c>
      <c r="E61" s="213"/>
      <c r="F61" s="246">
        <f>'GS&lt;50 (1,000kWh)'!F61</f>
        <v>0.08</v>
      </c>
      <c r="G61" s="259">
        <f>0.64*$F$18</f>
        <v>1280</v>
      </c>
      <c r="H61" s="216">
        <f t="shared" si="9"/>
        <v>102.4</v>
      </c>
      <c r="I61" s="217"/>
      <c r="J61" s="246">
        <f>'GS&lt;50 (1,000kWh)'!J61</f>
        <v>0.08</v>
      </c>
      <c r="K61" s="259">
        <f>G61</f>
        <v>1280</v>
      </c>
      <c r="L61" s="216">
        <f t="shared" si="10"/>
        <v>102.4</v>
      </c>
      <c r="M61" s="217"/>
      <c r="N61" s="219">
        <f t="shared" si="2"/>
        <v>0</v>
      </c>
      <c r="O61" s="220">
        <f t="shared" si="8"/>
        <v>0</v>
      </c>
      <c r="S61" s="261"/>
    </row>
    <row r="62" spans="2:19" s="210" customFormat="1" ht="15">
      <c r="B62" s="341" t="s">
        <v>38</v>
      </c>
      <c r="C62" s="211"/>
      <c r="D62" s="212" t="s">
        <v>63</v>
      </c>
      <c r="E62" s="213"/>
      <c r="F62" s="246">
        <f>'GS&lt;50 (1,000kWh)'!F62</f>
        <v>0.122</v>
      </c>
      <c r="G62" s="259">
        <f>0.18*$F$18</f>
        <v>360</v>
      </c>
      <c r="H62" s="216">
        <f t="shared" si="9"/>
        <v>43.92</v>
      </c>
      <c r="I62" s="217"/>
      <c r="J62" s="246">
        <f>'GS&lt;50 (1,000kWh)'!J62</f>
        <v>0.122</v>
      </c>
      <c r="K62" s="259">
        <f>G62</f>
        <v>360</v>
      </c>
      <c r="L62" s="216">
        <f t="shared" si="10"/>
        <v>43.92</v>
      </c>
      <c r="M62" s="217"/>
      <c r="N62" s="219">
        <f t="shared" si="2"/>
        <v>0</v>
      </c>
      <c r="O62" s="220">
        <f t="shared" si="8"/>
        <v>0</v>
      </c>
      <c r="S62" s="261"/>
    </row>
    <row r="63" spans="2:19" s="210" customFormat="1" ht="15">
      <c r="B63" s="330" t="s">
        <v>39</v>
      </c>
      <c r="C63" s="211"/>
      <c r="D63" s="212" t="s">
        <v>63</v>
      </c>
      <c r="E63" s="213"/>
      <c r="F63" s="246">
        <f>'GS&lt;50 (1,000kWh)'!F63</f>
        <v>0.161</v>
      </c>
      <c r="G63" s="259">
        <f>0.18*$F$18</f>
        <v>360</v>
      </c>
      <c r="H63" s="216">
        <f t="shared" si="9"/>
        <v>57.96</v>
      </c>
      <c r="I63" s="217"/>
      <c r="J63" s="246">
        <f>'GS&lt;50 (1,000kWh)'!J63</f>
        <v>0.161</v>
      </c>
      <c r="K63" s="259">
        <f>G63</f>
        <v>360</v>
      </c>
      <c r="L63" s="216">
        <f t="shared" si="10"/>
        <v>57.96</v>
      </c>
      <c r="M63" s="217"/>
      <c r="N63" s="219">
        <f t="shared" si="2"/>
        <v>0</v>
      </c>
      <c r="O63" s="220">
        <f t="shared" si="8"/>
        <v>0</v>
      </c>
      <c r="S63" s="261"/>
    </row>
    <row r="64" spans="2:15" s="347" customFormat="1" ht="15">
      <c r="B64" s="344" t="s">
        <v>40</v>
      </c>
      <c r="C64" s="344"/>
      <c r="D64" s="345" t="s">
        <v>63</v>
      </c>
      <c r="E64" s="346"/>
      <c r="F64" s="246">
        <f>'GS&lt;50 (1,000kWh)'!F64</f>
        <v>0.094</v>
      </c>
      <c r="G64" s="262">
        <f>IF(AND($T$1=1,F18&gt;=600),600,IF(AND($T$1=1,AND(F18&lt;600,F18&gt;=0)),F18,IF(AND($T$1=2,F18&gt;=1000),1000,IF(AND($T$1=2,AND(F18&lt;1000,F18&gt;=0)),F18))))</f>
        <v>600</v>
      </c>
      <c r="H64" s="216">
        <f>G64*F64</f>
        <v>56.4</v>
      </c>
      <c r="I64" s="263"/>
      <c r="J64" s="246">
        <f>'GS&lt;50 (1,000kWh)'!J64</f>
        <v>0.094</v>
      </c>
      <c r="K64" s="398">
        <f>G64</f>
        <v>600</v>
      </c>
      <c r="L64" s="216">
        <f>K64*J64</f>
        <v>56.4</v>
      </c>
      <c r="M64" s="263"/>
      <c r="N64" s="219">
        <f t="shared" si="2"/>
        <v>0</v>
      </c>
      <c r="O64" s="220">
        <f t="shared" si="8"/>
        <v>0</v>
      </c>
    </row>
    <row r="65" spans="2:15" s="347" customFormat="1" ht="15.75" thickBot="1">
      <c r="B65" s="344" t="s">
        <v>41</v>
      </c>
      <c r="C65" s="344"/>
      <c r="D65" s="345" t="s">
        <v>63</v>
      </c>
      <c r="E65" s="346"/>
      <c r="F65" s="246">
        <f>'GS&lt;50 (1,000kWh)'!F65</f>
        <v>0.11</v>
      </c>
      <c r="G65" s="262">
        <f>IF(AND($T$1=1,F18&gt;=600),F18-600,IF(AND($T$1=1,AND(F18&lt;600,F18&gt;=0)),0,IF(AND($T$1=2,F18&gt;=1000),F18-1000,IF(AND($T$1=2,AND(F18&lt;1000,F18&gt;=0)),0))))</f>
        <v>1400</v>
      </c>
      <c r="H65" s="216">
        <f>G65*F65</f>
        <v>154</v>
      </c>
      <c r="I65" s="263"/>
      <c r="J65" s="246">
        <f>'GS&lt;50 (1,000kWh)'!J65</f>
        <v>0.11</v>
      </c>
      <c r="K65" s="398">
        <f>G65</f>
        <v>1400</v>
      </c>
      <c r="L65" s="216">
        <f>K65*J65</f>
        <v>154</v>
      </c>
      <c r="M65" s="263"/>
      <c r="N65" s="219">
        <f t="shared" si="2"/>
        <v>0</v>
      </c>
      <c r="O65" s="220">
        <f t="shared" si="8"/>
        <v>0</v>
      </c>
    </row>
    <row r="66" spans="2:15" s="210" customFormat="1" ht="8.25" customHeight="1" thickBot="1">
      <c r="B66" s="348"/>
      <c r="C66" s="264"/>
      <c r="D66" s="265"/>
      <c r="E66" s="264"/>
      <c r="F66" s="266"/>
      <c r="G66" s="267"/>
      <c r="H66" s="268"/>
      <c r="I66" s="269"/>
      <c r="J66" s="266"/>
      <c r="K66" s="270"/>
      <c r="L66" s="268"/>
      <c r="M66" s="269"/>
      <c r="N66" s="271"/>
      <c r="O66" s="272"/>
    </row>
    <row r="67" spans="2:19" s="210" customFormat="1" ht="15">
      <c r="B67" s="349" t="s">
        <v>42</v>
      </c>
      <c r="C67" s="211"/>
      <c r="D67" s="211"/>
      <c r="E67" s="211"/>
      <c r="F67" s="273"/>
      <c r="G67" s="274"/>
      <c r="H67" s="275">
        <f>SUM(H56:H63,H55)</f>
        <v>302.49006</v>
      </c>
      <c r="I67" s="276"/>
      <c r="J67" s="277"/>
      <c r="K67" s="277"/>
      <c r="L67" s="278">
        <f>SUM(L56:L63,L55)</f>
        <v>328.65836</v>
      </c>
      <c r="M67" s="279"/>
      <c r="N67" s="384">
        <f>L67-H67</f>
        <v>26.168299999999988</v>
      </c>
      <c r="O67" s="350">
        <f>IF((H67)=0,"",(N67/H67))</f>
        <v>0.08650961952270426</v>
      </c>
      <c r="S67" s="261"/>
    </row>
    <row r="68" spans="2:19" s="210" customFormat="1" ht="15">
      <c r="B68" s="351" t="s">
        <v>43</v>
      </c>
      <c r="C68" s="211"/>
      <c r="D68" s="211"/>
      <c r="E68" s="211"/>
      <c r="F68" s="281">
        <v>0.13</v>
      </c>
      <c r="G68" s="282"/>
      <c r="H68" s="283">
        <f>H67*F68</f>
        <v>39.32370780000001</v>
      </c>
      <c r="I68" s="284"/>
      <c r="J68" s="285">
        <v>0.13</v>
      </c>
      <c r="K68" s="284"/>
      <c r="L68" s="286">
        <f>L67*J68</f>
        <v>42.7255868</v>
      </c>
      <c r="M68" s="287"/>
      <c r="N68" s="385">
        <f t="shared" si="2"/>
        <v>3.401878999999994</v>
      </c>
      <c r="O68" s="352">
        <f t="shared" si="8"/>
        <v>0.08650961952270414</v>
      </c>
      <c r="S68" s="261"/>
    </row>
    <row r="69" spans="2:19" s="210" customFormat="1" ht="15">
      <c r="B69" s="353" t="s">
        <v>126</v>
      </c>
      <c r="C69" s="211"/>
      <c r="D69" s="211"/>
      <c r="E69" s="211"/>
      <c r="F69" s="288"/>
      <c r="G69" s="282"/>
      <c r="H69" s="283">
        <f>H67+H68</f>
        <v>341.81376780000005</v>
      </c>
      <c r="I69" s="284"/>
      <c r="J69" s="284"/>
      <c r="K69" s="284"/>
      <c r="L69" s="286">
        <f>L67+L68</f>
        <v>371.3839468</v>
      </c>
      <c r="M69" s="287"/>
      <c r="N69" s="385">
        <f t="shared" si="2"/>
        <v>29.57017899999994</v>
      </c>
      <c r="O69" s="352">
        <f t="shared" si="8"/>
        <v>0.08650961952270413</v>
      </c>
      <c r="S69" s="261"/>
    </row>
    <row r="70" spans="2:15" s="210" customFormat="1" ht="15.75" customHeight="1">
      <c r="B70" s="593" t="s">
        <v>127</v>
      </c>
      <c r="C70" s="593"/>
      <c r="D70" s="593"/>
      <c r="E70" s="211"/>
      <c r="F70" s="288"/>
      <c r="G70" s="282"/>
      <c r="H70" s="386">
        <f>ROUND(-H69*10%,2)</f>
        <v>-34.18</v>
      </c>
      <c r="I70" s="284"/>
      <c r="J70" s="284"/>
      <c r="K70" s="284"/>
      <c r="L70" s="411">
        <v>0</v>
      </c>
      <c r="M70" s="287"/>
      <c r="N70" s="385">
        <f t="shared" si="2"/>
        <v>34.18</v>
      </c>
      <c r="O70" s="352">
        <f t="shared" si="8"/>
        <v>-1</v>
      </c>
    </row>
    <row r="71" spans="2:15" s="210" customFormat="1" ht="15.75" thickBot="1">
      <c r="B71" s="594" t="s">
        <v>46</v>
      </c>
      <c r="C71" s="594"/>
      <c r="D71" s="594"/>
      <c r="E71" s="291"/>
      <c r="F71" s="292"/>
      <c r="G71" s="293"/>
      <c r="H71" s="294">
        <f>H69+H70</f>
        <v>307.63376780000004</v>
      </c>
      <c r="I71" s="295"/>
      <c r="J71" s="295"/>
      <c r="K71" s="295"/>
      <c r="L71" s="296">
        <f>L69+L70</f>
        <v>371.3839468</v>
      </c>
      <c r="M71" s="297"/>
      <c r="N71" s="388">
        <f t="shared" si="2"/>
        <v>63.750178999999946</v>
      </c>
      <c r="O71" s="355">
        <f t="shared" si="8"/>
        <v>0.20722750774695656</v>
      </c>
    </row>
    <row r="72" spans="2:15" s="347" customFormat="1" ht="8.25" customHeight="1" thickBot="1">
      <c r="B72" s="356"/>
      <c r="C72" s="357"/>
      <c r="D72" s="358"/>
      <c r="E72" s="357"/>
      <c r="F72" s="266"/>
      <c r="G72" s="299"/>
      <c r="H72" s="268"/>
      <c r="I72" s="300"/>
      <c r="J72" s="266"/>
      <c r="K72" s="301"/>
      <c r="L72" s="268"/>
      <c r="M72" s="300"/>
      <c r="N72" s="302"/>
      <c r="O72" s="272"/>
    </row>
    <row r="73" spans="2:15" s="347" customFormat="1" ht="15">
      <c r="B73" s="359" t="s">
        <v>47</v>
      </c>
      <c r="C73" s="344"/>
      <c r="D73" s="344"/>
      <c r="E73" s="344"/>
      <c r="F73" s="303"/>
      <c r="G73" s="304"/>
      <c r="H73" s="305">
        <f>SUM(H64:H65,H55,H56:H60)</f>
        <v>308.61006</v>
      </c>
      <c r="I73" s="306"/>
      <c r="J73" s="307"/>
      <c r="K73" s="307"/>
      <c r="L73" s="308">
        <f>SUM(L64:L65,L55,L56:L60)</f>
        <v>334.77835999999996</v>
      </c>
      <c r="M73" s="309"/>
      <c r="N73" s="389">
        <f>L73-H73</f>
        <v>26.168299999999988</v>
      </c>
      <c r="O73" s="350">
        <f>IF((H73)=0,"",(N73/H73))</f>
        <v>0.08479406018066939</v>
      </c>
    </row>
    <row r="74" spans="2:15" s="347" customFormat="1" ht="15">
      <c r="B74" s="360" t="s">
        <v>43</v>
      </c>
      <c r="C74" s="344"/>
      <c r="D74" s="344"/>
      <c r="E74" s="344"/>
      <c r="F74" s="310">
        <v>0.13</v>
      </c>
      <c r="G74" s="304"/>
      <c r="H74" s="311">
        <f>H73*F74</f>
        <v>40.1193078</v>
      </c>
      <c r="I74" s="312"/>
      <c r="J74" s="310">
        <v>0.13</v>
      </c>
      <c r="K74" s="313"/>
      <c r="L74" s="314">
        <f>L73*J74</f>
        <v>43.521186799999995</v>
      </c>
      <c r="M74" s="315"/>
      <c r="N74" s="390">
        <f>L74-H74</f>
        <v>3.401878999999994</v>
      </c>
      <c r="O74" s="352">
        <f>IF((H74)=0,"",(N74/H74))</f>
        <v>0.08479406018066926</v>
      </c>
    </row>
    <row r="75" spans="2:15" s="347" customFormat="1" ht="15">
      <c r="B75" s="361" t="s">
        <v>126</v>
      </c>
      <c r="C75" s="344"/>
      <c r="D75" s="344"/>
      <c r="E75" s="344"/>
      <c r="F75" s="316"/>
      <c r="G75" s="315"/>
      <c r="H75" s="311">
        <f>H73+H74</f>
        <v>348.7293678</v>
      </c>
      <c r="I75" s="312"/>
      <c r="J75" s="312"/>
      <c r="K75" s="312"/>
      <c r="L75" s="314">
        <f>L73+L74</f>
        <v>378.2995468</v>
      </c>
      <c r="M75" s="315"/>
      <c r="N75" s="390">
        <f>L75-H75</f>
        <v>29.570178999999996</v>
      </c>
      <c r="O75" s="352">
        <f>IF((H75)=0,"",(N75/H75))</f>
        <v>0.08479406018066941</v>
      </c>
    </row>
    <row r="76" spans="2:15" s="347" customFormat="1" ht="15.75" customHeight="1">
      <c r="B76" s="595" t="s">
        <v>127</v>
      </c>
      <c r="C76" s="595"/>
      <c r="D76" s="595"/>
      <c r="E76" s="344"/>
      <c r="F76" s="316"/>
      <c r="G76" s="315"/>
      <c r="H76" s="317">
        <f>ROUND(-H75*10%,2)</f>
        <v>-34.87</v>
      </c>
      <c r="I76" s="312"/>
      <c r="J76" s="312"/>
      <c r="K76" s="312"/>
      <c r="L76" s="409">
        <v>0</v>
      </c>
      <c r="M76" s="315"/>
      <c r="N76" s="390">
        <f>L76-H76</f>
        <v>34.87</v>
      </c>
      <c r="O76" s="352">
        <f>IF((H76)=0,"",(N76/H76))</f>
        <v>-1</v>
      </c>
    </row>
    <row r="77" spans="2:15" s="347" customFormat="1" ht="15.75" thickBot="1">
      <c r="B77" s="586" t="s">
        <v>48</v>
      </c>
      <c r="C77" s="586"/>
      <c r="D77" s="586"/>
      <c r="E77" s="362"/>
      <c r="F77" s="319"/>
      <c r="G77" s="320"/>
      <c r="H77" s="321">
        <f>SUM(H75:H76)</f>
        <v>313.8593678</v>
      </c>
      <c r="I77" s="322"/>
      <c r="J77" s="322"/>
      <c r="K77" s="322"/>
      <c r="L77" s="323">
        <f>SUM(L75:L76)</f>
        <v>378.2995468</v>
      </c>
      <c r="M77" s="324"/>
      <c r="N77" s="391">
        <f>L77-H77</f>
        <v>64.440179</v>
      </c>
      <c r="O77" s="363">
        <f>IF((H77)=0,"",(N77/H77))</f>
        <v>0.2053154552999135</v>
      </c>
    </row>
    <row r="78" spans="2:15" s="347" customFormat="1" ht="8.25" customHeight="1" thickBot="1">
      <c r="B78" s="356"/>
      <c r="C78" s="357"/>
      <c r="D78" s="358"/>
      <c r="E78" s="357"/>
      <c r="F78" s="325"/>
      <c r="G78" s="364"/>
      <c r="H78" s="326"/>
      <c r="I78" s="365"/>
      <c r="J78" s="325"/>
      <c r="K78" s="299"/>
      <c r="L78" s="327"/>
      <c r="M78" s="300"/>
      <c r="N78" s="366"/>
      <c r="O78" s="272"/>
    </row>
    <row r="79" s="210" customFormat="1" ht="10.5" customHeight="1">
      <c r="L79" s="261"/>
    </row>
    <row r="80" spans="2:10" s="210" customFormat="1" ht="15">
      <c r="B80" s="367" t="s">
        <v>49</v>
      </c>
      <c r="F80" s="328">
        <v>0.0495</v>
      </c>
      <c r="J80" s="328">
        <v>0.0495</v>
      </c>
    </row>
    <row r="81" s="210" customFormat="1" ht="10.5" customHeight="1"/>
    <row r="82" spans="2:15" s="210" customFormat="1" ht="15">
      <c r="B82" s="423" t="s">
        <v>144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="210" customFormat="1" ht="10.5" customHeight="1"/>
    <row r="84" s="210" customFormat="1" ht="17.25">
      <c r="A84" s="368" t="s">
        <v>128</v>
      </c>
    </row>
    <row r="85" s="210" customFormat="1" ht="10.5" customHeight="1"/>
    <row r="86" s="210" customFormat="1" ht="15">
      <c r="A86" s="210" t="s">
        <v>51</v>
      </c>
    </row>
    <row r="87" s="210" customFormat="1" ht="15">
      <c r="A87" s="210" t="s">
        <v>52</v>
      </c>
    </row>
    <row r="88" s="210" customFormat="1" ht="15"/>
    <row r="89" s="210" customFormat="1" ht="15">
      <c r="A89" s="330" t="s">
        <v>53</v>
      </c>
    </row>
    <row r="90" s="210" customFormat="1" ht="15">
      <c r="A90" s="330" t="s">
        <v>54</v>
      </c>
    </row>
    <row r="91" s="210" customFormat="1" ht="15"/>
    <row r="92" s="210" customFormat="1" ht="15">
      <c r="A92" s="210" t="s">
        <v>55</v>
      </c>
    </row>
    <row r="93" s="210" customFormat="1" ht="15">
      <c r="A93" s="210" t="s">
        <v>56</v>
      </c>
    </row>
    <row r="94" s="210" customFormat="1" ht="15">
      <c r="A94" s="210" t="s">
        <v>57</v>
      </c>
    </row>
    <row r="95" s="210" customFormat="1" ht="15">
      <c r="A95" s="210" t="s">
        <v>58</v>
      </c>
    </row>
    <row r="96" s="210" customFormat="1" ht="15">
      <c r="A96" s="210" t="s">
        <v>59</v>
      </c>
    </row>
    <row r="97" s="210" customFormat="1" ht="15"/>
    <row r="98" spans="1:2" s="210" customFormat="1" ht="15">
      <c r="A98" s="329"/>
      <c r="B98" s="210" t="s">
        <v>60</v>
      </c>
    </row>
    <row r="99" s="210" customFormat="1" ht="15"/>
    <row r="100" s="210" customFormat="1" ht="15"/>
    <row r="101" s="210" customFormat="1" ht="15"/>
    <row r="102" s="210" customFormat="1" ht="15"/>
    <row r="103" s="210" customFormat="1" ht="15"/>
    <row r="104" s="210" customFormat="1" ht="15"/>
    <row r="105" s="210" customFormat="1" ht="15"/>
    <row r="106" s="210" customFormat="1" ht="15"/>
    <row r="107" s="210" customFormat="1" ht="15"/>
    <row r="108" s="210" customFormat="1" ht="15"/>
    <row r="109" s="210" customFormat="1" ht="15"/>
    <row r="110" s="210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'GS&lt;50 (2,000kWh)'!#REF!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53:E54 E42:E51 E66 E23:E40 E56:E63">
      <formula1>'GS&lt;50 (2,000kWh)'!#REF!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8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58.281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7" width="8.00390625" style="8" bestFit="1" customWidth="1"/>
    <col min="8" max="8" width="9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10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10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85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.7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68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5000</v>
      </c>
      <c r="G18" s="14" t="s">
        <v>9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412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412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392">
        <f>'GS&lt;50 (1,000kWh)'!F23</f>
        <v>17.36</v>
      </c>
      <c r="G23" s="215">
        <v>1</v>
      </c>
      <c r="H23" s="216">
        <f>G23*F23</f>
        <v>17.36</v>
      </c>
      <c r="I23" s="217"/>
      <c r="J23" s="394">
        <f>'GS&lt;50 (1,000kWh)'!J23</f>
        <v>17.36</v>
      </c>
      <c r="K23" s="218">
        <v>1</v>
      </c>
      <c r="L23" s="216">
        <f>K23*J23</f>
        <v>17.36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30">
      <c r="B24" s="380" t="s">
        <v>64</v>
      </c>
      <c r="C24" s="211"/>
      <c r="D24" s="224" t="s">
        <v>62</v>
      </c>
      <c r="E24" s="213"/>
      <c r="F24" s="393">
        <f>'GS&lt;50 (1,000kWh)'!F24</f>
        <v>4.33</v>
      </c>
      <c r="G24" s="215">
        <v>1</v>
      </c>
      <c r="H24" s="216">
        <f>G24*F24</f>
        <v>4.33</v>
      </c>
      <c r="I24" s="217"/>
      <c r="J24" s="394">
        <f>'GS&lt;50 (1,000kWh)'!J24</f>
        <v>4.33</v>
      </c>
      <c r="K24" s="218">
        <v>1</v>
      </c>
      <c r="L24" s="216">
        <f>K24*J24</f>
        <v>4.33</v>
      </c>
      <c r="M24" s="217"/>
      <c r="N24" s="219">
        <f>L24-H24</f>
        <v>0</v>
      </c>
      <c r="O24" s="220">
        <f>IF((H24)=0,"",(N24/H24))</f>
        <v>0</v>
      </c>
    </row>
    <row r="25" spans="2:15" s="210" customFormat="1" ht="36.75" customHeight="1" hidden="1">
      <c r="B25" s="223" t="s">
        <v>109</v>
      </c>
      <c r="C25" s="211"/>
      <c r="D25" s="224" t="s">
        <v>62</v>
      </c>
      <c r="E25" s="213"/>
      <c r="F25" s="394">
        <v>0</v>
      </c>
      <c r="G25" s="215">
        <v>1</v>
      </c>
      <c r="H25" s="216">
        <f>G25*F25</f>
        <v>0</v>
      </c>
      <c r="I25" s="217"/>
      <c r="J25" s="424">
        <f>'GS&lt;50 (1,000kWh)'!J25</f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380"/>
      <c r="C26" s="211"/>
      <c r="D26" s="224" t="s">
        <v>62</v>
      </c>
      <c r="E26" s="227"/>
      <c r="F26" s="394">
        <f>'GS&lt;50 (1,000kWh)'!F26</f>
        <v>0</v>
      </c>
      <c r="G26" s="215">
        <v>1</v>
      </c>
      <c r="H26" s="216">
        <f aca="true" t="shared" si="0" ref="H26:H40">G26*F26</f>
        <v>0</v>
      </c>
      <c r="I26" s="217"/>
      <c r="J26" s="472">
        <f>'GS&lt;50 (1,000kWh)'!J26</f>
        <v>0</v>
      </c>
      <c r="K26" s="218">
        <v>1</v>
      </c>
      <c r="L26" s="216">
        <f aca="true" t="shared" si="1" ref="L26:L40">K26*J26</f>
        <v>0</v>
      </c>
      <c r="M26" s="217"/>
      <c r="N26" s="219">
        <f aca="true" t="shared" si="2" ref="N26:N71">L26-H26</f>
        <v>0</v>
      </c>
      <c r="O26" s="220">
        <f aca="true" t="shared" si="3" ref="O26:O50">IF((H26)=0,"",(N26/H26))</f>
      </c>
    </row>
    <row r="27" spans="2:15" s="210" customFormat="1" ht="15" hidden="1">
      <c r="B27" s="226" t="s">
        <v>65</v>
      </c>
      <c r="C27" s="211"/>
      <c r="D27" s="212" t="s">
        <v>62</v>
      </c>
      <c r="E27" s="213"/>
      <c r="F27" s="246">
        <f>'GS&lt;50 (1,000kWh)'!F27</f>
        <v>0</v>
      </c>
      <c r="G27" s="215">
        <v>1</v>
      </c>
      <c r="H27" s="216">
        <f t="shared" si="0"/>
        <v>0</v>
      </c>
      <c r="I27" s="217"/>
      <c r="J27" s="428">
        <v>0</v>
      </c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 hidden="1">
      <c r="B28" s="338" t="s">
        <v>66</v>
      </c>
      <c r="C28" s="211"/>
      <c r="D28" s="212" t="s">
        <v>63</v>
      </c>
      <c r="E28" s="213"/>
      <c r="F28" s="246">
        <v>0</v>
      </c>
      <c r="G28" s="215">
        <f aca="true" t="shared" si="4" ref="G28:G33">$F$18</f>
        <v>5000</v>
      </c>
      <c r="H28" s="216">
        <f t="shared" si="0"/>
        <v>0</v>
      </c>
      <c r="I28" s="217"/>
      <c r="J28" s="428"/>
      <c r="K28" s="215">
        <f>$F$18</f>
        <v>5000</v>
      </c>
      <c r="L28" s="216">
        <f t="shared" si="1"/>
        <v>0</v>
      </c>
      <c r="M28" s="217"/>
      <c r="N28" s="219">
        <f t="shared" si="2"/>
        <v>0</v>
      </c>
      <c r="O28" s="220">
        <f t="shared" si="3"/>
      </c>
    </row>
    <row r="29" spans="2:15" s="210" customFormat="1" ht="15">
      <c r="B29" s="211" t="s">
        <v>108</v>
      </c>
      <c r="C29" s="211"/>
      <c r="D29" s="212" t="s">
        <v>63</v>
      </c>
      <c r="E29" s="213"/>
      <c r="F29" s="395">
        <f>'GS&lt;50 (1,000kWh)'!F29</f>
        <v>0</v>
      </c>
      <c r="G29" s="215">
        <f t="shared" si="4"/>
        <v>5000</v>
      </c>
      <c r="H29" s="216">
        <f t="shared" si="0"/>
        <v>0</v>
      </c>
      <c r="I29" s="217"/>
      <c r="J29" s="424">
        <f>'GS&lt;50 (1,000kWh)'!J29</f>
        <v>0.0021</v>
      </c>
      <c r="K29" s="215">
        <f>$F$18</f>
        <v>5000</v>
      </c>
      <c r="L29" s="216">
        <f t="shared" si="1"/>
        <v>10.5</v>
      </c>
      <c r="M29" s="217"/>
      <c r="N29" s="219">
        <f t="shared" si="2"/>
        <v>10.5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46">
        <f>'GS&lt;50 (1,000kWh)'!F30</f>
        <v>0</v>
      </c>
      <c r="G30" s="215">
        <f t="shared" si="4"/>
        <v>5000</v>
      </c>
      <c r="H30" s="216">
        <f t="shared" si="0"/>
        <v>0</v>
      </c>
      <c r="I30" s="217"/>
      <c r="J30" s="424">
        <f>'GS&lt;50 (1,000kWh)'!J30</f>
        <v>0</v>
      </c>
      <c r="K30" s="215">
        <f>$F$18</f>
        <v>5000</v>
      </c>
      <c r="L30" s="216">
        <f>K30*J30</f>
        <v>0</v>
      </c>
      <c r="M30" s="217"/>
      <c r="N30" s="219">
        <f>L30-H30</f>
        <v>0</v>
      </c>
      <c r="O30" s="220">
        <f>IF((H30)=0,"",(N30/H30))</f>
      </c>
    </row>
    <row r="31" spans="2:15" s="210" customFormat="1" ht="15">
      <c r="B31" s="211" t="s">
        <v>21</v>
      </c>
      <c r="C31" s="211"/>
      <c r="D31" s="212" t="s">
        <v>63</v>
      </c>
      <c r="E31" s="213"/>
      <c r="F31" s="246">
        <f>'GS&lt;50 (1,000kWh)'!F31</f>
        <v>0.018</v>
      </c>
      <c r="G31" s="215">
        <f t="shared" si="4"/>
        <v>5000</v>
      </c>
      <c r="H31" s="216">
        <f t="shared" si="0"/>
        <v>90</v>
      </c>
      <c r="I31" s="217"/>
      <c r="J31" s="245">
        <f>'GS&lt;50 (1,000kWh)'!J31</f>
        <v>0.018</v>
      </c>
      <c r="K31" s="215">
        <f>$F$18</f>
        <v>5000</v>
      </c>
      <c r="L31" s="216">
        <f t="shared" si="1"/>
        <v>90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28"/>
      <c r="G32" s="215">
        <f t="shared" si="4"/>
        <v>5000</v>
      </c>
      <c r="H32" s="216">
        <f t="shared" si="0"/>
        <v>0</v>
      </c>
      <c r="I32" s="217"/>
      <c r="J32" s="225"/>
      <c r="K32" s="215">
        <f aca="true" t="shared" si="5" ref="K32:K40">$F$18</f>
        <v>5000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5" hidden="1">
      <c r="B33" s="211" t="s">
        <v>108</v>
      </c>
      <c r="C33" s="211"/>
      <c r="D33" s="212" t="s">
        <v>63</v>
      </c>
      <c r="E33" s="213"/>
      <c r="F33" s="228">
        <v>0</v>
      </c>
      <c r="G33" s="215">
        <f t="shared" si="4"/>
        <v>5000</v>
      </c>
      <c r="H33" s="216">
        <f t="shared" si="0"/>
        <v>0</v>
      </c>
      <c r="I33" s="217"/>
      <c r="J33" s="225">
        <f>'GS&lt;50 (1,000kWh)'!$J33</f>
        <v>0</v>
      </c>
      <c r="K33" s="215">
        <f t="shared" si="5"/>
        <v>5000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6" ref="G34:G40">$F$18</f>
        <v>5000</v>
      </c>
      <c r="H34" s="216">
        <f t="shared" si="0"/>
        <v>0</v>
      </c>
      <c r="I34" s="217"/>
      <c r="J34" s="225"/>
      <c r="K34" s="215">
        <f t="shared" si="5"/>
        <v>5000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6"/>
        <v>5000</v>
      </c>
      <c r="H35" s="216">
        <f t="shared" si="0"/>
        <v>0</v>
      </c>
      <c r="I35" s="217"/>
      <c r="J35" s="225"/>
      <c r="K35" s="215">
        <f t="shared" si="5"/>
        <v>5000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6"/>
        <v>5000</v>
      </c>
      <c r="H36" s="216">
        <f t="shared" si="0"/>
        <v>0</v>
      </c>
      <c r="I36" s="217"/>
      <c r="J36" s="225"/>
      <c r="K36" s="215">
        <f t="shared" si="5"/>
        <v>5000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6"/>
        <v>5000</v>
      </c>
      <c r="H37" s="216">
        <f t="shared" si="0"/>
        <v>0</v>
      </c>
      <c r="I37" s="217"/>
      <c r="J37" s="225"/>
      <c r="K37" s="215">
        <f t="shared" si="5"/>
        <v>5000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6"/>
        <v>5000</v>
      </c>
      <c r="H38" s="216">
        <f t="shared" si="0"/>
        <v>0</v>
      </c>
      <c r="I38" s="217"/>
      <c r="J38" s="225"/>
      <c r="K38" s="215">
        <f t="shared" si="5"/>
        <v>5000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6"/>
        <v>5000</v>
      </c>
      <c r="H39" s="216">
        <f t="shared" si="0"/>
        <v>0</v>
      </c>
      <c r="I39" s="217"/>
      <c r="J39" s="225"/>
      <c r="K39" s="215">
        <f t="shared" si="5"/>
        <v>5000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6"/>
        <v>5000</v>
      </c>
      <c r="H40" s="216">
        <f t="shared" si="0"/>
        <v>0</v>
      </c>
      <c r="I40" s="217"/>
      <c r="J40" s="225"/>
      <c r="K40" s="215">
        <f t="shared" si="5"/>
        <v>5000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111.69</v>
      </c>
      <c r="I41" s="237"/>
      <c r="J41" s="238"/>
      <c r="K41" s="239"/>
      <c r="L41" s="236">
        <f>SUM(L23:L40)</f>
        <v>122.19</v>
      </c>
      <c r="M41" s="237"/>
      <c r="N41" s="240">
        <f t="shared" si="2"/>
        <v>10.5</v>
      </c>
      <c r="O41" s="340">
        <f t="shared" si="3"/>
        <v>0.094010206822455</v>
      </c>
    </row>
    <row r="42" spans="2:15" s="210" customFormat="1" ht="15" hidden="1">
      <c r="B42" s="226"/>
      <c r="C42" s="211"/>
      <c r="D42" s="224" t="s">
        <v>62</v>
      </c>
      <c r="E42" s="213"/>
      <c r="F42" s="228"/>
      <c r="G42" s="215">
        <v>1</v>
      </c>
      <c r="H42" s="216">
        <f>G42*F42</f>
        <v>0</v>
      </c>
      <c r="I42" s="217"/>
      <c r="J42" s="222"/>
      <c r="K42" s="218">
        <v>1</v>
      </c>
      <c r="L42" s="216">
        <f>K42*J42</f>
        <v>0</v>
      </c>
      <c r="M42" s="217"/>
      <c r="N42" s="230">
        <f>L42-H42</f>
        <v>0</v>
      </c>
      <c r="O42" s="220">
        <f>IF((H42)=0,"",(N42/H42))</f>
      </c>
    </row>
    <row r="43" spans="2:15" s="210" customFormat="1" ht="15">
      <c r="B43" s="381" t="s">
        <v>25</v>
      </c>
      <c r="C43" s="211"/>
      <c r="D43" s="224" t="s">
        <v>63</v>
      </c>
      <c r="E43" s="227"/>
      <c r="F43" s="397">
        <f>'GS&lt;50 (1,000kWh)'!F43</f>
        <v>-0.0071</v>
      </c>
      <c r="G43" s="215">
        <f aca="true" t="shared" si="7" ref="G43:G49">$F$18</f>
        <v>5000</v>
      </c>
      <c r="H43" s="216">
        <f aca="true" t="shared" si="8" ref="H43:H51">G43*F43</f>
        <v>-35.5</v>
      </c>
      <c r="I43" s="217"/>
      <c r="J43" s="397">
        <f>'GS&lt;50 (1,000kWh)'!J43</f>
        <v>0.0021</v>
      </c>
      <c r="K43" s="215">
        <f aca="true" t="shared" si="9" ref="K43:K49">$F$18</f>
        <v>5000</v>
      </c>
      <c r="L43" s="216">
        <f aca="true" t="shared" si="10" ref="L43:L51">K43*J43</f>
        <v>10.5</v>
      </c>
      <c r="M43" s="217"/>
      <c r="N43" s="219">
        <f t="shared" si="2"/>
        <v>46</v>
      </c>
      <c r="O43" s="220">
        <f t="shared" si="3"/>
        <v>-1.295774647887324</v>
      </c>
    </row>
    <row r="44" spans="2:15" s="210" customFormat="1" ht="15" hidden="1">
      <c r="B44" s="381"/>
      <c r="C44" s="211"/>
      <c r="D44" s="212" t="s">
        <v>63</v>
      </c>
      <c r="E44" s="213"/>
      <c r="F44" s="246"/>
      <c r="G44" s="215">
        <f t="shared" si="7"/>
        <v>5000</v>
      </c>
      <c r="H44" s="216">
        <f t="shared" si="8"/>
        <v>0</v>
      </c>
      <c r="I44" s="243"/>
      <c r="J44" s="245"/>
      <c r="K44" s="215">
        <f t="shared" si="9"/>
        <v>5000</v>
      </c>
      <c r="L44" s="216">
        <f t="shared" si="10"/>
        <v>0</v>
      </c>
      <c r="M44" s="244"/>
      <c r="N44" s="219">
        <f t="shared" si="2"/>
        <v>0</v>
      </c>
      <c r="O44" s="220">
        <f t="shared" si="3"/>
      </c>
    </row>
    <row r="45" spans="2:15" s="210" customFormat="1" ht="15" hidden="1">
      <c r="B45" s="381"/>
      <c r="C45" s="211"/>
      <c r="D45" s="212" t="s">
        <v>63</v>
      </c>
      <c r="E45" s="213"/>
      <c r="F45" s="246"/>
      <c r="G45" s="215">
        <f t="shared" si="7"/>
        <v>5000</v>
      </c>
      <c r="H45" s="216">
        <f t="shared" si="8"/>
        <v>0</v>
      </c>
      <c r="I45" s="243"/>
      <c r="J45" s="245"/>
      <c r="K45" s="215">
        <f t="shared" si="9"/>
        <v>5000</v>
      </c>
      <c r="L45" s="216">
        <f t="shared" si="10"/>
        <v>0</v>
      </c>
      <c r="M45" s="244"/>
      <c r="N45" s="219">
        <f t="shared" si="2"/>
        <v>0</v>
      </c>
      <c r="O45" s="220">
        <f t="shared" si="3"/>
      </c>
    </row>
    <row r="46" spans="2:15" s="210" customFormat="1" ht="15" hidden="1">
      <c r="B46" s="380"/>
      <c r="C46" s="211"/>
      <c r="D46" s="224" t="s">
        <v>62</v>
      </c>
      <c r="E46" s="213"/>
      <c r="F46" s="246"/>
      <c r="G46" s="215">
        <f t="shared" si="7"/>
        <v>5000</v>
      </c>
      <c r="H46" s="216">
        <f t="shared" si="8"/>
        <v>0</v>
      </c>
      <c r="I46" s="243"/>
      <c r="J46" s="245"/>
      <c r="K46" s="215">
        <f t="shared" si="9"/>
        <v>5000</v>
      </c>
      <c r="L46" s="216">
        <f t="shared" si="10"/>
        <v>0</v>
      </c>
      <c r="M46" s="244"/>
      <c r="N46" s="219">
        <f t="shared" si="2"/>
        <v>0</v>
      </c>
      <c r="O46" s="220">
        <f t="shared" si="3"/>
      </c>
    </row>
    <row r="47" spans="2:15" s="210" customFormat="1" ht="15" customHeight="1" hidden="1">
      <c r="B47" s="381"/>
      <c r="C47" s="211"/>
      <c r="D47" s="212" t="s">
        <v>63</v>
      </c>
      <c r="E47" s="213"/>
      <c r="F47" s="246">
        <v>0</v>
      </c>
      <c r="G47" s="215">
        <f t="shared" si="7"/>
        <v>5000</v>
      </c>
      <c r="H47" s="216">
        <f t="shared" si="8"/>
        <v>0</v>
      </c>
      <c r="I47" s="217"/>
      <c r="J47" s="394"/>
      <c r="K47" s="215">
        <f t="shared" si="9"/>
        <v>5000</v>
      </c>
      <c r="L47" s="216">
        <f t="shared" si="10"/>
        <v>0</v>
      </c>
      <c r="M47" s="217"/>
      <c r="N47" s="219">
        <f>L47-H47</f>
        <v>0</v>
      </c>
      <c r="O47" s="220">
        <f>IF((H47)=0,"",(N47/H47))</f>
      </c>
    </row>
    <row r="48" spans="2:15" s="210" customFormat="1" ht="15" hidden="1">
      <c r="B48" s="211"/>
      <c r="C48" s="211"/>
      <c r="D48" s="212" t="s">
        <v>63</v>
      </c>
      <c r="E48" s="213"/>
      <c r="F48" s="397">
        <f>'GS&lt;50 (1,000kWh)'!F48</f>
        <v>0</v>
      </c>
      <c r="G48" s="215">
        <f t="shared" si="7"/>
        <v>5000</v>
      </c>
      <c r="H48" s="216">
        <f t="shared" si="8"/>
        <v>0</v>
      </c>
      <c r="I48" s="217"/>
      <c r="J48" s="245">
        <f>'GS&lt;50 (1,000kWh)'!$J48</f>
        <v>0</v>
      </c>
      <c r="K48" s="215">
        <f t="shared" si="9"/>
        <v>5000</v>
      </c>
      <c r="L48" s="216">
        <f t="shared" si="10"/>
        <v>0</v>
      </c>
      <c r="M48" s="217"/>
      <c r="N48" s="219">
        <f>L48-H48</f>
        <v>0</v>
      </c>
      <c r="O48" s="220">
        <f>IF((H48)=0,"",(N48/H48))</f>
      </c>
    </row>
    <row r="49" spans="2:15" s="210" customFormat="1" ht="15">
      <c r="B49" s="341" t="s">
        <v>26</v>
      </c>
      <c r="C49" s="211"/>
      <c r="D49" s="212" t="s">
        <v>63</v>
      </c>
      <c r="E49" s="213"/>
      <c r="F49" s="246">
        <f>'GS&lt;50 (1,000kWh)'!F49</f>
        <v>0.0024</v>
      </c>
      <c r="G49" s="215">
        <f t="shared" si="7"/>
        <v>5000</v>
      </c>
      <c r="H49" s="216">
        <f t="shared" si="8"/>
        <v>11.999999999999998</v>
      </c>
      <c r="I49" s="217"/>
      <c r="J49" s="245">
        <f>'GS&lt;50 (1,000kWh)'!J49</f>
        <v>0.0024</v>
      </c>
      <c r="K49" s="215">
        <f t="shared" si="9"/>
        <v>5000</v>
      </c>
      <c r="L49" s="216">
        <f t="shared" si="10"/>
        <v>11.999999999999998</v>
      </c>
      <c r="M49" s="217"/>
      <c r="N49" s="219">
        <f t="shared" si="2"/>
        <v>0</v>
      </c>
      <c r="O49" s="220">
        <f t="shared" si="3"/>
        <v>0</v>
      </c>
    </row>
    <row r="50" spans="2:15" s="241" customFormat="1" ht="15">
      <c r="B50" s="342" t="s">
        <v>27</v>
      </c>
      <c r="C50" s="213"/>
      <c r="D50" s="212" t="s">
        <v>63</v>
      </c>
      <c r="E50" s="213"/>
      <c r="F50" s="246">
        <f>IF(ISBLANK(D16)=TRUE,0,IF(D16="TOU",0.64*$F$61+0.18*$F$62+0.18*$F$63,IF(AND(D16="non-TOU",G65&gt;0),F65,F64)))</f>
        <v>0.10214000000000001</v>
      </c>
      <c r="G50" s="215">
        <f>$F$18*(1+$F$80)-$F$18</f>
        <v>247.5000000000009</v>
      </c>
      <c r="H50" s="247">
        <f t="shared" si="8"/>
        <v>25.279650000000096</v>
      </c>
      <c r="I50" s="227"/>
      <c r="J50" s="245">
        <f>0.64*$F$61+0.18*$F$62+0.18*$F$63</f>
        <v>0.10214000000000001</v>
      </c>
      <c r="K50" s="215">
        <f>$F$18*(1+$J$80)-$F$18</f>
        <v>247.5000000000009</v>
      </c>
      <c r="L50" s="247">
        <f t="shared" si="10"/>
        <v>25.279650000000096</v>
      </c>
      <c r="M50" s="227"/>
      <c r="N50" s="219">
        <f t="shared" si="2"/>
        <v>0</v>
      </c>
      <c r="O50" s="248">
        <f t="shared" si="3"/>
        <v>0</v>
      </c>
    </row>
    <row r="51" spans="2:15" s="210" customFormat="1" ht="15">
      <c r="B51" s="341" t="s">
        <v>28</v>
      </c>
      <c r="C51" s="211"/>
      <c r="D51" s="212" t="s">
        <v>62</v>
      </c>
      <c r="E51" s="213"/>
      <c r="F51" s="394">
        <f>'GS&lt;50 (1,000kWh)'!F51</f>
        <v>0.79</v>
      </c>
      <c r="G51" s="215">
        <v>1</v>
      </c>
      <c r="H51" s="216">
        <f t="shared" si="8"/>
        <v>0.79</v>
      </c>
      <c r="I51" s="217"/>
      <c r="J51" s="249">
        <f>'GS&lt;50 (1,000kWh)'!J51</f>
        <v>0.79</v>
      </c>
      <c r="K51" s="215">
        <v>1</v>
      </c>
      <c r="L51" s="216">
        <f t="shared" si="10"/>
        <v>0.79</v>
      </c>
      <c r="M51" s="217"/>
      <c r="N51" s="219">
        <f t="shared" si="2"/>
        <v>0</v>
      </c>
      <c r="O51" s="220"/>
    </row>
    <row r="52" spans="2:15" s="210" customFormat="1" ht="15">
      <c r="B52" s="413" t="s">
        <v>29</v>
      </c>
      <c r="C52" s="250"/>
      <c r="D52" s="250"/>
      <c r="E52" s="250"/>
      <c r="F52" s="43"/>
      <c r="G52" s="251"/>
      <c r="H52" s="252">
        <f>SUM(H42:H51)+H41</f>
        <v>114.2596500000001</v>
      </c>
      <c r="I52" s="237"/>
      <c r="J52" s="251"/>
      <c r="K52" s="253"/>
      <c r="L52" s="252">
        <f>SUM(L42:L51)+L41</f>
        <v>170.75965000000008</v>
      </c>
      <c r="M52" s="237"/>
      <c r="N52" s="240">
        <f t="shared" si="2"/>
        <v>56.499999999999986</v>
      </c>
      <c r="O52" s="340">
        <f aca="true" t="shared" si="11" ref="O52:O71">IF((H52)=0,"",(N52/H52))</f>
        <v>0.4944877741179843</v>
      </c>
    </row>
    <row r="53" spans="2:15" s="210" customFormat="1" ht="15">
      <c r="B53" s="227" t="s">
        <v>30</v>
      </c>
      <c r="C53" s="217"/>
      <c r="D53" s="224" t="s">
        <v>63</v>
      </c>
      <c r="E53" s="227"/>
      <c r="F53" s="245">
        <f>'GS&lt;50 (1,000kWh)'!F53</f>
        <v>0.0044</v>
      </c>
      <c r="G53" s="468">
        <f>F18*(1+F80)</f>
        <v>5247.500000000001</v>
      </c>
      <c r="H53" s="216">
        <f>G53*F53</f>
        <v>23.089000000000006</v>
      </c>
      <c r="I53" s="217"/>
      <c r="J53" s="245">
        <f>'GS&lt;50 (1,000kWh)'!J53</f>
        <v>0.0048</v>
      </c>
      <c r="K53" s="469">
        <f>F18*(1+J80)</f>
        <v>5247.500000000001</v>
      </c>
      <c r="L53" s="216">
        <f>K53*J53</f>
        <v>25.188000000000002</v>
      </c>
      <c r="M53" s="217"/>
      <c r="N53" s="219">
        <f t="shared" si="2"/>
        <v>2.0989999999999966</v>
      </c>
      <c r="O53" s="220">
        <f t="shared" si="11"/>
        <v>0.09090909090909075</v>
      </c>
    </row>
    <row r="54" spans="2:15" s="210" customFormat="1" ht="15">
      <c r="B54" s="414" t="s">
        <v>31</v>
      </c>
      <c r="C54" s="217"/>
      <c r="D54" s="224" t="s">
        <v>63</v>
      </c>
      <c r="E54" s="227"/>
      <c r="F54" s="245">
        <f>'GS&lt;50 (1,000kWh)'!F54</f>
        <v>0.0017</v>
      </c>
      <c r="G54" s="468">
        <f>G53</f>
        <v>5247.500000000001</v>
      </c>
      <c r="H54" s="216">
        <f>G54*F54</f>
        <v>8.920750000000002</v>
      </c>
      <c r="I54" s="217"/>
      <c r="J54" s="245">
        <f>'GS&lt;50 (1,000kWh)'!J54</f>
        <v>0.0027</v>
      </c>
      <c r="K54" s="469">
        <f>K53</f>
        <v>5247.500000000001</v>
      </c>
      <c r="L54" s="216">
        <f>K54*J54</f>
        <v>14.168250000000004</v>
      </c>
      <c r="M54" s="217"/>
      <c r="N54" s="219">
        <f t="shared" si="2"/>
        <v>5.247500000000002</v>
      </c>
      <c r="O54" s="220">
        <f t="shared" si="11"/>
        <v>0.5882352941176472</v>
      </c>
    </row>
    <row r="55" spans="2:15" s="210" customFormat="1" ht="15">
      <c r="B55" s="413" t="s">
        <v>32</v>
      </c>
      <c r="C55" s="232"/>
      <c r="D55" s="232"/>
      <c r="E55" s="232"/>
      <c r="F55" s="44"/>
      <c r="G55" s="109"/>
      <c r="H55" s="252">
        <f>SUM(H52:H54)</f>
        <v>146.2694000000001</v>
      </c>
      <c r="I55" s="256"/>
      <c r="J55" s="257"/>
      <c r="K55" s="147"/>
      <c r="L55" s="252">
        <f>SUM(L52:L54)</f>
        <v>210.11590000000007</v>
      </c>
      <c r="M55" s="256"/>
      <c r="N55" s="240">
        <f t="shared" si="2"/>
        <v>63.84649999999996</v>
      </c>
      <c r="O55" s="340">
        <f t="shared" si="11"/>
        <v>0.4364993635032339</v>
      </c>
    </row>
    <row r="56" spans="2:15" s="210" customFormat="1" ht="15">
      <c r="B56" s="380" t="s">
        <v>33</v>
      </c>
      <c r="C56" s="211"/>
      <c r="D56" s="212" t="s">
        <v>63</v>
      </c>
      <c r="E56" s="213"/>
      <c r="F56" s="246">
        <f>'GS&lt;50 (1,000kWh)'!F56</f>
        <v>0.0044</v>
      </c>
      <c r="G56" s="468">
        <f>G54</f>
        <v>5247.500000000001</v>
      </c>
      <c r="H56" s="216">
        <f aca="true" t="shared" si="12" ref="H56:H63">G56*F56</f>
        <v>23.089000000000006</v>
      </c>
      <c r="I56" s="217"/>
      <c r="J56" s="424">
        <f>'GS&lt;50 (1,000kWh)'!J56</f>
        <v>0.0036</v>
      </c>
      <c r="K56" s="469">
        <f>K54</f>
        <v>5247.500000000001</v>
      </c>
      <c r="L56" s="216">
        <f aca="true" t="shared" si="13" ref="L56:L63">K56*J56</f>
        <v>18.891000000000002</v>
      </c>
      <c r="M56" s="217"/>
      <c r="N56" s="219">
        <f t="shared" si="2"/>
        <v>-4.198000000000004</v>
      </c>
      <c r="O56" s="220">
        <f t="shared" si="11"/>
        <v>-0.18181818181818193</v>
      </c>
    </row>
    <row r="57" spans="2:15" s="210" customFormat="1" ht="15">
      <c r="B57" s="380" t="s">
        <v>34</v>
      </c>
      <c r="C57" s="211"/>
      <c r="D57" s="212" t="s">
        <v>63</v>
      </c>
      <c r="E57" s="213"/>
      <c r="F57" s="246">
        <f>'GS&lt;50 (1,000kWh)'!F57</f>
        <v>0.0013</v>
      </c>
      <c r="G57" s="468">
        <f>G54</f>
        <v>5247.500000000001</v>
      </c>
      <c r="H57" s="216">
        <f t="shared" si="12"/>
        <v>6.821750000000001</v>
      </c>
      <c r="I57" s="217"/>
      <c r="J57" s="245">
        <f>'GS&lt;50 (1,000kWh)'!J57</f>
        <v>0.0013</v>
      </c>
      <c r="K57" s="469">
        <f>K54</f>
        <v>5247.500000000001</v>
      </c>
      <c r="L57" s="216">
        <f t="shared" si="13"/>
        <v>6.821750000000001</v>
      </c>
      <c r="M57" s="217"/>
      <c r="N57" s="219">
        <f t="shared" si="2"/>
        <v>0</v>
      </c>
      <c r="O57" s="220">
        <f t="shared" si="11"/>
        <v>0</v>
      </c>
    </row>
    <row r="58" spans="2:15" s="210" customFormat="1" ht="15">
      <c r="B58" s="380" t="s">
        <v>121</v>
      </c>
      <c r="C58" s="211"/>
      <c r="D58" s="212" t="s">
        <v>63</v>
      </c>
      <c r="E58" s="213"/>
      <c r="F58" s="246">
        <f>'GS&lt;50 (1,000kWh)'!F58</f>
        <v>0</v>
      </c>
      <c r="G58" s="468">
        <f>G54</f>
        <v>5247.500000000001</v>
      </c>
      <c r="H58" s="216">
        <f t="shared" si="12"/>
        <v>0</v>
      </c>
      <c r="I58" s="217"/>
      <c r="J58" s="424">
        <f>'GS&lt;50 (1,000kWh)'!J58</f>
        <v>0.0011</v>
      </c>
      <c r="K58" s="469">
        <f>K54</f>
        <v>5247.500000000001</v>
      </c>
      <c r="L58" s="216">
        <f t="shared" si="13"/>
        <v>5.772250000000001</v>
      </c>
      <c r="M58" s="217"/>
      <c r="N58" s="219">
        <f t="shared" si="2"/>
        <v>5.772250000000001</v>
      </c>
      <c r="O58" s="220">
        <f t="shared" si="11"/>
      </c>
    </row>
    <row r="59" spans="2:15" s="210" customFormat="1" ht="15">
      <c r="B59" s="213" t="s">
        <v>35</v>
      </c>
      <c r="C59" s="211"/>
      <c r="D59" s="212" t="s">
        <v>62</v>
      </c>
      <c r="E59" s="213"/>
      <c r="F59" s="392">
        <f>'GS&lt;50 (1,000kWh)'!F59</f>
        <v>0.25</v>
      </c>
      <c r="G59" s="215">
        <v>1</v>
      </c>
      <c r="H59" s="216">
        <f t="shared" si="12"/>
        <v>0.25</v>
      </c>
      <c r="I59" s="217"/>
      <c r="J59" s="394">
        <f>'GS&lt;50 (1,000kWh)'!J59</f>
        <v>0.25</v>
      </c>
      <c r="K59" s="218">
        <v>1</v>
      </c>
      <c r="L59" s="216">
        <f t="shared" si="13"/>
        <v>0.25</v>
      </c>
      <c r="M59" s="217"/>
      <c r="N59" s="219">
        <f t="shared" si="2"/>
        <v>0</v>
      </c>
      <c r="O59" s="220">
        <f t="shared" si="11"/>
        <v>0</v>
      </c>
    </row>
    <row r="60" spans="2:15" s="210" customFormat="1" ht="15">
      <c r="B60" s="213" t="s">
        <v>36</v>
      </c>
      <c r="C60" s="211"/>
      <c r="D60" s="212" t="s">
        <v>63</v>
      </c>
      <c r="E60" s="213"/>
      <c r="F60" s="246">
        <f>'GS&lt;50 (1,000kWh)'!F60</f>
        <v>0.007</v>
      </c>
      <c r="G60" s="259">
        <f>F18</f>
        <v>5000</v>
      </c>
      <c r="H60" s="216">
        <f t="shared" si="12"/>
        <v>35</v>
      </c>
      <c r="I60" s="217"/>
      <c r="J60" s="245">
        <f>'GS&lt;50 (1,000kWh)'!J60</f>
        <v>0.007</v>
      </c>
      <c r="K60" s="260">
        <f>F18</f>
        <v>5000</v>
      </c>
      <c r="L60" s="216">
        <f t="shared" si="13"/>
        <v>35</v>
      </c>
      <c r="M60" s="217"/>
      <c r="N60" s="219">
        <f t="shared" si="2"/>
        <v>0</v>
      </c>
      <c r="O60" s="220">
        <f t="shared" si="11"/>
        <v>0</v>
      </c>
    </row>
    <row r="61" spans="2:19" s="210" customFormat="1" ht="15">
      <c r="B61" s="341" t="s">
        <v>37</v>
      </c>
      <c r="C61" s="211"/>
      <c r="D61" s="212" t="s">
        <v>63</v>
      </c>
      <c r="E61" s="213"/>
      <c r="F61" s="246">
        <f>'GS&lt;50 (1,000kWh)'!F61</f>
        <v>0.08</v>
      </c>
      <c r="G61" s="259">
        <f>0.64*$F$18</f>
        <v>3200</v>
      </c>
      <c r="H61" s="216">
        <f t="shared" si="12"/>
        <v>256</v>
      </c>
      <c r="I61" s="217"/>
      <c r="J61" s="246">
        <f>'GS&lt;50 (1,000kWh)'!J61</f>
        <v>0.08</v>
      </c>
      <c r="K61" s="259">
        <f>G61</f>
        <v>3200</v>
      </c>
      <c r="L61" s="216">
        <f t="shared" si="13"/>
        <v>256</v>
      </c>
      <c r="M61" s="217"/>
      <c r="N61" s="219">
        <f t="shared" si="2"/>
        <v>0</v>
      </c>
      <c r="O61" s="220">
        <f t="shared" si="11"/>
        <v>0</v>
      </c>
      <c r="S61" s="261"/>
    </row>
    <row r="62" spans="2:19" s="210" customFormat="1" ht="15">
      <c r="B62" s="341" t="s">
        <v>38</v>
      </c>
      <c r="C62" s="211"/>
      <c r="D62" s="212" t="s">
        <v>63</v>
      </c>
      <c r="E62" s="213"/>
      <c r="F62" s="246">
        <f>'GS&lt;50 (1,000kWh)'!F62</f>
        <v>0.122</v>
      </c>
      <c r="G62" s="259">
        <f>0.18*$F$18</f>
        <v>900</v>
      </c>
      <c r="H62" s="216">
        <f t="shared" si="12"/>
        <v>109.8</v>
      </c>
      <c r="I62" s="217"/>
      <c r="J62" s="246">
        <f>'GS&lt;50 (1,000kWh)'!J62</f>
        <v>0.122</v>
      </c>
      <c r="K62" s="259">
        <f>G62</f>
        <v>900</v>
      </c>
      <c r="L62" s="216">
        <f t="shared" si="13"/>
        <v>109.8</v>
      </c>
      <c r="M62" s="217"/>
      <c r="N62" s="219">
        <f t="shared" si="2"/>
        <v>0</v>
      </c>
      <c r="O62" s="220">
        <f t="shared" si="11"/>
        <v>0</v>
      </c>
      <c r="S62" s="261"/>
    </row>
    <row r="63" spans="2:19" s="210" customFormat="1" ht="15">
      <c r="B63" s="330" t="s">
        <v>39</v>
      </c>
      <c r="C63" s="211"/>
      <c r="D63" s="212" t="s">
        <v>63</v>
      </c>
      <c r="E63" s="213"/>
      <c r="F63" s="246">
        <f>'GS&lt;50 (1,000kWh)'!F63</f>
        <v>0.161</v>
      </c>
      <c r="G63" s="259">
        <f>0.18*$F$18</f>
        <v>900</v>
      </c>
      <c r="H63" s="216">
        <f t="shared" si="12"/>
        <v>144.9</v>
      </c>
      <c r="I63" s="217"/>
      <c r="J63" s="246">
        <f>'GS&lt;50 (1,000kWh)'!J63</f>
        <v>0.161</v>
      </c>
      <c r="K63" s="259">
        <f>G63</f>
        <v>900</v>
      </c>
      <c r="L63" s="216">
        <f t="shared" si="13"/>
        <v>144.9</v>
      </c>
      <c r="M63" s="217"/>
      <c r="N63" s="219">
        <f t="shared" si="2"/>
        <v>0</v>
      </c>
      <c r="O63" s="220">
        <f t="shared" si="11"/>
        <v>0</v>
      </c>
      <c r="S63" s="261"/>
    </row>
    <row r="64" spans="2:15" s="347" customFormat="1" ht="15">
      <c r="B64" s="344" t="s">
        <v>40</v>
      </c>
      <c r="C64" s="344"/>
      <c r="D64" s="345" t="s">
        <v>63</v>
      </c>
      <c r="E64" s="346"/>
      <c r="F64" s="246">
        <f>'GS&lt;50 (1,000kWh)'!F64</f>
        <v>0.094</v>
      </c>
      <c r="G64" s="262">
        <f>IF(AND($T$1=1,F18&gt;=600),600,IF(AND($T$1=1,AND(F18&lt;600,F18&gt;=0)),F18,IF(AND($T$1=2,F18&gt;=1000),1000,IF(AND($T$1=2,AND(F18&lt;1000,F18&gt;=0)),F18))))</f>
        <v>600</v>
      </c>
      <c r="H64" s="216">
        <f>G64*F64</f>
        <v>56.4</v>
      </c>
      <c r="I64" s="263"/>
      <c r="J64" s="246">
        <f>'GS&lt;50 (1,000kWh)'!J64</f>
        <v>0.094</v>
      </c>
      <c r="K64" s="262">
        <f>G64</f>
        <v>600</v>
      </c>
      <c r="L64" s="216">
        <f>K64*J64</f>
        <v>56.4</v>
      </c>
      <c r="M64" s="263"/>
      <c r="N64" s="219">
        <f t="shared" si="2"/>
        <v>0</v>
      </c>
      <c r="O64" s="220">
        <f t="shared" si="11"/>
        <v>0</v>
      </c>
    </row>
    <row r="65" spans="2:15" s="347" customFormat="1" ht="15.75" thickBot="1">
      <c r="B65" s="344" t="s">
        <v>41</v>
      </c>
      <c r="C65" s="344"/>
      <c r="D65" s="345" t="s">
        <v>63</v>
      </c>
      <c r="E65" s="346"/>
      <c r="F65" s="246">
        <f>'GS&lt;50 (1,000kWh)'!F65</f>
        <v>0.11</v>
      </c>
      <c r="G65" s="262">
        <f>IF(AND($T$1=1,F18&gt;=600),F18-600,IF(AND($T$1=1,AND(F18&lt;600,F18&gt;=0)),0,IF(AND($T$1=2,F18&gt;=1000),F18-1000,IF(AND($T$1=2,AND(F18&lt;1000,F18&gt;=0)),0))))</f>
        <v>4400</v>
      </c>
      <c r="H65" s="216">
        <f>G65*F65</f>
        <v>484</v>
      </c>
      <c r="I65" s="263"/>
      <c r="J65" s="246">
        <f>'GS&lt;50 (1,000kWh)'!J65</f>
        <v>0.11</v>
      </c>
      <c r="K65" s="262">
        <f>G65</f>
        <v>4400</v>
      </c>
      <c r="L65" s="216">
        <f>K65*J65</f>
        <v>484</v>
      </c>
      <c r="M65" s="263"/>
      <c r="N65" s="219">
        <f t="shared" si="2"/>
        <v>0</v>
      </c>
      <c r="O65" s="220">
        <f t="shared" si="11"/>
        <v>0</v>
      </c>
    </row>
    <row r="66" spans="2:15" s="210" customFormat="1" ht="8.25" customHeight="1" thickBot="1">
      <c r="B66" s="348"/>
      <c r="C66" s="264"/>
      <c r="D66" s="265"/>
      <c r="E66" s="264"/>
      <c r="F66" s="266"/>
      <c r="G66" s="267"/>
      <c r="H66" s="268"/>
      <c r="I66" s="269"/>
      <c r="J66" s="266"/>
      <c r="K66" s="270"/>
      <c r="L66" s="268"/>
      <c r="M66" s="269"/>
      <c r="N66" s="271"/>
      <c r="O66" s="272"/>
    </row>
    <row r="67" spans="2:19" s="210" customFormat="1" ht="15">
      <c r="B67" s="349" t="s">
        <v>42</v>
      </c>
      <c r="C67" s="211"/>
      <c r="D67" s="211"/>
      <c r="E67" s="211"/>
      <c r="F67" s="273"/>
      <c r="G67" s="274"/>
      <c r="H67" s="275">
        <f>SUM(H56:H63,H55)</f>
        <v>722.1301500000002</v>
      </c>
      <c r="I67" s="276"/>
      <c r="J67" s="277"/>
      <c r="K67" s="277"/>
      <c r="L67" s="278">
        <f>SUM(L56:L63,L55)</f>
        <v>787.5509000000002</v>
      </c>
      <c r="M67" s="279"/>
      <c r="N67" s="384">
        <f>L67-H67</f>
        <v>65.42075</v>
      </c>
      <c r="O67" s="350">
        <f>IF((H67)=0,"",(N67/H67))</f>
        <v>0.09059412628042186</v>
      </c>
      <c r="S67" s="261"/>
    </row>
    <row r="68" spans="2:19" s="210" customFormat="1" ht="15">
      <c r="B68" s="351" t="s">
        <v>43</v>
      </c>
      <c r="C68" s="211"/>
      <c r="D68" s="211"/>
      <c r="E68" s="211"/>
      <c r="F68" s="281">
        <v>0.13</v>
      </c>
      <c r="G68" s="282"/>
      <c r="H68" s="283">
        <f>H67*F68</f>
        <v>93.87691950000003</v>
      </c>
      <c r="I68" s="284"/>
      <c r="J68" s="285">
        <v>0.13</v>
      </c>
      <c r="K68" s="284"/>
      <c r="L68" s="286">
        <f>L67*J68</f>
        <v>102.38161700000003</v>
      </c>
      <c r="M68" s="287"/>
      <c r="N68" s="385">
        <f t="shared" si="2"/>
        <v>8.504697500000006</v>
      </c>
      <c r="O68" s="352">
        <f t="shared" si="11"/>
        <v>0.09059412628042192</v>
      </c>
      <c r="S68" s="261"/>
    </row>
    <row r="69" spans="2:19" s="210" customFormat="1" ht="15">
      <c r="B69" s="353" t="s">
        <v>126</v>
      </c>
      <c r="C69" s="211"/>
      <c r="D69" s="211"/>
      <c r="E69" s="211"/>
      <c r="F69" s="288"/>
      <c r="G69" s="282"/>
      <c r="H69" s="283">
        <f>H67+H68</f>
        <v>816.0070695000002</v>
      </c>
      <c r="I69" s="284"/>
      <c r="J69" s="284"/>
      <c r="K69" s="284"/>
      <c r="L69" s="286">
        <f>L67+L68</f>
        <v>889.9325170000002</v>
      </c>
      <c r="M69" s="287"/>
      <c r="N69" s="385">
        <f t="shared" si="2"/>
        <v>73.92544750000002</v>
      </c>
      <c r="O69" s="352">
        <f t="shared" si="11"/>
        <v>0.09059412628042189</v>
      </c>
      <c r="S69" s="261"/>
    </row>
    <row r="70" spans="2:15" s="210" customFormat="1" ht="15.75" customHeight="1">
      <c r="B70" s="593" t="s">
        <v>127</v>
      </c>
      <c r="C70" s="593"/>
      <c r="D70" s="593"/>
      <c r="E70" s="211"/>
      <c r="F70" s="288"/>
      <c r="G70" s="282"/>
      <c r="H70" s="386">
        <f>ROUND(-H69*10%,2)</f>
        <v>-81.6</v>
      </c>
      <c r="I70" s="284"/>
      <c r="J70" s="284"/>
      <c r="K70" s="284"/>
      <c r="L70" s="411">
        <v>0</v>
      </c>
      <c r="M70" s="287"/>
      <c r="N70" s="385">
        <f t="shared" si="2"/>
        <v>81.6</v>
      </c>
      <c r="O70" s="352">
        <f t="shared" si="11"/>
        <v>-1</v>
      </c>
    </row>
    <row r="71" spans="2:15" s="210" customFormat="1" ht="15.75" thickBot="1">
      <c r="B71" s="594" t="s">
        <v>46</v>
      </c>
      <c r="C71" s="594"/>
      <c r="D71" s="594"/>
      <c r="E71" s="291"/>
      <c r="F71" s="292"/>
      <c r="G71" s="293"/>
      <c r="H71" s="294">
        <f>H69+H70</f>
        <v>734.4070695000001</v>
      </c>
      <c r="I71" s="295"/>
      <c r="J71" s="295"/>
      <c r="K71" s="295"/>
      <c r="L71" s="296">
        <f>L69+L70</f>
        <v>889.9325170000002</v>
      </c>
      <c r="M71" s="297"/>
      <c r="N71" s="388">
        <f t="shared" si="2"/>
        <v>155.52544750000004</v>
      </c>
      <c r="O71" s="355">
        <f t="shared" si="11"/>
        <v>0.2117700849555888</v>
      </c>
    </row>
    <row r="72" spans="2:15" s="347" customFormat="1" ht="8.25" customHeight="1" thickBot="1">
      <c r="B72" s="356"/>
      <c r="C72" s="357"/>
      <c r="D72" s="358"/>
      <c r="E72" s="357"/>
      <c r="F72" s="266"/>
      <c r="G72" s="299"/>
      <c r="H72" s="268"/>
      <c r="I72" s="300"/>
      <c r="J72" s="266"/>
      <c r="K72" s="301"/>
      <c r="L72" s="268"/>
      <c r="M72" s="300"/>
      <c r="N72" s="302"/>
      <c r="O72" s="272"/>
    </row>
    <row r="73" spans="2:15" s="347" customFormat="1" ht="15">
      <c r="B73" s="359" t="s">
        <v>47</v>
      </c>
      <c r="C73" s="344"/>
      <c r="D73" s="344"/>
      <c r="E73" s="344"/>
      <c r="F73" s="303"/>
      <c r="G73" s="304"/>
      <c r="H73" s="305">
        <f>SUM(H64:H65,H55,H56:H60)</f>
        <v>751.8301500000001</v>
      </c>
      <c r="I73" s="306"/>
      <c r="J73" s="307"/>
      <c r="K73" s="307"/>
      <c r="L73" s="308">
        <f>SUM(L64:L65,L55,L56:L60)</f>
        <v>817.2509</v>
      </c>
      <c r="M73" s="309"/>
      <c r="N73" s="389">
        <f>L73-H73</f>
        <v>65.42074999999988</v>
      </c>
      <c r="O73" s="350">
        <f>IF((H73)=0,"",(N73/H73))</f>
        <v>0.08701533185387667</v>
      </c>
    </row>
    <row r="74" spans="2:15" s="347" customFormat="1" ht="15">
      <c r="B74" s="360" t="s">
        <v>43</v>
      </c>
      <c r="C74" s="344"/>
      <c r="D74" s="344"/>
      <c r="E74" s="344"/>
      <c r="F74" s="310">
        <v>0.13</v>
      </c>
      <c r="G74" s="304"/>
      <c r="H74" s="311">
        <f>H73*F74</f>
        <v>97.73791950000002</v>
      </c>
      <c r="I74" s="312"/>
      <c r="J74" s="310">
        <v>0.13</v>
      </c>
      <c r="K74" s="313"/>
      <c r="L74" s="314">
        <f>L73*J74</f>
        <v>106.24261700000001</v>
      </c>
      <c r="M74" s="315"/>
      <c r="N74" s="390">
        <f>L74-H74</f>
        <v>8.504697499999992</v>
      </c>
      <c r="O74" s="352">
        <f>IF((H74)=0,"",(N74/H74))</f>
        <v>0.08701533185387673</v>
      </c>
    </row>
    <row r="75" spans="2:15" s="347" customFormat="1" ht="15">
      <c r="B75" s="361" t="s">
        <v>126</v>
      </c>
      <c r="C75" s="344"/>
      <c r="D75" s="344"/>
      <c r="E75" s="344"/>
      <c r="F75" s="316"/>
      <c r="G75" s="315"/>
      <c r="H75" s="311">
        <f>H73+H74</f>
        <v>849.5680695000001</v>
      </c>
      <c r="I75" s="312"/>
      <c r="J75" s="312"/>
      <c r="K75" s="312"/>
      <c r="L75" s="314">
        <f>L73+L74</f>
        <v>923.493517</v>
      </c>
      <c r="M75" s="315"/>
      <c r="N75" s="390">
        <f>L75-H75</f>
        <v>73.9254474999999</v>
      </c>
      <c r="O75" s="352">
        <f>IF((H75)=0,"",(N75/H75))</f>
        <v>0.08701533185387672</v>
      </c>
    </row>
    <row r="76" spans="2:15" s="347" customFormat="1" ht="15.75" customHeight="1">
      <c r="B76" s="595" t="s">
        <v>127</v>
      </c>
      <c r="C76" s="595"/>
      <c r="D76" s="595"/>
      <c r="E76" s="344"/>
      <c r="F76" s="316"/>
      <c r="G76" s="315"/>
      <c r="H76" s="317">
        <f>ROUND(-H75*10%,2)</f>
        <v>-84.96</v>
      </c>
      <c r="I76" s="312"/>
      <c r="J76" s="312"/>
      <c r="K76" s="312"/>
      <c r="L76" s="409">
        <v>0</v>
      </c>
      <c r="M76" s="315"/>
      <c r="N76" s="390">
        <f>L76-H76</f>
        <v>84.96</v>
      </c>
      <c r="O76" s="352">
        <f>IF((H76)=0,"",(N76/H76))</f>
        <v>-1</v>
      </c>
    </row>
    <row r="77" spans="2:15" s="347" customFormat="1" ht="15.75" thickBot="1">
      <c r="B77" s="586" t="s">
        <v>48</v>
      </c>
      <c r="C77" s="586"/>
      <c r="D77" s="586"/>
      <c r="E77" s="362"/>
      <c r="F77" s="319"/>
      <c r="G77" s="320"/>
      <c r="H77" s="321">
        <f>SUM(H75:H76)</f>
        <v>764.6080695</v>
      </c>
      <c r="I77" s="322"/>
      <c r="J77" s="322"/>
      <c r="K77" s="322"/>
      <c r="L77" s="323">
        <f>SUM(L75:L76)</f>
        <v>923.493517</v>
      </c>
      <c r="M77" s="324"/>
      <c r="N77" s="391">
        <f>L77-H77</f>
        <v>158.88544749999994</v>
      </c>
      <c r="O77" s="363">
        <f>IF((H77)=0,"",(N77/H77))</f>
        <v>0.2077998569958853</v>
      </c>
    </row>
    <row r="78" spans="2:15" s="347" customFormat="1" ht="8.25" customHeight="1" thickBot="1">
      <c r="B78" s="356"/>
      <c r="C78" s="357"/>
      <c r="D78" s="358"/>
      <c r="E78" s="357"/>
      <c r="F78" s="325"/>
      <c r="G78" s="364"/>
      <c r="H78" s="326"/>
      <c r="I78" s="365"/>
      <c r="J78" s="325"/>
      <c r="K78" s="299"/>
      <c r="L78" s="327"/>
      <c r="M78" s="300"/>
      <c r="N78" s="366"/>
      <c r="O78" s="272"/>
    </row>
    <row r="79" s="210" customFormat="1" ht="10.5" customHeight="1">
      <c r="L79" s="261"/>
    </row>
    <row r="80" spans="2:10" s="210" customFormat="1" ht="15">
      <c r="B80" s="367" t="s">
        <v>49</v>
      </c>
      <c r="F80" s="328">
        <v>0.0495</v>
      </c>
      <c r="J80" s="328">
        <v>0.0495</v>
      </c>
    </row>
    <row r="81" s="210" customFormat="1" ht="10.5" customHeight="1"/>
    <row r="82" spans="2:15" s="210" customFormat="1" ht="15">
      <c r="B82" s="423" t="s">
        <v>144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="210" customFormat="1" ht="10.5" customHeight="1"/>
    <row r="84" s="210" customFormat="1" ht="17.25">
      <c r="A84" s="368" t="s">
        <v>128</v>
      </c>
    </row>
    <row r="85" s="210" customFormat="1" ht="10.5" customHeight="1"/>
    <row r="86" s="210" customFormat="1" ht="15">
      <c r="A86" s="210" t="s">
        <v>51</v>
      </c>
    </row>
    <row r="87" s="210" customFormat="1" ht="15">
      <c r="A87" s="210" t="s">
        <v>52</v>
      </c>
    </row>
    <row r="88" s="210" customFormat="1" ht="15"/>
    <row r="89" s="210" customFormat="1" ht="15">
      <c r="A89" s="330" t="s">
        <v>53</v>
      </c>
    </row>
    <row r="90" s="210" customFormat="1" ht="15">
      <c r="A90" s="330" t="s">
        <v>54</v>
      </c>
    </row>
    <row r="91" s="210" customFormat="1" ht="15"/>
    <row r="92" s="210" customFormat="1" ht="15">
      <c r="A92" s="210" t="s">
        <v>55</v>
      </c>
    </row>
    <row r="93" s="210" customFormat="1" ht="15">
      <c r="A93" s="210" t="s">
        <v>56</v>
      </c>
    </row>
    <row r="94" s="210" customFormat="1" ht="15">
      <c r="A94" s="210" t="s">
        <v>57</v>
      </c>
    </row>
    <row r="95" s="210" customFormat="1" ht="15">
      <c r="A95" s="210" t="s">
        <v>58</v>
      </c>
    </row>
    <row r="96" s="210" customFormat="1" ht="15">
      <c r="A96" s="210" t="s">
        <v>59</v>
      </c>
    </row>
    <row r="97" s="210" customFormat="1" ht="15"/>
    <row r="98" spans="1:2" s="210" customFormat="1" ht="15">
      <c r="A98" s="329"/>
      <c r="B98" s="210" t="s">
        <v>60</v>
      </c>
    </row>
    <row r="99" s="210" customFormat="1" ht="15"/>
    <row r="100" s="210" customFormat="1" ht="15"/>
    <row r="101" s="210" customFormat="1" ht="15"/>
    <row r="102" s="210" customFormat="1" ht="15"/>
    <row r="103" s="210" customFormat="1" ht="15"/>
    <row r="104" s="210" customFormat="1" ht="15"/>
    <row r="105" s="210" customFormat="1" ht="15"/>
    <row r="106" s="210" customFormat="1" ht="15"/>
    <row r="107" s="210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42:E51 E66 E23:E40 E56:E63">
      <formula1>'GS&lt;50 (5,000kWh)'!#REF!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'GS&lt;50 (5,000kWh)'!#REF!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58.14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00390625" style="8" bestFit="1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10.574218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11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11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86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68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10000</v>
      </c>
      <c r="G18" s="14" t="s">
        <v>9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392">
        <f>'GS&lt;50 (1,000kWh)'!F23</f>
        <v>17.36</v>
      </c>
      <c r="G23" s="215">
        <v>1</v>
      </c>
      <c r="H23" s="216">
        <f>G23*F23</f>
        <v>17.36</v>
      </c>
      <c r="I23" s="217"/>
      <c r="J23" s="392">
        <f>'GS&lt;50 (1,000kWh)'!J23</f>
        <v>17.36</v>
      </c>
      <c r="K23" s="218">
        <v>1</v>
      </c>
      <c r="L23" s="216">
        <f>K23*J23</f>
        <v>17.36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30">
      <c r="B24" s="380" t="s">
        <v>64</v>
      </c>
      <c r="C24" s="211"/>
      <c r="D24" s="224" t="s">
        <v>62</v>
      </c>
      <c r="E24" s="213"/>
      <c r="F24" s="393">
        <f>'GS&lt;50 (1,000kWh)'!F24</f>
        <v>4.33</v>
      </c>
      <c r="G24" s="215">
        <v>1</v>
      </c>
      <c r="H24" s="216">
        <f>G24*F24</f>
        <v>4.33</v>
      </c>
      <c r="I24" s="217"/>
      <c r="J24" s="393">
        <f>'GS&lt;50 (1,000kWh)'!J24</f>
        <v>4.33</v>
      </c>
      <c r="K24" s="218">
        <v>1</v>
      </c>
      <c r="L24" s="216">
        <f>K24*J24</f>
        <v>4.33</v>
      </c>
      <c r="M24" s="217"/>
      <c r="N24" s="219">
        <f>L24-H24</f>
        <v>0</v>
      </c>
      <c r="O24" s="220">
        <f>IF((H24)=0,"",(N24/H24))</f>
        <v>0</v>
      </c>
    </row>
    <row r="25" spans="2:15" s="210" customFormat="1" ht="36.75" customHeight="1" hidden="1">
      <c r="B25" s="223" t="s">
        <v>109</v>
      </c>
      <c r="C25" s="211"/>
      <c r="D25" s="224" t="s">
        <v>62</v>
      </c>
      <c r="E25" s="213"/>
      <c r="F25" s="394">
        <f>'GS&lt;50 (1,000kWh)'!F25</f>
        <v>0</v>
      </c>
      <c r="G25" s="215">
        <v>1</v>
      </c>
      <c r="H25" s="216">
        <f>G25*F25</f>
        <v>0</v>
      </c>
      <c r="I25" s="217"/>
      <c r="J25" s="428">
        <f>'GS&lt;50 (1,000kWh)'!J25</f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380"/>
      <c r="C26" s="211"/>
      <c r="D26" s="224" t="s">
        <v>62</v>
      </c>
      <c r="E26" s="227"/>
      <c r="F26" s="394">
        <f>'GS&lt;50 (1,000kWh)'!F26</f>
        <v>0</v>
      </c>
      <c r="G26" s="215">
        <v>1</v>
      </c>
      <c r="H26" s="216">
        <f aca="true" t="shared" si="0" ref="H26:H40">G26*F26</f>
        <v>0</v>
      </c>
      <c r="I26" s="217"/>
      <c r="J26" s="428">
        <f>'GS&lt;50 (1,000kWh)'!J26</f>
        <v>0</v>
      </c>
      <c r="K26" s="218">
        <v>1</v>
      </c>
      <c r="L26" s="216">
        <f aca="true" t="shared" si="1" ref="L26:L40">K26*J26</f>
        <v>0</v>
      </c>
      <c r="M26" s="217"/>
      <c r="N26" s="219">
        <f aca="true" t="shared" si="2" ref="N26:N71">L26-H26</f>
        <v>0</v>
      </c>
      <c r="O26" s="220">
        <f aca="true" t="shared" si="3" ref="O26:O50">IF((H26)=0,"",(N26/H26))</f>
      </c>
    </row>
    <row r="27" spans="2:15" s="210" customFormat="1" ht="15" hidden="1">
      <c r="B27" s="226" t="s">
        <v>65</v>
      </c>
      <c r="C27" s="211"/>
      <c r="D27" s="212" t="s">
        <v>62</v>
      </c>
      <c r="E27" s="213"/>
      <c r="F27" s="246">
        <f>'GS&lt;50 (1,000kWh)'!F27</f>
        <v>0</v>
      </c>
      <c r="G27" s="215">
        <v>1</v>
      </c>
      <c r="H27" s="216">
        <f t="shared" si="0"/>
        <v>0</v>
      </c>
      <c r="I27" s="217"/>
      <c r="J27" s="429">
        <f>'GS&lt;50 (1,000kWh)'!J27</f>
        <v>0</v>
      </c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 hidden="1">
      <c r="B28" s="338" t="s">
        <v>66</v>
      </c>
      <c r="C28" s="211"/>
      <c r="D28" s="212" t="s">
        <v>63</v>
      </c>
      <c r="E28" s="213"/>
      <c r="F28" s="246">
        <f>'GS&lt;50 (1,000kWh)'!F28</f>
        <v>0</v>
      </c>
      <c r="G28" s="215">
        <f aca="true" t="shared" si="4" ref="G28:G33">$F$18</f>
        <v>10000</v>
      </c>
      <c r="H28" s="216">
        <f t="shared" si="0"/>
        <v>0</v>
      </c>
      <c r="I28" s="217"/>
      <c r="J28" s="429">
        <f>'GS&lt;50 (1,000kWh)'!J28</f>
        <v>0</v>
      </c>
      <c r="K28" s="215">
        <f>$F$18</f>
        <v>10000</v>
      </c>
      <c r="L28" s="216">
        <f t="shared" si="1"/>
        <v>0</v>
      </c>
      <c r="M28" s="217"/>
      <c r="N28" s="219">
        <f t="shared" si="2"/>
        <v>0</v>
      </c>
      <c r="O28" s="220">
        <f t="shared" si="3"/>
      </c>
    </row>
    <row r="29" spans="2:15" s="210" customFormat="1" ht="15">
      <c r="B29" s="211" t="s">
        <v>108</v>
      </c>
      <c r="C29" s="211"/>
      <c r="D29" s="212" t="s">
        <v>63</v>
      </c>
      <c r="E29" s="213"/>
      <c r="F29" s="395">
        <f>'GS&lt;50 (1,000kWh)'!F29</f>
        <v>0</v>
      </c>
      <c r="G29" s="215">
        <f t="shared" si="4"/>
        <v>10000</v>
      </c>
      <c r="H29" s="216">
        <f t="shared" si="0"/>
        <v>0</v>
      </c>
      <c r="I29" s="217"/>
      <c r="J29" s="471">
        <f>'GS&lt;50 (1,000kWh)'!J29</f>
        <v>0.0021</v>
      </c>
      <c r="K29" s="215">
        <f>$F$18</f>
        <v>10000</v>
      </c>
      <c r="L29" s="216">
        <f t="shared" si="1"/>
        <v>21</v>
      </c>
      <c r="M29" s="217"/>
      <c r="N29" s="219">
        <f t="shared" si="2"/>
        <v>21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46">
        <f>'GS&lt;50 (1,000kWh)'!F30</f>
        <v>0</v>
      </c>
      <c r="G30" s="215">
        <f t="shared" si="4"/>
        <v>10000</v>
      </c>
      <c r="H30" s="216">
        <f t="shared" si="0"/>
        <v>0</v>
      </c>
      <c r="I30" s="217"/>
      <c r="J30" s="246">
        <f>'GS&lt;50 (1,000kWh)'!J30</f>
        <v>0</v>
      </c>
      <c r="K30" s="215">
        <f>$F$18</f>
        <v>10000</v>
      </c>
      <c r="L30" s="216">
        <f t="shared" si="1"/>
        <v>0</v>
      </c>
      <c r="M30" s="217"/>
      <c r="N30" s="219">
        <f>L30-H30</f>
        <v>0</v>
      </c>
      <c r="O30" s="220">
        <f t="shared" si="3"/>
      </c>
    </row>
    <row r="31" spans="2:15" s="210" customFormat="1" ht="15">
      <c r="B31" s="211" t="s">
        <v>21</v>
      </c>
      <c r="C31" s="211"/>
      <c r="D31" s="212" t="s">
        <v>63</v>
      </c>
      <c r="E31" s="213"/>
      <c r="F31" s="246">
        <f>'GS&lt;50 (1,000kWh)'!F31</f>
        <v>0.018</v>
      </c>
      <c r="G31" s="215">
        <f t="shared" si="4"/>
        <v>10000</v>
      </c>
      <c r="H31" s="216">
        <f t="shared" si="0"/>
        <v>180</v>
      </c>
      <c r="I31" s="217"/>
      <c r="J31" s="246">
        <f>'GS&lt;50 (1,000kWh)'!J31</f>
        <v>0.018</v>
      </c>
      <c r="K31" s="215">
        <f>$F$18</f>
        <v>10000</v>
      </c>
      <c r="L31" s="216">
        <f t="shared" si="1"/>
        <v>180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46"/>
      <c r="G32" s="215">
        <f t="shared" si="4"/>
        <v>10000</v>
      </c>
      <c r="H32" s="216">
        <f t="shared" si="0"/>
        <v>0</v>
      </c>
      <c r="I32" s="217"/>
      <c r="J32" s="246">
        <f>'GS&lt;50 (1,000kWh)'!J32</f>
        <v>0</v>
      </c>
      <c r="K32" s="215">
        <f aca="true" t="shared" si="5" ref="K32:K40">$F$18</f>
        <v>10000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5" hidden="1">
      <c r="B33" s="211" t="s">
        <v>108</v>
      </c>
      <c r="C33" s="211"/>
      <c r="D33" s="212" t="s">
        <v>63</v>
      </c>
      <c r="E33" s="213"/>
      <c r="F33" s="246">
        <v>0</v>
      </c>
      <c r="G33" s="215">
        <f t="shared" si="4"/>
        <v>10000</v>
      </c>
      <c r="H33" s="216">
        <f t="shared" si="0"/>
        <v>0</v>
      </c>
      <c r="I33" s="217"/>
      <c r="J33" s="246">
        <f>'GS&lt;50 (1,000kWh)'!J33</f>
        <v>0</v>
      </c>
      <c r="K33" s="215">
        <f t="shared" si="5"/>
        <v>10000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6" ref="G34:G40">$F$18</f>
        <v>10000</v>
      </c>
      <c r="H34" s="216">
        <f t="shared" si="0"/>
        <v>0</v>
      </c>
      <c r="I34" s="217"/>
      <c r="J34" s="228">
        <f>'GS&lt;50 (1,000kWh)'!J34</f>
        <v>0</v>
      </c>
      <c r="K34" s="215">
        <f t="shared" si="5"/>
        <v>10000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6"/>
        <v>10000</v>
      </c>
      <c r="H35" s="216">
        <f t="shared" si="0"/>
        <v>0</v>
      </c>
      <c r="I35" s="217"/>
      <c r="J35" s="228">
        <f>'GS&lt;50 (1,000kWh)'!J35</f>
        <v>0</v>
      </c>
      <c r="K35" s="215">
        <f t="shared" si="5"/>
        <v>10000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6"/>
        <v>10000</v>
      </c>
      <c r="H36" s="216">
        <f t="shared" si="0"/>
        <v>0</v>
      </c>
      <c r="I36" s="217"/>
      <c r="J36" s="228">
        <f>'GS&lt;50 (1,000kWh)'!J36</f>
        <v>0</v>
      </c>
      <c r="K36" s="215">
        <f t="shared" si="5"/>
        <v>10000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6"/>
        <v>10000</v>
      </c>
      <c r="H37" s="216">
        <f t="shared" si="0"/>
        <v>0</v>
      </c>
      <c r="I37" s="217"/>
      <c r="J37" s="228">
        <f>'GS&lt;50 (1,000kWh)'!J37</f>
        <v>0</v>
      </c>
      <c r="K37" s="215">
        <f t="shared" si="5"/>
        <v>10000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6"/>
        <v>10000</v>
      </c>
      <c r="H38" s="216">
        <f t="shared" si="0"/>
        <v>0</v>
      </c>
      <c r="I38" s="217"/>
      <c r="J38" s="228">
        <f>'GS&lt;50 (1,000kWh)'!J38</f>
        <v>0</v>
      </c>
      <c r="K38" s="215">
        <f t="shared" si="5"/>
        <v>10000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6"/>
        <v>10000</v>
      </c>
      <c r="H39" s="216">
        <f t="shared" si="0"/>
        <v>0</v>
      </c>
      <c r="I39" s="217"/>
      <c r="J39" s="228">
        <f>'GS&lt;50 (1,000kWh)'!J39</f>
        <v>0</v>
      </c>
      <c r="K39" s="215">
        <f t="shared" si="5"/>
        <v>10000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6"/>
        <v>10000</v>
      </c>
      <c r="H40" s="216">
        <f t="shared" si="0"/>
        <v>0</v>
      </c>
      <c r="I40" s="217"/>
      <c r="J40" s="228">
        <f>'GS&lt;50 (1,000kWh)'!J40</f>
        <v>0</v>
      </c>
      <c r="K40" s="215">
        <f t="shared" si="5"/>
        <v>10000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201.69</v>
      </c>
      <c r="I41" s="237"/>
      <c r="J41" s="234"/>
      <c r="K41" s="239"/>
      <c r="L41" s="236">
        <f>SUM(L23:L40)</f>
        <v>222.69</v>
      </c>
      <c r="M41" s="237"/>
      <c r="N41" s="240">
        <f t="shared" si="2"/>
        <v>21</v>
      </c>
      <c r="O41" s="340">
        <f t="shared" si="3"/>
        <v>0.10412018444146959</v>
      </c>
    </row>
    <row r="42" spans="2:15" s="210" customFormat="1" ht="15" hidden="1">
      <c r="B42" s="226"/>
      <c r="C42" s="211"/>
      <c r="D42" s="224" t="s">
        <v>62</v>
      </c>
      <c r="E42" s="213"/>
      <c r="F42" s="228"/>
      <c r="G42" s="215">
        <v>1</v>
      </c>
      <c r="H42" s="216">
        <f>G42*F42</f>
        <v>0</v>
      </c>
      <c r="I42" s="217"/>
      <c r="J42" s="228"/>
      <c r="K42" s="218">
        <v>1</v>
      </c>
      <c r="L42" s="216">
        <f>K42*J42</f>
        <v>0</v>
      </c>
      <c r="M42" s="217"/>
      <c r="N42" s="230">
        <f>L42-H42</f>
        <v>0</v>
      </c>
      <c r="O42" s="220">
        <f>IF((H42)=0,"",(N42/H42))</f>
      </c>
    </row>
    <row r="43" spans="2:15" s="210" customFormat="1" ht="15">
      <c r="B43" s="381" t="s">
        <v>25</v>
      </c>
      <c r="C43" s="211"/>
      <c r="D43" s="224" t="s">
        <v>63</v>
      </c>
      <c r="E43" s="227"/>
      <c r="F43" s="415">
        <f>'GS&lt;50 (1,000kWh)'!F43</f>
        <v>-0.0071</v>
      </c>
      <c r="G43" s="215">
        <f aca="true" t="shared" si="7" ref="G43:G49">$F$18</f>
        <v>10000</v>
      </c>
      <c r="H43" s="216">
        <f aca="true" t="shared" si="8" ref="H43:H51">G43*F43</f>
        <v>-71</v>
      </c>
      <c r="I43" s="217"/>
      <c r="J43" s="397">
        <f>'GS&lt;50 (1,000kWh)'!J43</f>
        <v>0.0021</v>
      </c>
      <c r="K43" s="215">
        <f aca="true" t="shared" si="9" ref="K43:K49">$F$18</f>
        <v>10000</v>
      </c>
      <c r="L43" s="216">
        <f aca="true" t="shared" si="10" ref="L43:L51">K43*J43</f>
        <v>21</v>
      </c>
      <c r="M43" s="217"/>
      <c r="N43" s="219">
        <f t="shared" si="2"/>
        <v>92</v>
      </c>
      <c r="O43" s="220">
        <f t="shared" si="3"/>
        <v>-1.295774647887324</v>
      </c>
    </row>
    <row r="44" spans="2:15" s="210" customFormat="1" ht="15" hidden="1">
      <c r="B44" s="381"/>
      <c r="C44" s="211"/>
      <c r="D44" s="212" t="s">
        <v>63</v>
      </c>
      <c r="E44" s="213"/>
      <c r="F44" s="246"/>
      <c r="G44" s="215">
        <f t="shared" si="7"/>
        <v>10000</v>
      </c>
      <c r="H44" s="216">
        <f t="shared" si="8"/>
        <v>0</v>
      </c>
      <c r="I44" s="243"/>
      <c r="J44" s="246"/>
      <c r="K44" s="215">
        <f t="shared" si="9"/>
        <v>10000</v>
      </c>
      <c r="L44" s="216">
        <f t="shared" si="10"/>
        <v>0</v>
      </c>
      <c r="M44" s="244"/>
      <c r="N44" s="219">
        <f t="shared" si="2"/>
        <v>0</v>
      </c>
      <c r="O44" s="220">
        <f t="shared" si="3"/>
      </c>
    </row>
    <row r="45" spans="2:15" s="210" customFormat="1" ht="15" hidden="1">
      <c r="B45" s="381"/>
      <c r="C45" s="211"/>
      <c r="D45" s="212" t="s">
        <v>63</v>
      </c>
      <c r="E45" s="213"/>
      <c r="F45" s="246"/>
      <c r="G45" s="215">
        <f t="shared" si="7"/>
        <v>10000</v>
      </c>
      <c r="H45" s="216">
        <f t="shared" si="8"/>
        <v>0</v>
      </c>
      <c r="I45" s="243"/>
      <c r="J45" s="246"/>
      <c r="K45" s="215">
        <f t="shared" si="9"/>
        <v>10000</v>
      </c>
      <c r="L45" s="216">
        <f t="shared" si="10"/>
        <v>0</v>
      </c>
      <c r="M45" s="244"/>
      <c r="N45" s="219">
        <f t="shared" si="2"/>
        <v>0</v>
      </c>
      <c r="O45" s="220">
        <f t="shared" si="3"/>
      </c>
    </row>
    <row r="46" spans="2:15" s="210" customFormat="1" ht="15" hidden="1">
      <c r="B46" s="380"/>
      <c r="C46" s="211"/>
      <c r="D46" s="224" t="s">
        <v>62</v>
      </c>
      <c r="E46" s="213"/>
      <c r="F46" s="246"/>
      <c r="G46" s="215">
        <f t="shared" si="7"/>
        <v>10000</v>
      </c>
      <c r="H46" s="216">
        <f t="shared" si="8"/>
        <v>0</v>
      </c>
      <c r="I46" s="243"/>
      <c r="J46" s="246"/>
      <c r="K46" s="215">
        <f t="shared" si="9"/>
        <v>10000</v>
      </c>
      <c r="L46" s="216">
        <f t="shared" si="10"/>
        <v>0</v>
      </c>
      <c r="M46" s="244"/>
      <c r="N46" s="219">
        <f t="shared" si="2"/>
        <v>0</v>
      </c>
      <c r="O46" s="220">
        <f t="shared" si="3"/>
      </c>
    </row>
    <row r="47" spans="2:15" s="210" customFormat="1" ht="15" hidden="1">
      <c r="B47" s="381"/>
      <c r="C47" s="211"/>
      <c r="D47" s="212" t="s">
        <v>63</v>
      </c>
      <c r="E47" s="213"/>
      <c r="F47" s="246">
        <f>'GS&lt;50 (1,000kWh)'!F47</f>
        <v>0</v>
      </c>
      <c r="G47" s="215">
        <f t="shared" si="7"/>
        <v>10000</v>
      </c>
      <c r="H47" s="216">
        <f t="shared" si="8"/>
        <v>0</v>
      </c>
      <c r="I47" s="217"/>
      <c r="J47" s="246">
        <v>0</v>
      </c>
      <c r="K47" s="215">
        <f t="shared" si="9"/>
        <v>10000</v>
      </c>
      <c r="L47" s="216">
        <f t="shared" si="10"/>
        <v>0</v>
      </c>
      <c r="M47" s="217"/>
      <c r="N47" s="219">
        <f>L47-H47</f>
        <v>0</v>
      </c>
      <c r="O47" s="220">
        <f>IF((H47)=0,"",(N47/H47))</f>
      </c>
    </row>
    <row r="48" spans="2:15" s="210" customFormat="1" ht="15" hidden="1">
      <c r="B48" s="211"/>
      <c r="C48" s="211"/>
      <c r="D48" s="212" t="s">
        <v>63</v>
      </c>
      <c r="E48" s="213"/>
      <c r="F48" s="246">
        <f>'GS&lt;50 (1,000kWh)'!F48</f>
        <v>0</v>
      </c>
      <c r="G48" s="215">
        <f t="shared" si="7"/>
        <v>10000</v>
      </c>
      <c r="H48" s="216">
        <f t="shared" si="8"/>
        <v>0</v>
      </c>
      <c r="I48" s="217"/>
      <c r="J48" s="246">
        <f>'GS&lt;50 (1,000kWh)'!$J48</f>
        <v>0</v>
      </c>
      <c r="K48" s="215">
        <f t="shared" si="9"/>
        <v>10000</v>
      </c>
      <c r="L48" s="216">
        <f t="shared" si="10"/>
        <v>0</v>
      </c>
      <c r="M48" s="217"/>
      <c r="N48" s="219">
        <f>L48-H48</f>
        <v>0</v>
      </c>
      <c r="O48" s="220">
        <f t="shared" si="3"/>
      </c>
    </row>
    <row r="49" spans="2:15" s="210" customFormat="1" ht="15">
      <c r="B49" s="341" t="s">
        <v>26</v>
      </c>
      <c r="C49" s="211"/>
      <c r="D49" s="212" t="s">
        <v>63</v>
      </c>
      <c r="E49" s="213"/>
      <c r="F49" s="246">
        <f>'GS&lt;50 (1,000kWh)'!F49</f>
        <v>0.0024</v>
      </c>
      <c r="G49" s="215">
        <f t="shared" si="7"/>
        <v>10000</v>
      </c>
      <c r="H49" s="216">
        <f t="shared" si="8"/>
        <v>23.999999999999996</v>
      </c>
      <c r="I49" s="217"/>
      <c r="J49" s="246">
        <f>'GS&lt;50 (1,000kWh)'!J49</f>
        <v>0.0024</v>
      </c>
      <c r="K49" s="215">
        <f t="shared" si="9"/>
        <v>10000</v>
      </c>
      <c r="L49" s="216">
        <f t="shared" si="10"/>
        <v>23.999999999999996</v>
      </c>
      <c r="M49" s="217"/>
      <c r="N49" s="219">
        <f t="shared" si="2"/>
        <v>0</v>
      </c>
      <c r="O49" s="220">
        <f t="shared" si="3"/>
        <v>0</v>
      </c>
    </row>
    <row r="50" spans="2:15" s="241" customFormat="1" ht="15">
      <c r="B50" s="342" t="s">
        <v>27</v>
      </c>
      <c r="C50" s="213"/>
      <c r="D50" s="212" t="s">
        <v>63</v>
      </c>
      <c r="E50" s="213"/>
      <c r="F50" s="246">
        <f>IF(ISBLANK(D16)=TRUE,0,IF(D16="TOU",0.64*$F$61+0.18*$F$62+0.18*$F$63,IF(AND(D16="non-TOU",G65&gt;0),F65,F64)))</f>
        <v>0.10214000000000001</v>
      </c>
      <c r="G50" s="215">
        <f>$F$18*(1+$F$80)-$F$18</f>
        <v>495.0000000000018</v>
      </c>
      <c r="H50" s="247">
        <f t="shared" si="8"/>
        <v>50.55930000000019</v>
      </c>
      <c r="I50" s="227"/>
      <c r="J50" s="246">
        <f>0.64*$F$61+0.18*$F$62+0.18*$F$63</f>
        <v>0.10214000000000001</v>
      </c>
      <c r="K50" s="215">
        <f>$F$18*(1+$J$80)-$F$18</f>
        <v>495.0000000000018</v>
      </c>
      <c r="L50" s="247">
        <f t="shared" si="10"/>
        <v>50.55930000000019</v>
      </c>
      <c r="M50" s="227"/>
      <c r="N50" s="219">
        <f t="shared" si="2"/>
        <v>0</v>
      </c>
      <c r="O50" s="248">
        <f t="shared" si="3"/>
        <v>0</v>
      </c>
    </row>
    <row r="51" spans="2:15" s="210" customFormat="1" ht="15">
      <c r="B51" s="341" t="s">
        <v>28</v>
      </c>
      <c r="C51" s="211"/>
      <c r="D51" s="212" t="s">
        <v>62</v>
      </c>
      <c r="E51" s="213"/>
      <c r="F51" s="392">
        <f>'GS&lt;50 (1,000kWh)'!F51</f>
        <v>0.79</v>
      </c>
      <c r="G51" s="215">
        <v>1</v>
      </c>
      <c r="H51" s="216">
        <f t="shared" si="8"/>
        <v>0.79</v>
      </c>
      <c r="I51" s="217"/>
      <c r="J51" s="249">
        <v>0.79</v>
      </c>
      <c r="K51" s="215">
        <v>1</v>
      </c>
      <c r="L51" s="216">
        <f t="shared" si="10"/>
        <v>0.79</v>
      </c>
      <c r="M51" s="217"/>
      <c r="N51" s="219">
        <f t="shared" si="2"/>
        <v>0</v>
      </c>
      <c r="O51" s="220"/>
    </row>
    <row r="52" spans="2:15" s="210" customFormat="1" ht="15">
      <c r="B52" s="343" t="s">
        <v>29</v>
      </c>
      <c r="C52" s="250"/>
      <c r="D52" s="250"/>
      <c r="E52" s="250"/>
      <c r="F52" s="416"/>
      <c r="G52" s="251"/>
      <c r="H52" s="252">
        <f>SUM(H42:H51)+H41</f>
        <v>206.0393000000002</v>
      </c>
      <c r="I52" s="237"/>
      <c r="J52" s="43"/>
      <c r="K52" s="253"/>
      <c r="L52" s="252">
        <f>SUM(L42:L51)+L41</f>
        <v>319.0393000000002</v>
      </c>
      <c r="M52" s="237"/>
      <c r="N52" s="240">
        <f t="shared" si="2"/>
        <v>113</v>
      </c>
      <c r="O52" s="340">
        <f aca="true" t="shared" si="11" ref="O52:O71">IF((H52)=0,"",(N52/H52))</f>
        <v>0.5484390599269163</v>
      </c>
    </row>
    <row r="53" spans="2:15" s="210" customFormat="1" ht="15">
      <c r="B53" s="217" t="s">
        <v>30</v>
      </c>
      <c r="C53" s="217"/>
      <c r="D53" s="224" t="s">
        <v>63</v>
      </c>
      <c r="E53" s="227"/>
      <c r="F53" s="245">
        <f>'GS&lt;50 (1,000kWh)'!F53</f>
        <v>0.0044</v>
      </c>
      <c r="G53" s="468">
        <f>F18*(1+F80)</f>
        <v>10495.000000000002</v>
      </c>
      <c r="H53" s="216">
        <f>G53*F53</f>
        <v>46.17800000000001</v>
      </c>
      <c r="I53" s="217"/>
      <c r="J53" s="245">
        <f>'GS&lt;50 (1,000kWh)'!J53</f>
        <v>0.0048</v>
      </c>
      <c r="K53" s="469">
        <f>F18*(1+J80)</f>
        <v>10495.000000000002</v>
      </c>
      <c r="L53" s="216">
        <f>K53*J53</f>
        <v>50.376000000000005</v>
      </c>
      <c r="M53" s="217"/>
      <c r="N53" s="219">
        <f t="shared" si="2"/>
        <v>4.197999999999993</v>
      </c>
      <c r="O53" s="220">
        <f t="shared" si="11"/>
        <v>0.09090909090909075</v>
      </c>
    </row>
    <row r="54" spans="2:15" s="210" customFormat="1" ht="15">
      <c r="B54" s="255" t="s">
        <v>31</v>
      </c>
      <c r="C54" s="217"/>
      <c r="D54" s="224" t="s">
        <v>63</v>
      </c>
      <c r="E54" s="227"/>
      <c r="F54" s="245">
        <f>'GS&lt;50 (1,000kWh)'!F54</f>
        <v>0.0017</v>
      </c>
      <c r="G54" s="468">
        <f>G53</f>
        <v>10495.000000000002</v>
      </c>
      <c r="H54" s="216">
        <f>G54*F54</f>
        <v>17.841500000000003</v>
      </c>
      <c r="I54" s="217"/>
      <c r="J54" s="245">
        <f>'GS&lt;50 (1,000kWh)'!J54</f>
        <v>0.0027</v>
      </c>
      <c r="K54" s="469">
        <f>K53</f>
        <v>10495.000000000002</v>
      </c>
      <c r="L54" s="216">
        <f>K54*J54</f>
        <v>28.336500000000008</v>
      </c>
      <c r="M54" s="217"/>
      <c r="N54" s="219">
        <f t="shared" si="2"/>
        <v>10.495000000000005</v>
      </c>
      <c r="O54" s="220">
        <f t="shared" si="11"/>
        <v>0.5882352941176472</v>
      </c>
    </row>
    <row r="55" spans="2:15" s="210" customFormat="1" ht="15">
      <c r="B55" s="343" t="s">
        <v>32</v>
      </c>
      <c r="C55" s="232"/>
      <c r="D55" s="232"/>
      <c r="E55" s="232"/>
      <c r="F55" s="417"/>
      <c r="G55" s="109"/>
      <c r="H55" s="252">
        <f>SUM(H52:H54)</f>
        <v>270.0588000000002</v>
      </c>
      <c r="I55" s="256"/>
      <c r="J55" s="44"/>
      <c r="K55" s="147"/>
      <c r="L55" s="252">
        <f>SUM(L52:L54)</f>
        <v>397.75180000000023</v>
      </c>
      <c r="M55" s="256"/>
      <c r="N55" s="240">
        <f t="shared" si="2"/>
        <v>127.69300000000004</v>
      </c>
      <c r="O55" s="340">
        <f t="shared" si="11"/>
        <v>0.4728340642852592</v>
      </c>
    </row>
    <row r="56" spans="2:15" s="210" customFormat="1" ht="15">
      <c r="B56" s="223" t="s">
        <v>33</v>
      </c>
      <c r="C56" s="211"/>
      <c r="D56" s="212" t="s">
        <v>63</v>
      </c>
      <c r="E56" s="213"/>
      <c r="F56" s="246">
        <f>'GS&lt;50 (1,000kWh)'!F56</f>
        <v>0.0044</v>
      </c>
      <c r="G56" s="468">
        <f>G54</f>
        <v>10495.000000000002</v>
      </c>
      <c r="H56" s="216">
        <f aca="true" t="shared" si="12" ref="H56:H63">G56*F56</f>
        <v>46.17800000000001</v>
      </c>
      <c r="I56" s="217"/>
      <c r="J56" s="429">
        <f>'GS&lt;50 (1,000kWh)'!J56</f>
        <v>0.0036</v>
      </c>
      <c r="K56" s="469">
        <f>K54</f>
        <v>10495.000000000002</v>
      </c>
      <c r="L56" s="216">
        <f aca="true" t="shared" si="13" ref="L56:L63">K56*J56</f>
        <v>37.782000000000004</v>
      </c>
      <c r="M56" s="217"/>
      <c r="N56" s="219">
        <f t="shared" si="2"/>
        <v>-8.396000000000008</v>
      </c>
      <c r="O56" s="220">
        <f t="shared" si="11"/>
        <v>-0.18181818181818193</v>
      </c>
    </row>
    <row r="57" spans="2:15" s="210" customFormat="1" ht="15">
      <c r="B57" s="223" t="s">
        <v>34</v>
      </c>
      <c r="C57" s="211"/>
      <c r="D57" s="212" t="s">
        <v>63</v>
      </c>
      <c r="E57" s="213"/>
      <c r="F57" s="246">
        <f>'GS&lt;50 (1,000kWh)'!F57</f>
        <v>0.0013</v>
      </c>
      <c r="G57" s="468">
        <f>G54</f>
        <v>10495.000000000002</v>
      </c>
      <c r="H57" s="216">
        <f t="shared" si="12"/>
        <v>13.643500000000001</v>
      </c>
      <c r="I57" s="217"/>
      <c r="J57" s="246">
        <f>'GS&lt;50 (1,000kWh)'!J57</f>
        <v>0.0013</v>
      </c>
      <c r="K57" s="469">
        <f>K54</f>
        <v>10495.000000000002</v>
      </c>
      <c r="L57" s="216">
        <f t="shared" si="13"/>
        <v>13.643500000000001</v>
      </c>
      <c r="M57" s="217"/>
      <c r="N57" s="219">
        <f t="shared" si="2"/>
        <v>0</v>
      </c>
      <c r="O57" s="220">
        <f t="shared" si="11"/>
        <v>0</v>
      </c>
    </row>
    <row r="58" spans="2:15" s="210" customFormat="1" ht="15">
      <c r="B58" s="223" t="s">
        <v>121</v>
      </c>
      <c r="C58" s="211"/>
      <c r="D58" s="212" t="s">
        <v>63</v>
      </c>
      <c r="E58" s="213"/>
      <c r="F58" s="246">
        <f>'GS&lt;50 (1,000kWh)'!F58</f>
        <v>0</v>
      </c>
      <c r="G58" s="468">
        <f>G54</f>
        <v>10495.000000000002</v>
      </c>
      <c r="H58" s="216">
        <f t="shared" si="12"/>
        <v>0</v>
      </c>
      <c r="I58" s="217"/>
      <c r="J58" s="429">
        <f>'GS&lt;50 (1,000kWh)'!J58</f>
        <v>0.0011</v>
      </c>
      <c r="K58" s="469">
        <f>K54</f>
        <v>10495.000000000002</v>
      </c>
      <c r="L58" s="216">
        <f t="shared" si="13"/>
        <v>11.544500000000003</v>
      </c>
      <c r="M58" s="217"/>
      <c r="N58" s="219">
        <f t="shared" si="2"/>
        <v>11.544500000000003</v>
      </c>
      <c r="O58" s="220">
        <f t="shared" si="11"/>
      </c>
    </row>
    <row r="59" spans="2:15" s="210" customFormat="1" ht="15">
      <c r="B59" s="211" t="s">
        <v>35</v>
      </c>
      <c r="C59" s="211"/>
      <c r="D59" s="212" t="s">
        <v>62</v>
      </c>
      <c r="E59" s="213"/>
      <c r="F59" s="392">
        <f>'GS&lt;50 (1,000kWh)'!F59</f>
        <v>0.25</v>
      </c>
      <c r="G59" s="215">
        <v>1</v>
      </c>
      <c r="H59" s="216">
        <f t="shared" si="12"/>
        <v>0.25</v>
      </c>
      <c r="I59" s="217"/>
      <c r="J59" s="392">
        <f>'GS&lt;50 (1,000kWh)'!J59</f>
        <v>0.25</v>
      </c>
      <c r="K59" s="218">
        <v>1</v>
      </c>
      <c r="L59" s="216">
        <f t="shared" si="13"/>
        <v>0.25</v>
      </c>
      <c r="M59" s="217"/>
      <c r="N59" s="219">
        <f t="shared" si="2"/>
        <v>0</v>
      </c>
      <c r="O59" s="220">
        <f t="shared" si="11"/>
        <v>0</v>
      </c>
    </row>
    <row r="60" spans="2:15" s="210" customFormat="1" ht="15">
      <c r="B60" s="211" t="s">
        <v>36</v>
      </c>
      <c r="C60" s="211"/>
      <c r="D60" s="212" t="s">
        <v>63</v>
      </c>
      <c r="E60" s="213"/>
      <c r="F60" s="246">
        <f>'GS&lt;50 (1,000kWh)'!F60</f>
        <v>0.007</v>
      </c>
      <c r="G60" s="259">
        <f>F18</f>
        <v>10000</v>
      </c>
      <c r="H60" s="216">
        <f t="shared" si="12"/>
        <v>70</v>
      </c>
      <c r="I60" s="217"/>
      <c r="J60" s="246">
        <f>'GS&lt;50 (1,000kWh)'!J60</f>
        <v>0.007</v>
      </c>
      <c r="K60" s="260">
        <f>F18</f>
        <v>10000</v>
      </c>
      <c r="L60" s="216">
        <f t="shared" si="13"/>
        <v>70</v>
      </c>
      <c r="M60" s="217"/>
      <c r="N60" s="219">
        <f t="shared" si="2"/>
        <v>0</v>
      </c>
      <c r="O60" s="220">
        <f t="shared" si="11"/>
        <v>0</v>
      </c>
    </row>
    <row r="61" spans="2:19" s="210" customFormat="1" ht="15">
      <c r="B61" s="341" t="s">
        <v>37</v>
      </c>
      <c r="C61" s="211"/>
      <c r="D61" s="212" t="s">
        <v>63</v>
      </c>
      <c r="E61" s="213"/>
      <c r="F61" s="246">
        <f>'GS&lt;50 (1,000kWh)'!F61</f>
        <v>0.08</v>
      </c>
      <c r="G61" s="259">
        <f>0.64*$F$18</f>
        <v>6400</v>
      </c>
      <c r="H61" s="216">
        <f t="shared" si="12"/>
        <v>512</v>
      </c>
      <c r="I61" s="217"/>
      <c r="J61" s="246">
        <f>'GS&lt;50 (1,000kWh)'!J61</f>
        <v>0.08</v>
      </c>
      <c r="K61" s="259">
        <f>G61</f>
        <v>6400</v>
      </c>
      <c r="L61" s="216">
        <f t="shared" si="13"/>
        <v>512</v>
      </c>
      <c r="M61" s="217"/>
      <c r="N61" s="219">
        <f t="shared" si="2"/>
        <v>0</v>
      </c>
      <c r="O61" s="220">
        <f t="shared" si="11"/>
        <v>0</v>
      </c>
      <c r="S61" s="261"/>
    </row>
    <row r="62" spans="2:19" s="210" customFormat="1" ht="15">
      <c r="B62" s="341" t="s">
        <v>38</v>
      </c>
      <c r="C62" s="211"/>
      <c r="D62" s="212" t="s">
        <v>63</v>
      </c>
      <c r="E62" s="213"/>
      <c r="F62" s="246">
        <f>'GS&lt;50 (1,000kWh)'!F62</f>
        <v>0.122</v>
      </c>
      <c r="G62" s="259">
        <f>0.18*$F$18</f>
        <v>1800</v>
      </c>
      <c r="H62" s="216">
        <f t="shared" si="12"/>
        <v>219.6</v>
      </c>
      <c r="I62" s="217"/>
      <c r="J62" s="246">
        <f>'GS&lt;50 (1,000kWh)'!J62</f>
        <v>0.122</v>
      </c>
      <c r="K62" s="259">
        <f>G62</f>
        <v>1800</v>
      </c>
      <c r="L62" s="216">
        <f t="shared" si="13"/>
        <v>219.6</v>
      </c>
      <c r="M62" s="217"/>
      <c r="N62" s="219">
        <f t="shared" si="2"/>
        <v>0</v>
      </c>
      <c r="O62" s="220">
        <f t="shared" si="11"/>
        <v>0</v>
      </c>
      <c r="S62" s="261"/>
    </row>
    <row r="63" spans="2:19" s="210" customFormat="1" ht="15">
      <c r="B63" s="330" t="s">
        <v>39</v>
      </c>
      <c r="C63" s="211"/>
      <c r="D63" s="212" t="s">
        <v>63</v>
      </c>
      <c r="E63" s="213"/>
      <c r="F63" s="246">
        <f>'GS&lt;50 (1,000kWh)'!F63</f>
        <v>0.161</v>
      </c>
      <c r="G63" s="259">
        <f>0.18*$F$18</f>
        <v>1800</v>
      </c>
      <c r="H63" s="216">
        <f t="shared" si="12"/>
        <v>289.8</v>
      </c>
      <c r="I63" s="217"/>
      <c r="J63" s="246">
        <f>'GS&lt;50 (1,000kWh)'!J63</f>
        <v>0.161</v>
      </c>
      <c r="K63" s="259">
        <f>G63</f>
        <v>1800</v>
      </c>
      <c r="L63" s="216">
        <f t="shared" si="13"/>
        <v>289.8</v>
      </c>
      <c r="M63" s="217"/>
      <c r="N63" s="219">
        <f t="shared" si="2"/>
        <v>0</v>
      </c>
      <c r="O63" s="220">
        <f t="shared" si="11"/>
        <v>0</v>
      </c>
      <c r="S63" s="261"/>
    </row>
    <row r="64" spans="2:15" s="347" customFormat="1" ht="15">
      <c r="B64" s="344" t="s">
        <v>40</v>
      </c>
      <c r="C64" s="344"/>
      <c r="D64" s="345" t="s">
        <v>63</v>
      </c>
      <c r="E64" s="346"/>
      <c r="F64" s="246">
        <f>'GS&lt;50 (1,000kWh)'!F64</f>
        <v>0.094</v>
      </c>
      <c r="G64" s="262">
        <f>IF(AND($T$1=1,F18&gt;=600),600,IF(AND($T$1=1,AND(F18&lt;600,F18&gt;=0)),F18,IF(AND($T$1=2,F18&gt;=1000),1000,IF(AND($T$1=2,AND(F18&lt;1000,F18&gt;=0)),F18))))</f>
        <v>600</v>
      </c>
      <c r="H64" s="216">
        <f>G64*F64</f>
        <v>56.4</v>
      </c>
      <c r="I64" s="263"/>
      <c r="J64" s="246">
        <f>'GS&lt;50 (1,000kWh)'!J64</f>
        <v>0.094</v>
      </c>
      <c r="K64" s="262">
        <f>G64</f>
        <v>600</v>
      </c>
      <c r="L64" s="216">
        <f>K64*J64</f>
        <v>56.4</v>
      </c>
      <c r="M64" s="263"/>
      <c r="N64" s="219">
        <f t="shared" si="2"/>
        <v>0</v>
      </c>
      <c r="O64" s="220">
        <f t="shared" si="11"/>
        <v>0</v>
      </c>
    </row>
    <row r="65" spans="2:15" s="347" customFormat="1" ht="15.75" thickBot="1">
      <c r="B65" s="344" t="s">
        <v>41</v>
      </c>
      <c r="C65" s="344"/>
      <c r="D65" s="345" t="s">
        <v>63</v>
      </c>
      <c r="E65" s="346"/>
      <c r="F65" s="246">
        <f>'GS&lt;50 (1,000kWh)'!F65</f>
        <v>0.11</v>
      </c>
      <c r="G65" s="262">
        <f>IF(AND($T$1=1,F18&gt;=600),F18-600,IF(AND($T$1=1,AND(F18&lt;600,F18&gt;=0)),0,IF(AND($T$1=2,F18&gt;=1000),F18-1000,IF(AND($T$1=2,AND(F18&lt;1000,F18&gt;=0)),0))))</f>
        <v>9400</v>
      </c>
      <c r="H65" s="216">
        <f>G65*F65</f>
        <v>1034</v>
      </c>
      <c r="I65" s="263"/>
      <c r="J65" s="246">
        <f>'GS&lt;50 (1,000kWh)'!J65</f>
        <v>0.11</v>
      </c>
      <c r="K65" s="262">
        <f>G65</f>
        <v>9400</v>
      </c>
      <c r="L65" s="216">
        <f>K65*J65</f>
        <v>1034</v>
      </c>
      <c r="M65" s="263"/>
      <c r="N65" s="219">
        <f t="shared" si="2"/>
        <v>0</v>
      </c>
      <c r="O65" s="220">
        <f t="shared" si="11"/>
        <v>0</v>
      </c>
    </row>
    <row r="66" spans="2:15" s="210" customFormat="1" ht="8.25" customHeight="1" thickBot="1">
      <c r="B66" s="348"/>
      <c r="C66" s="264"/>
      <c r="D66" s="265"/>
      <c r="E66" s="264"/>
      <c r="F66" s="266"/>
      <c r="G66" s="267"/>
      <c r="H66" s="268"/>
      <c r="I66" s="269"/>
      <c r="J66" s="266"/>
      <c r="K66" s="270"/>
      <c r="L66" s="268"/>
      <c r="M66" s="269"/>
      <c r="N66" s="271"/>
      <c r="O66" s="272"/>
    </row>
    <row r="67" spans="2:19" s="210" customFormat="1" ht="15">
      <c r="B67" s="349" t="s">
        <v>42</v>
      </c>
      <c r="C67" s="211"/>
      <c r="D67" s="211"/>
      <c r="E67" s="211"/>
      <c r="F67" s="273"/>
      <c r="G67" s="274"/>
      <c r="H67" s="275">
        <f>SUM(H56:H63,H55)</f>
        <v>1421.5303000000004</v>
      </c>
      <c r="I67" s="276"/>
      <c r="J67" s="277"/>
      <c r="K67" s="277"/>
      <c r="L67" s="278">
        <f>SUM(L56:L63,L55)</f>
        <v>1552.3718000000003</v>
      </c>
      <c r="M67" s="279"/>
      <c r="N67" s="384">
        <f>L67-H67</f>
        <v>130.8415</v>
      </c>
      <c r="O67" s="350">
        <f>IF((H67)=0,"",(N67/H67))</f>
        <v>0.09204270918460195</v>
      </c>
      <c r="S67" s="261"/>
    </row>
    <row r="68" spans="2:19" s="210" customFormat="1" ht="15">
      <c r="B68" s="351" t="s">
        <v>43</v>
      </c>
      <c r="C68" s="211"/>
      <c r="D68" s="211"/>
      <c r="E68" s="211"/>
      <c r="F68" s="281">
        <v>0.13</v>
      </c>
      <c r="G68" s="282"/>
      <c r="H68" s="283">
        <f>H67*F68</f>
        <v>184.79893900000005</v>
      </c>
      <c r="I68" s="284"/>
      <c r="J68" s="285">
        <v>0.13</v>
      </c>
      <c r="K68" s="284"/>
      <c r="L68" s="286">
        <f>L67*J68</f>
        <v>201.80833400000006</v>
      </c>
      <c r="M68" s="287"/>
      <c r="N68" s="385">
        <f t="shared" si="2"/>
        <v>17.009395000000012</v>
      </c>
      <c r="O68" s="352">
        <f t="shared" si="11"/>
        <v>0.09204270918460201</v>
      </c>
      <c r="S68" s="261"/>
    </row>
    <row r="69" spans="2:19" s="210" customFormat="1" ht="15">
      <c r="B69" s="353" t="s">
        <v>126</v>
      </c>
      <c r="C69" s="211"/>
      <c r="D69" s="211"/>
      <c r="E69" s="211"/>
      <c r="F69" s="288"/>
      <c r="G69" s="282"/>
      <c r="H69" s="283">
        <f>H67+H68</f>
        <v>1606.3292390000004</v>
      </c>
      <c r="I69" s="284"/>
      <c r="J69" s="284"/>
      <c r="K69" s="284"/>
      <c r="L69" s="286">
        <f>L67+L68</f>
        <v>1754.1801340000004</v>
      </c>
      <c r="M69" s="287"/>
      <c r="N69" s="385">
        <f t="shared" si="2"/>
        <v>147.85089500000004</v>
      </c>
      <c r="O69" s="352">
        <f t="shared" si="11"/>
        <v>0.09204270918460197</v>
      </c>
      <c r="S69" s="261"/>
    </row>
    <row r="70" spans="2:15" s="210" customFormat="1" ht="15.75" customHeight="1">
      <c r="B70" s="593" t="s">
        <v>127</v>
      </c>
      <c r="C70" s="593"/>
      <c r="D70" s="593"/>
      <c r="E70" s="211"/>
      <c r="F70" s="288"/>
      <c r="G70" s="282"/>
      <c r="H70" s="386">
        <f>ROUND(-H69*10%,2)</f>
        <v>-160.63</v>
      </c>
      <c r="I70" s="284"/>
      <c r="J70" s="284"/>
      <c r="K70" s="284"/>
      <c r="L70" s="411">
        <v>0</v>
      </c>
      <c r="M70" s="287"/>
      <c r="N70" s="385">
        <f t="shared" si="2"/>
        <v>160.63</v>
      </c>
      <c r="O70" s="352">
        <f t="shared" si="11"/>
        <v>-1</v>
      </c>
    </row>
    <row r="71" spans="2:15" s="210" customFormat="1" ht="15.75" thickBot="1">
      <c r="B71" s="594" t="s">
        <v>46</v>
      </c>
      <c r="C71" s="594"/>
      <c r="D71" s="594"/>
      <c r="E71" s="291"/>
      <c r="F71" s="292"/>
      <c r="G71" s="293"/>
      <c r="H71" s="294">
        <f>H69+H70</f>
        <v>1445.6992390000005</v>
      </c>
      <c r="I71" s="295"/>
      <c r="J71" s="295"/>
      <c r="K71" s="295"/>
      <c r="L71" s="296">
        <f>L69+L70</f>
        <v>1754.1801340000004</v>
      </c>
      <c r="M71" s="297"/>
      <c r="N71" s="388">
        <f t="shared" si="2"/>
        <v>308.4808949999999</v>
      </c>
      <c r="O71" s="355">
        <f t="shared" si="11"/>
        <v>0.2133783339426658</v>
      </c>
    </row>
    <row r="72" spans="2:15" s="347" customFormat="1" ht="8.25" customHeight="1" thickBot="1">
      <c r="B72" s="356"/>
      <c r="C72" s="357"/>
      <c r="D72" s="358"/>
      <c r="E72" s="357"/>
      <c r="F72" s="266"/>
      <c r="G72" s="299"/>
      <c r="H72" s="268"/>
      <c r="I72" s="300"/>
      <c r="J72" s="266"/>
      <c r="K72" s="301"/>
      <c r="L72" s="268"/>
      <c r="M72" s="300"/>
      <c r="N72" s="302"/>
      <c r="O72" s="272"/>
    </row>
    <row r="73" spans="2:15" s="347" customFormat="1" ht="15">
      <c r="B73" s="359" t="s">
        <v>47</v>
      </c>
      <c r="C73" s="344"/>
      <c r="D73" s="344"/>
      <c r="E73" s="344"/>
      <c r="F73" s="303"/>
      <c r="G73" s="304"/>
      <c r="H73" s="305">
        <f>SUM(H64:H65,H55,H56:H60)</f>
        <v>1490.5303000000004</v>
      </c>
      <c r="I73" s="306"/>
      <c r="J73" s="307"/>
      <c r="K73" s="307"/>
      <c r="L73" s="308">
        <f>SUM(L64:L65,L55,L56:L60)</f>
        <v>1621.3718000000001</v>
      </c>
      <c r="M73" s="309"/>
      <c r="N73" s="389">
        <f>L73-H73</f>
        <v>130.84149999999977</v>
      </c>
      <c r="O73" s="350">
        <f>IF((H73)=0,"",(N73/H73))</f>
        <v>0.08778184515940383</v>
      </c>
    </row>
    <row r="74" spans="2:15" s="347" customFormat="1" ht="15">
      <c r="B74" s="360" t="s">
        <v>43</v>
      </c>
      <c r="C74" s="344"/>
      <c r="D74" s="344"/>
      <c r="E74" s="344"/>
      <c r="F74" s="310">
        <v>0.13</v>
      </c>
      <c r="G74" s="304"/>
      <c r="H74" s="311">
        <f>H73*F74</f>
        <v>193.76893900000005</v>
      </c>
      <c r="I74" s="312"/>
      <c r="J74" s="310">
        <v>0.13</v>
      </c>
      <c r="K74" s="313"/>
      <c r="L74" s="314">
        <f>L73*J74</f>
        <v>210.77833400000003</v>
      </c>
      <c r="M74" s="315"/>
      <c r="N74" s="390">
        <f>L74-H74</f>
        <v>17.009394999999984</v>
      </c>
      <c r="O74" s="352">
        <f>IF((H74)=0,"",(N74/H74))</f>
        <v>0.0877818451594039</v>
      </c>
    </row>
    <row r="75" spans="2:15" s="347" customFormat="1" ht="15">
      <c r="B75" s="361" t="s">
        <v>126</v>
      </c>
      <c r="C75" s="344"/>
      <c r="D75" s="344"/>
      <c r="E75" s="344"/>
      <c r="F75" s="316"/>
      <c r="G75" s="315"/>
      <c r="H75" s="311">
        <f>H73+H74</f>
        <v>1684.2992390000004</v>
      </c>
      <c r="I75" s="312"/>
      <c r="J75" s="312"/>
      <c r="K75" s="312"/>
      <c r="L75" s="314">
        <f>L73+L74</f>
        <v>1832.1501340000002</v>
      </c>
      <c r="M75" s="315"/>
      <c r="N75" s="390">
        <f>L75-H75</f>
        <v>147.8508949999998</v>
      </c>
      <c r="O75" s="352">
        <f>IF((H75)=0,"",(N75/H75))</f>
        <v>0.08778184515940388</v>
      </c>
    </row>
    <row r="76" spans="2:15" s="347" customFormat="1" ht="15.75" customHeight="1">
      <c r="B76" s="595" t="s">
        <v>127</v>
      </c>
      <c r="C76" s="595"/>
      <c r="D76" s="595"/>
      <c r="E76" s="344"/>
      <c r="F76" s="316"/>
      <c r="G76" s="315"/>
      <c r="H76" s="317">
        <f>ROUND(-H75*10%,2)</f>
        <v>-168.43</v>
      </c>
      <c r="I76" s="312"/>
      <c r="J76" s="312"/>
      <c r="K76" s="312"/>
      <c r="L76" s="409">
        <v>0</v>
      </c>
      <c r="M76" s="315"/>
      <c r="N76" s="390">
        <f>L76-H76</f>
        <v>168.43</v>
      </c>
      <c r="O76" s="352">
        <f>IF((H76)=0,"",(N76/H76))</f>
        <v>-1</v>
      </c>
    </row>
    <row r="77" spans="2:15" s="347" customFormat="1" ht="15.75" thickBot="1">
      <c r="B77" s="586" t="s">
        <v>48</v>
      </c>
      <c r="C77" s="586"/>
      <c r="D77" s="586"/>
      <c r="E77" s="362"/>
      <c r="F77" s="319"/>
      <c r="G77" s="320"/>
      <c r="H77" s="321">
        <f>SUM(H75:H76)</f>
        <v>1515.8692390000003</v>
      </c>
      <c r="I77" s="322"/>
      <c r="J77" s="322"/>
      <c r="K77" s="322"/>
      <c r="L77" s="323">
        <f>SUM(L75:L76)</f>
        <v>1832.1501340000002</v>
      </c>
      <c r="M77" s="324"/>
      <c r="N77" s="391">
        <f>L77-H77</f>
        <v>316.2808949999999</v>
      </c>
      <c r="O77" s="363">
        <f>IF((H77)=0,"",(N77/H77))</f>
        <v>0.2086465552982963</v>
      </c>
    </row>
    <row r="78" spans="2:15" s="347" customFormat="1" ht="8.25" customHeight="1" thickBot="1">
      <c r="B78" s="356"/>
      <c r="C78" s="357"/>
      <c r="D78" s="358"/>
      <c r="E78" s="357"/>
      <c r="F78" s="325"/>
      <c r="G78" s="364"/>
      <c r="H78" s="326"/>
      <c r="I78" s="365"/>
      <c r="J78" s="325"/>
      <c r="K78" s="299"/>
      <c r="L78" s="327"/>
      <c r="M78" s="300"/>
      <c r="N78" s="366"/>
      <c r="O78" s="272"/>
    </row>
    <row r="79" s="210" customFormat="1" ht="10.5" customHeight="1">
      <c r="L79" s="261"/>
    </row>
    <row r="80" spans="2:10" s="210" customFormat="1" ht="15">
      <c r="B80" s="367" t="s">
        <v>49</v>
      </c>
      <c r="F80" s="328">
        <v>0.0495</v>
      </c>
      <c r="J80" s="328">
        <v>0.0495</v>
      </c>
    </row>
    <row r="81" s="210" customFormat="1" ht="10.5" customHeight="1"/>
    <row r="82" spans="2:15" s="210" customFormat="1" ht="15">
      <c r="B82" s="423" t="s">
        <v>144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="210" customFormat="1" ht="10.5" customHeight="1"/>
    <row r="84" s="210" customFormat="1" ht="17.25">
      <c r="A84" s="368" t="s">
        <v>128</v>
      </c>
    </row>
    <row r="85" s="210" customFormat="1" ht="10.5" customHeight="1"/>
    <row r="86" s="210" customFormat="1" ht="15">
      <c r="A86" s="210" t="s">
        <v>51</v>
      </c>
    </row>
    <row r="87" s="210" customFormat="1" ht="15">
      <c r="A87" s="210" t="s">
        <v>52</v>
      </c>
    </row>
    <row r="88" s="210" customFormat="1" ht="15"/>
    <row r="89" s="210" customFormat="1" ht="15">
      <c r="A89" s="330" t="s">
        <v>53</v>
      </c>
    </row>
    <row r="90" s="210" customFormat="1" ht="15">
      <c r="A90" s="330" t="s">
        <v>54</v>
      </c>
    </row>
    <row r="91" s="210" customFormat="1" ht="15"/>
    <row r="92" s="210" customFormat="1" ht="15">
      <c r="A92" s="210" t="s">
        <v>55</v>
      </c>
    </row>
    <row r="93" s="210" customFormat="1" ht="15">
      <c r="A93" s="210" t="s">
        <v>56</v>
      </c>
    </row>
    <row r="94" s="210" customFormat="1" ht="15">
      <c r="A94" s="210" t="s">
        <v>57</v>
      </c>
    </row>
    <row r="95" s="210" customFormat="1" ht="15">
      <c r="A95" s="210" t="s">
        <v>58</v>
      </c>
    </row>
    <row r="96" s="210" customFormat="1" ht="15">
      <c r="A96" s="210" t="s">
        <v>59</v>
      </c>
    </row>
    <row r="97" s="210" customFormat="1" ht="15"/>
    <row r="98" spans="1:2" s="210" customFormat="1" ht="15">
      <c r="A98" s="329"/>
      <c r="B98" s="210" t="s">
        <v>60</v>
      </c>
    </row>
    <row r="99" s="210" customFormat="1" ht="15"/>
    <row r="100" s="210" customFormat="1" ht="15"/>
    <row r="101" s="210" customFormat="1" ht="15"/>
    <row r="102" s="210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'GS&lt;50 (10,000kWh)'!#REF!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53:E54 E42:E51 E66 E23:E40 E56:E63">
      <formula1>'GS&lt;50 (10,000kWh)'!#REF!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9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58.7109375" style="8" customWidth="1"/>
    <col min="3" max="3" width="1.421875" style="8" customWidth="1"/>
    <col min="4" max="4" width="11.28125" style="8" customWidth="1"/>
    <col min="5" max="5" width="1.28515625" style="8" customWidth="1"/>
    <col min="6" max="6" width="9.00390625" style="8" bestFit="1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10.574218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11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12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87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" customHeight="1">
      <c r="N8" s="8"/>
      <c r="O8"/>
      <c r="P8" s="23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68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15000</v>
      </c>
      <c r="G18" s="14" t="s">
        <v>9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412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412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392">
        <f>'GS&lt;50 (1,000kWh)'!F23</f>
        <v>17.36</v>
      </c>
      <c r="G23" s="215">
        <v>1</v>
      </c>
      <c r="H23" s="216">
        <f>G23*F23</f>
        <v>17.36</v>
      </c>
      <c r="I23" s="217"/>
      <c r="J23" s="392">
        <f>'GS&lt;50 (1,000kWh)'!J23</f>
        <v>17.36</v>
      </c>
      <c r="K23" s="218">
        <v>1</v>
      </c>
      <c r="L23" s="216">
        <f>K23*J23</f>
        <v>17.36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30">
      <c r="B24" s="380" t="s">
        <v>64</v>
      </c>
      <c r="C24" s="211"/>
      <c r="D24" s="224" t="s">
        <v>62</v>
      </c>
      <c r="E24" s="213"/>
      <c r="F24" s="393">
        <f>'GS&lt;50 (1,000kWh)'!F24</f>
        <v>4.33</v>
      </c>
      <c r="G24" s="215">
        <v>1</v>
      </c>
      <c r="H24" s="216">
        <f>G24*F24</f>
        <v>4.33</v>
      </c>
      <c r="I24" s="217"/>
      <c r="J24" s="393">
        <f>'GS&lt;50 (1,000kWh)'!J24</f>
        <v>4.33</v>
      </c>
      <c r="K24" s="218">
        <v>1</v>
      </c>
      <c r="L24" s="216">
        <f>K24*J24</f>
        <v>4.33</v>
      </c>
      <c r="M24" s="217"/>
      <c r="N24" s="219">
        <f>L24-H24</f>
        <v>0</v>
      </c>
      <c r="O24" s="220">
        <f>IF((H24)=0,"",(N24/H24))</f>
        <v>0</v>
      </c>
    </row>
    <row r="25" spans="2:15" s="210" customFormat="1" ht="15" hidden="1">
      <c r="B25" s="223" t="s">
        <v>109</v>
      </c>
      <c r="C25" s="211"/>
      <c r="D25" s="224" t="s">
        <v>62</v>
      </c>
      <c r="E25" s="213"/>
      <c r="F25" s="394">
        <v>0</v>
      </c>
      <c r="G25" s="215">
        <v>1</v>
      </c>
      <c r="H25" s="216">
        <f>G25*F25</f>
        <v>0</v>
      </c>
      <c r="I25" s="217"/>
      <c r="J25" s="394">
        <f>'GS&lt;50 (1,000kWh)'!J25</f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380"/>
      <c r="C26" s="211"/>
      <c r="D26" s="224" t="s">
        <v>62</v>
      </c>
      <c r="E26" s="227"/>
      <c r="F26" s="394">
        <v>0</v>
      </c>
      <c r="G26" s="215">
        <v>1</v>
      </c>
      <c r="H26" s="216">
        <f aca="true" t="shared" si="0" ref="H26:H40">G26*F26</f>
        <v>0</v>
      </c>
      <c r="I26" s="217"/>
      <c r="J26" s="393">
        <f>'GS&lt;50 (1,000kWh)'!J26</f>
        <v>0</v>
      </c>
      <c r="K26" s="218">
        <v>1</v>
      </c>
      <c r="L26" s="216">
        <f aca="true" t="shared" si="1" ref="L26:L40">K26*J26</f>
        <v>0</v>
      </c>
      <c r="M26" s="217"/>
      <c r="N26" s="219">
        <f aca="true" t="shared" si="2" ref="N26:N71">L26-H26</f>
        <v>0</v>
      </c>
      <c r="O26" s="220">
        <f aca="true" t="shared" si="3" ref="O26:O50">IF((H26)=0,"",(N26/H26))</f>
      </c>
    </row>
    <row r="27" spans="2:15" s="210" customFormat="1" ht="15" hidden="1">
      <c r="B27" s="226" t="s">
        <v>65</v>
      </c>
      <c r="C27" s="211"/>
      <c r="D27" s="212" t="s">
        <v>62</v>
      </c>
      <c r="E27" s="213"/>
      <c r="F27" s="246">
        <f>'GS&lt;50 (1,000kWh)'!F27</f>
        <v>0</v>
      </c>
      <c r="G27" s="215">
        <v>1</v>
      </c>
      <c r="H27" s="216">
        <f t="shared" si="0"/>
        <v>0</v>
      </c>
      <c r="I27" s="217"/>
      <c r="J27" s="246">
        <f>'GS&lt;50 (1,000kWh)'!J27</f>
        <v>0</v>
      </c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 hidden="1">
      <c r="B28" s="338" t="s">
        <v>66</v>
      </c>
      <c r="C28" s="211"/>
      <c r="D28" s="212" t="s">
        <v>63</v>
      </c>
      <c r="E28" s="213"/>
      <c r="F28" s="246">
        <v>0</v>
      </c>
      <c r="G28" s="215">
        <f aca="true" t="shared" si="4" ref="G28:G33">$F$18</f>
        <v>15000</v>
      </c>
      <c r="H28" s="216">
        <f t="shared" si="0"/>
        <v>0</v>
      </c>
      <c r="I28" s="217"/>
      <c r="J28" s="246">
        <f>'GS&lt;50 (1,000kWh)'!J28</f>
        <v>0</v>
      </c>
      <c r="K28" s="215">
        <f>$F$18</f>
        <v>15000</v>
      </c>
      <c r="L28" s="216">
        <f t="shared" si="1"/>
        <v>0</v>
      </c>
      <c r="M28" s="217"/>
      <c r="N28" s="219">
        <f t="shared" si="2"/>
        <v>0</v>
      </c>
      <c r="O28" s="220">
        <f t="shared" si="3"/>
      </c>
    </row>
    <row r="29" spans="2:15" s="210" customFormat="1" ht="15">
      <c r="B29" s="211" t="s">
        <v>108</v>
      </c>
      <c r="C29" s="211"/>
      <c r="D29" s="212" t="s">
        <v>63</v>
      </c>
      <c r="E29" s="213"/>
      <c r="F29" s="395">
        <f>'GS&lt;50 (1,000kWh)'!F29</f>
        <v>0</v>
      </c>
      <c r="G29" s="215">
        <f t="shared" si="4"/>
        <v>15000</v>
      </c>
      <c r="H29" s="216">
        <f t="shared" si="0"/>
        <v>0</v>
      </c>
      <c r="I29" s="217"/>
      <c r="J29" s="471">
        <f>'GS&lt;50 (1,000kWh)'!J29</f>
        <v>0.0021</v>
      </c>
      <c r="K29" s="215">
        <f>$F$18</f>
        <v>15000</v>
      </c>
      <c r="L29" s="216">
        <f t="shared" si="1"/>
        <v>31.499999999999996</v>
      </c>
      <c r="M29" s="217"/>
      <c r="N29" s="219">
        <f t="shared" si="2"/>
        <v>31.499999999999996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46">
        <f>'GS&lt;50 (1,000kWh)'!F30</f>
        <v>0</v>
      </c>
      <c r="G30" s="215">
        <f t="shared" si="4"/>
        <v>15000</v>
      </c>
      <c r="H30" s="216">
        <f>G30*F30</f>
        <v>0</v>
      </c>
      <c r="I30" s="217"/>
      <c r="J30" s="246">
        <f>'GS&lt;50 (1,000kWh)'!J30</f>
        <v>0</v>
      </c>
      <c r="K30" s="215">
        <f>$F$18</f>
        <v>15000</v>
      </c>
      <c r="L30" s="216">
        <f>K30*J30</f>
        <v>0</v>
      </c>
      <c r="M30" s="217"/>
      <c r="N30" s="219">
        <f>L30-H30</f>
        <v>0</v>
      </c>
      <c r="O30" s="220">
        <f>IF((H30)=0,"",(N30/H30))</f>
      </c>
    </row>
    <row r="31" spans="2:15" s="210" customFormat="1" ht="15">
      <c r="B31" s="211" t="s">
        <v>21</v>
      </c>
      <c r="C31" s="211"/>
      <c r="D31" s="212" t="s">
        <v>63</v>
      </c>
      <c r="E31" s="213"/>
      <c r="F31" s="246">
        <f>'GS&lt;50 (1,000kWh)'!F31</f>
        <v>0.018</v>
      </c>
      <c r="G31" s="215">
        <f t="shared" si="4"/>
        <v>15000</v>
      </c>
      <c r="H31" s="216">
        <f t="shared" si="0"/>
        <v>270</v>
      </c>
      <c r="I31" s="217"/>
      <c r="J31" s="246">
        <f>'GS&lt;50 (1,000kWh)'!J31</f>
        <v>0.018</v>
      </c>
      <c r="K31" s="215">
        <f>$F$18</f>
        <v>15000</v>
      </c>
      <c r="L31" s="216">
        <f t="shared" si="1"/>
        <v>270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46"/>
      <c r="G32" s="215">
        <f t="shared" si="4"/>
        <v>15000</v>
      </c>
      <c r="H32" s="216">
        <f t="shared" si="0"/>
        <v>0</v>
      </c>
      <c r="I32" s="217"/>
      <c r="J32" s="246"/>
      <c r="K32" s="215">
        <f aca="true" t="shared" si="5" ref="K32:K40">$F$18</f>
        <v>15000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5" hidden="1">
      <c r="B33" s="211" t="s">
        <v>108</v>
      </c>
      <c r="C33" s="211"/>
      <c r="D33" s="212" t="s">
        <v>63</v>
      </c>
      <c r="E33" s="213"/>
      <c r="F33" s="246">
        <v>0</v>
      </c>
      <c r="G33" s="215">
        <f t="shared" si="4"/>
        <v>15000</v>
      </c>
      <c r="H33" s="216">
        <f t="shared" si="0"/>
        <v>0</v>
      </c>
      <c r="I33" s="217"/>
      <c r="J33" s="246">
        <f>'GS&lt;50 (1,000kWh)'!$J33</f>
        <v>0</v>
      </c>
      <c r="K33" s="215">
        <f t="shared" si="5"/>
        <v>15000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6" ref="G34:G40">$F$18</f>
        <v>15000</v>
      </c>
      <c r="H34" s="216">
        <f t="shared" si="0"/>
        <v>0</v>
      </c>
      <c r="I34" s="217"/>
      <c r="J34" s="228"/>
      <c r="K34" s="215">
        <f t="shared" si="5"/>
        <v>15000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6"/>
        <v>15000</v>
      </c>
      <c r="H35" s="216">
        <f t="shared" si="0"/>
        <v>0</v>
      </c>
      <c r="I35" s="217"/>
      <c r="J35" s="228"/>
      <c r="K35" s="215">
        <f t="shared" si="5"/>
        <v>15000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6"/>
        <v>15000</v>
      </c>
      <c r="H36" s="216">
        <f t="shared" si="0"/>
        <v>0</v>
      </c>
      <c r="I36" s="217"/>
      <c r="J36" s="228"/>
      <c r="K36" s="215">
        <f t="shared" si="5"/>
        <v>15000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6"/>
        <v>15000</v>
      </c>
      <c r="H37" s="216">
        <f t="shared" si="0"/>
        <v>0</v>
      </c>
      <c r="I37" s="217"/>
      <c r="J37" s="228"/>
      <c r="K37" s="215">
        <f t="shared" si="5"/>
        <v>15000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6"/>
        <v>15000</v>
      </c>
      <c r="H38" s="216">
        <f t="shared" si="0"/>
        <v>0</v>
      </c>
      <c r="I38" s="217"/>
      <c r="J38" s="228"/>
      <c r="K38" s="215">
        <f t="shared" si="5"/>
        <v>15000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6"/>
        <v>15000</v>
      </c>
      <c r="H39" s="216">
        <f t="shared" si="0"/>
        <v>0</v>
      </c>
      <c r="I39" s="217"/>
      <c r="J39" s="228"/>
      <c r="K39" s="215">
        <f t="shared" si="5"/>
        <v>15000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6"/>
        <v>15000</v>
      </c>
      <c r="H40" s="216">
        <f t="shared" si="0"/>
        <v>0</v>
      </c>
      <c r="I40" s="217"/>
      <c r="J40" s="228"/>
      <c r="K40" s="215">
        <f t="shared" si="5"/>
        <v>15000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291.69</v>
      </c>
      <c r="I41" s="237"/>
      <c r="J41" s="234"/>
      <c r="K41" s="239"/>
      <c r="L41" s="236">
        <f>SUM(L23:L40)</f>
        <v>323.19</v>
      </c>
      <c r="M41" s="237"/>
      <c r="N41" s="240">
        <f t="shared" si="2"/>
        <v>31.5</v>
      </c>
      <c r="O41" s="340">
        <f t="shared" si="3"/>
        <v>0.1079913606911447</v>
      </c>
    </row>
    <row r="42" spans="2:15" s="210" customFormat="1" ht="15" hidden="1">
      <c r="B42" s="226"/>
      <c r="C42" s="211"/>
      <c r="D42" s="224" t="s">
        <v>62</v>
      </c>
      <c r="E42" s="213"/>
      <c r="F42" s="228"/>
      <c r="G42" s="215">
        <v>1</v>
      </c>
      <c r="H42" s="216">
        <f>G42*F42</f>
        <v>0</v>
      </c>
      <c r="I42" s="217"/>
      <c r="J42" s="228"/>
      <c r="K42" s="218">
        <v>1</v>
      </c>
      <c r="L42" s="216">
        <f>K42*J42</f>
        <v>0</v>
      </c>
      <c r="M42" s="217"/>
      <c r="N42" s="230">
        <f>L42-H42</f>
        <v>0</v>
      </c>
      <c r="O42" s="220">
        <f>IF((H42)=0,"",(N42/H42))</f>
      </c>
    </row>
    <row r="43" spans="2:15" s="210" customFormat="1" ht="15">
      <c r="B43" s="381" t="s">
        <v>25</v>
      </c>
      <c r="C43" s="211"/>
      <c r="D43" s="224" t="s">
        <v>63</v>
      </c>
      <c r="E43" s="227"/>
      <c r="F43" s="415">
        <f>'GS&lt;50 (1,000kWh)'!F43</f>
        <v>-0.0071</v>
      </c>
      <c r="G43" s="215">
        <f aca="true" t="shared" si="7" ref="G43:G49">$F$18</f>
        <v>15000</v>
      </c>
      <c r="H43" s="216">
        <f aca="true" t="shared" si="8" ref="H43:H51">G43*F43</f>
        <v>-106.5</v>
      </c>
      <c r="I43" s="217"/>
      <c r="J43" s="397">
        <f>'GS&lt;50 (1,000kWh)'!J43</f>
        <v>0.0021</v>
      </c>
      <c r="K43" s="215">
        <f aca="true" t="shared" si="9" ref="K43:K49">$F$18</f>
        <v>15000</v>
      </c>
      <c r="L43" s="216">
        <f aca="true" t="shared" si="10" ref="L43:L51">K43*J43</f>
        <v>31.499999999999996</v>
      </c>
      <c r="M43" s="217"/>
      <c r="N43" s="219">
        <f t="shared" si="2"/>
        <v>138</v>
      </c>
      <c r="O43" s="220">
        <f t="shared" si="3"/>
        <v>-1.295774647887324</v>
      </c>
    </row>
    <row r="44" spans="2:15" s="210" customFormat="1" ht="15" hidden="1">
      <c r="B44" s="381"/>
      <c r="C44" s="211"/>
      <c r="D44" s="212" t="s">
        <v>63</v>
      </c>
      <c r="E44" s="213"/>
      <c r="F44" s="246"/>
      <c r="G44" s="215">
        <f t="shared" si="7"/>
        <v>15000</v>
      </c>
      <c r="H44" s="216">
        <f t="shared" si="8"/>
        <v>0</v>
      </c>
      <c r="I44" s="243"/>
      <c r="J44" s="246"/>
      <c r="K44" s="215">
        <f t="shared" si="9"/>
        <v>15000</v>
      </c>
      <c r="L44" s="216">
        <f t="shared" si="10"/>
        <v>0</v>
      </c>
      <c r="M44" s="244"/>
      <c r="N44" s="219">
        <f t="shared" si="2"/>
        <v>0</v>
      </c>
      <c r="O44" s="220">
        <f t="shared" si="3"/>
      </c>
    </row>
    <row r="45" spans="2:15" s="210" customFormat="1" ht="15" hidden="1">
      <c r="B45" s="381"/>
      <c r="C45" s="211"/>
      <c r="D45" s="212" t="s">
        <v>63</v>
      </c>
      <c r="E45" s="213"/>
      <c r="F45" s="246"/>
      <c r="G45" s="215">
        <f t="shared" si="7"/>
        <v>15000</v>
      </c>
      <c r="H45" s="216">
        <f t="shared" si="8"/>
        <v>0</v>
      </c>
      <c r="I45" s="243"/>
      <c r="J45" s="246"/>
      <c r="K45" s="215">
        <f t="shared" si="9"/>
        <v>15000</v>
      </c>
      <c r="L45" s="216">
        <f t="shared" si="10"/>
        <v>0</v>
      </c>
      <c r="M45" s="244"/>
      <c r="N45" s="219">
        <f t="shared" si="2"/>
        <v>0</v>
      </c>
      <c r="O45" s="220">
        <f t="shared" si="3"/>
      </c>
    </row>
    <row r="46" spans="2:15" s="210" customFormat="1" ht="15" hidden="1">
      <c r="B46" s="380"/>
      <c r="C46" s="211"/>
      <c r="D46" s="224" t="s">
        <v>62</v>
      </c>
      <c r="E46" s="213"/>
      <c r="F46" s="246"/>
      <c r="G46" s="215">
        <f t="shared" si="7"/>
        <v>15000</v>
      </c>
      <c r="H46" s="216">
        <f t="shared" si="8"/>
        <v>0</v>
      </c>
      <c r="I46" s="243"/>
      <c r="J46" s="246"/>
      <c r="K46" s="215">
        <f t="shared" si="9"/>
        <v>15000</v>
      </c>
      <c r="L46" s="216">
        <f t="shared" si="10"/>
        <v>0</v>
      </c>
      <c r="M46" s="244"/>
      <c r="N46" s="219">
        <f t="shared" si="2"/>
        <v>0</v>
      </c>
      <c r="O46" s="220">
        <f t="shared" si="3"/>
      </c>
    </row>
    <row r="47" spans="2:15" s="210" customFormat="1" ht="15" hidden="1">
      <c r="B47" s="381"/>
      <c r="C47" s="211"/>
      <c r="D47" s="212" t="s">
        <v>63</v>
      </c>
      <c r="E47" s="213"/>
      <c r="F47" s="246">
        <f>'GS&lt;50 (1,000kWh)'!F47</f>
        <v>0</v>
      </c>
      <c r="G47" s="215">
        <f t="shared" si="7"/>
        <v>15000</v>
      </c>
      <c r="H47" s="216">
        <f t="shared" si="8"/>
        <v>0</v>
      </c>
      <c r="I47" s="217"/>
      <c r="J47" s="246">
        <v>0</v>
      </c>
      <c r="K47" s="215">
        <f t="shared" si="9"/>
        <v>15000</v>
      </c>
      <c r="L47" s="216">
        <f t="shared" si="10"/>
        <v>0</v>
      </c>
      <c r="M47" s="217"/>
      <c r="N47" s="219">
        <f>L47-H47</f>
        <v>0</v>
      </c>
      <c r="O47" s="220">
        <f>IF((H47)=0,"",(N47/H47))</f>
      </c>
    </row>
    <row r="48" spans="2:15" s="210" customFormat="1" ht="15" hidden="1">
      <c r="B48" s="211"/>
      <c r="C48" s="211"/>
      <c r="D48" s="212" t="s">
        <v>63</v>
      </c>
      <c r="E48" s="213"/>
      <c r="F48" s="246">
        <f>'GS&lt;50 (1,000kWh)'!F48</f>
        <v>0</v>
      </c>
      <c r="G48" s="215">
        <f t="shared" si="7"/>
        <v>15000</v>
      </c>
      <c r="H48" s="216">
        <f t="shared" si="8"/>
        <v>0</v>
      </c>
      <c r="I48" s="217"/>
      <c r="J48" s="246">
        <f>'GS&lt;50 (1,000kWh)'!$J48</f>
        <v>0</v>
      </c>
      <c r="K48" s="215">
        <f t="shared" si="9"/>
        <v>15000</v>
      </c>
      <c r="L48" s="216">
        <f t="shared" si="10"/>
        <v>0</v>
      </c>
      <c r="M48" s="217"/>
      <c r="N48" s="219">
        <f>L48-H48</f>
        <v>0</v>
      </c>
      <c r="O48" s="220">
        <f>IF((H48)=0,"",(N48/H48))</f>
      </c>
    </row>
    <row r="49" spans="2:15" s="210" customFormat="1" ht="15">
      <c r="B49" s="341" t="s">
        <v>26</v>
      </c>
      <c r="C49" s="211"/>
      <c r="D49" s="212" t="s">
        <v>63</v>
      </c>
      <c r="E49" s="213"/>
      <c r="F49" s="246">
        <f>'GS&lt;50 (1,000kWh)'!F49</f>
        <v>0.0024</v>
      </c>
      <c r="G49" s="215">
        <f t="shared" si="7"/>
        <v>15000</v>
      </c>
      <c r="H49" s="216">
        <f t="shared" si="8"/>
        <v>36</v>
      </c>
      <c r="I49" s="217"/>
      <c r="J49" s="246">
        <f>'GS&lt;50 (1,000kWh)'!J49</f>
        <v>0.0024</v>
      </c>
      <c r="K49" s="215">
        <f t="shared" si="9"/>
        <v>15000</v>
      </c>
      <c r="L49" s="216">
        <f t="shared" si="10"/>
        <v>36</v>
      </c>
      <c r="M49" s="217"/>
      <c r="N49" s="219">
        <f t="shared" si="2"/>
        <v>0</v>
      </c>
      <c r="O49" s="220">
        <f t="shared" si="3"/>
        <v>0</v>
      </c>
    </row>
    <row r="50" spans="2:15" s="241" customFormat="1" ht="15">
      <c r="B50" s="342" t="s">
        <v>27</v>
      </c>
      <c r="C50" s="213"/>
      <c r="D50" s="212" t="s">
        <v>63</v>
      </c>
      <c r="E50" s="213"/>
      <c r="F50" s="246">
        <f>IF(ISBLANK(D16)=TRUE,0,IF(D16="TOU",0.64*$F$61+0.18*$F$62+0.18*$F$63,IF(AND(D16="non-TOU",G65&gt;0),F65,F64)))</f>
        <v>0.10214000000000001</v>
      </c>
      <c r="G50" s="215">
        <f>$F$18*(1+$F$80)-$F$18</f>
        <v>742.5000000000018</v>
      </c>
      <c r="H50" s="247">
        <f t="shared" si="8"/>
        <v>75.8389500000002</v>
      </c>
      <c r="I50" s="227"/>
      <c r="J50" s="246">
        <f>0.64*$F$61+0.18*$F$62+0.18*$F$63</f>
        <v>0.10214000000000001</v>
      </c>
      <c r="K50" s="215">
        <f>$F$18*(1+$J$80)-$F$18</f>
        <v>742.5000000000018</v>
      </c>
      <c r="L50" s="247">
        <f t="shared" si="10"/>
        <v>75.8389500000002</v>
      </c>
      <c r="M50" s="227"/>
      <c r="N50" s="219">
        <f t="shared" si="2"/>
        <v>0</v>
      </c>
      <c r="O50" s="248">
        <f t="shared" si="3"/>
        <v>0</v>
      </c>
    </row>
    <row r="51" spans="2:15" s="210" customFormat="1" ht="15">
      <c r="B51" s="341" t="s">
        <v>28</v>
      </c>
      <c r="C51" s="211"/>
      <c r="D51" s="212" t="s">
        <v>62</v>
      </c>
      <c r="E51" s="213"/>
      <c r="F51" s="392">
        <f>'GS&lt;50 (1,000kWh)'!F51</f>
        <v>0.79</v>
      </c>
      <c r="G51" s="215">
        <v>1</v>
      </c>
      <c r="H51" s="216">
        <f t="shared" si="8"/>
        <v>0.79</v>
      </c>
      <c r="I51" s="217"/>
      <c r="J51" s="249">
        <v>0.79</v>
      </c>
      <c r="K51" s="215">
        <v>1</v>
      </c>
      <c r="L51" s="216">
        <f t="shared" si="10"/>
        <v>0.79</v>
      </c>
      <c r="M51" s="217"/>
      <c r="N51" s="219">
        <f t="shared" si="2"/>
        <v>0</v>
      </c>
      <c r="O51" s="220"/>
    </row>
    <row r="52" spans="2:15" s="210" customFormat="1" ht="15">
      <c r="B52" s="343" t="s">
        <v>29</v>
      </c>
      <c r="C52" s="250"/>
      <c r="D52" s="250"/>
      <c r="E52" s="250"/>
      <c r="F52" s="416"/>
      <c r="G52" s="251"/>
      <c r="H52" s="252">
        <f>SUM(H42:H51)+H41</f>
        <v>297.8189500000002</v>
      </c>
      <c r="I52" s="237"/>
      <c r="J52" s="43"/>
      <c r="K52" s="253"/>
      <c r="L52" s="252">
        <f>SUM(L42:L51)+L41</f>
        <v>467.3189500000002</v>
      </c>
      <c r="M52" s="237"/>
      <c r="N52" s="240">
        <f t="shared" si="2"/>
        <v>169.5</v>
      </c>
      <c r="O52" s="340">
        <f aca="true" t="shared" si="11" ref="O52:O71">IF((H52)=0,"",(N52/H52))</f>
        <v>0.5691377261252176</v>
      </c>
    </row>
    <row r="53" spans="2:15" s="210" customFormat="1" ht="15">
      <c r="B53" s="217" t="s">
        <v>30</v>
      </c>
      <c r="C53" s="217"/>
      <c r="D53" s="224" t="s">
        <v>63</v>
      </c>
      <c r="E53" s="227"/>
      <c r="F53" s="245">
        <f>'GS&lt;50 (1,000kWh)'!F53</f>
        <v>0.0044</v>
      </c>
      <c r="G53" s="468">
        <f>F18*(1+F80)</f>
        <v>15742.500000000002</v>
      </c>
      <c r="H53" s="216">
        <f>G53*F53</f>
        <v>69.26700000000001</v>
      </c>
      <c r="I53" s="217"/>
      <c r="J53" s="245">
        <f>'GS&lt;50 (1,000kWh)'!J53</f>
        <v>0.0048</v>
      </c>
      <c r="K53" s="469">
        <f>F18*(1+J80)</f>
        <v>15742.500000000002</v>
      </c>
      <c r="L53" s="216">
        <f>K53*J53</f>
        <v>75.56400000000001</v>
      </c>
      <c r="M53" s="217"/>
      <c r="N53" s="219">
        <f t="shared" si="2"/>
        <v>6.296999999999997</v>
      </c>
      <c r="O53" s="220">
        <f t="shared" si="11"/>
        <v>0.09090909090909086</v>
      </c>
    </row>
    <row r="54" spans="2:15" s="210" customFormat="1" ht="15">
      <c r="B54" s="255" t="s">
        <v>31</v>
      </c>
      <c r="C54" s="217"/>
      <c r="D54" s="224" t="s">
        <v>63</v>
      </c>
      <c r="E54" s="227"/>
      <c r="F54" s="245">
        <f>'GS&lt;50 (1,000kWh)'!F54</f>
        <v>0.0017</v>
      </c>
      <c r="G54" s="468">
        <f>G53</f>
        <v>15742.500000000002</v>
      </c>
      <c r="H54" s="216">
        <f>G54*F54</f>
        <v>26.76225</v>
      </c>
      <c r="I54" s="217"/>
      <c r="J54" s="245">
        <f>'GS&lt;50 (1,000kWh)'!J54</f>
        <v>0.0027</v>
      </c>
      <c r="K54" s="469">
        <f>K53</f>
        <v>15742.500000000002</v>
      </c>
      <c r="L54" s="216">
        <f>K54*J54</f>
        <v>42.50475000000001</v>
      </c>
      <c r="M54" s="217"/>
      <c r="N54" s="219">
        <f t="shared" si="2"/>
        <v>15.742500000000007</v>
      </c>
      <c r="O54" s="220">
        <f t="shared" si="11"/>
        <v>0.5882352941176473</v>
      </c>
    </row>
    <row r="55" spans="2:15" s="210" customFormat="1" ht="15">
      <c r="B55" s="343" t="s">
        <v>32</v>
      </c>
      <c r="C55" s="232"/>
      <c r="D55" s="232"/>
      <c r="E55" s="232"/>
      <c r="F55" s="417"/>
      <c r="G55" s="109"/>
      <c r="H55" s="252">
        <f>SUM(H52:H54)</f>
        <v>393.8482000000002</v>
      </c>
      <c r="I55" s="256"/>
      <c r="J55" s="44"/>
      <c r="K55" s="147"/>
      <c r="L55" s="252">
        <f>SUM(L52:L54)</f>
        <v>585.3877000000002</v>
      </c>
      <c r="M55" s="256"/>
      <c r="N55" s="240">
        <f t="shared" si="2"/>
        <v>191.53950000000003</v>
      </c>
      <c r="O55" s="340">
        <f t="shared" si="11"/>
        <v>0.48632823509159095</v>
      </c>
    </row>
    <row r="56" spans="2:15" s="210" customFormat="1" ht="15">
      <c r="B56" s="223" t="s">
        <v>33</v>
      </c>
      <c r="C56" s="211"/>
      <c r="D56" s="212" t="s">
        <v>63</v>
      </c>
      <c r="E56" s="213"/>
      <c r="F56" s="246">
        <f>'GS&lt;50 (1,000kWh)'!F56</f>
        <v>0.0044</v>
      </c>
      <c r="G56" s="468">
        <f>G54</f>
        <v>15742.500000000002</v>
      </c>
      <c r="H56" s="247">
        <f aca="true" t="shared" si="12" ref="H56:H63">G56*F56</f>
        <v>69.26700000000001</v>
      </c>
      <c r="I56" s="227"/>
      <c r="J56" s="429">
        <f>'GS&lt;50 (1,000kWh)'!J56</f>
        <v>0.0036</v>
      </c>
      <c r="K56" s="469">
        <f>K54</f>
        <v>15742.500000000002</v>
      </c>
      <c r="L56" s="216">
        <f aca="true" t="shared" si="13" ref="L56:L63">K56*J56</f>
        <v>56.673</v>
      </c>
      <c r="M56" s="217"/>
      <c r="N56" s="219">
        <f t="shared" si="2"/>
        <v>-12.594000000000008</v>
      </c>
      <c r="O56" s="220">
        <f t="shared" si="11"/>
        <v>-0.1818181818181819</v>
      </c>
    </row>
    <row r="57" spans="2:15" s="210" customFormat="1" ht="15">
      <c r="B57" s="223" t="s">
        <v>34</v>
      </c>
      <c r="C57" s="211"/>
      <c r="D57" s="212" t="s">
        <v>63</v>
      </c>
      <c r="E57" s="213"/>
      <c r="F57" s="246">
        <f>'GS&lt;50 (1,000kWh)'!F57</f>
        <v>0.0013</v>
      </c>
      <c r="G57" s="468">
        <f>G54</f>
        <v>15742.500000000002</v>
      </c>
      <c r="H57" s="247">
        <f t="shared" si="12"/>
        <v>20.46525</v>
      </c>
      <c r="I57" s="227"/>
      <c r="J57" s="246">
        <f>'GS&lt;50 (1,000kWh)'!J57</f>
        <v>0.0013</v>
      </c>
      <c r="K57" s="469">
        <f>K54</f>
        <v>15742.500000000002</v>
      </c>
      <c r="L57" s="216">
        <f t="shared" si="13"/>
        <v>20.46525</v>
      </c>
      <c r="M57" s="217"/>
      <c r="N57" s="219">
        <f t="shared" si="2"/>
        <v>0</v>
      </c>
      <c r="O57" s="220">
        <f t="shared" si="11"/>
        <v>0</v>
      </c>
    </row>
    <row r="58" spans="2:15" s="210" customFormat="1" ht="15">
      <c r="B58" s="223" t="s">
        <v>121</v>
      </c>
      <c r="C58" s="211"/>
      <c r="D58" s="212" t="s">
        <v>63</v>
      </c>
      <c r="E58" s="213"/>
      <c r="F58" s="246">
        <f>'GS&lt;50 (1,000kWh)'!F58</f>
        <v>0</v>
      </c>
      <c r="G58" s="468">
        <f>G54</f>
        <v>15742.500000000002</v>
      </c>
      <c r="H58" s="247">
        <f t="shared" si="12"/>
        <v>0</v>
      </c>
      <c r="I58" s="227"/>
      <c r="J58" s="429">
        <f>'GS&lt;50 (1,000kWh)'!J58</f>
        <v>0.0011</v>
      </c>
      <c r="K58" s="469">
        <f>K54</f>
        <v>15742.500000000002</v>
      </c>
      <c r="L58" s="216">
        <f t="shared" si="13"/>
        <v>17.316750000000003</v>
      </c>
      <c r="M58" s="217"/>
      <c r="N58" s="219">
        <f t="shared" si="2"/>
        <v>17.316750000000003</v>
      </c>
      <c r="O58" s="220">
        <f t="shared" si="11"/>
      </c>
    </row>
    <row r="59" spans="2:15" s="210" customFormat="1" ht="15">
      <c r="B59" s="211" t="s">
        <v>35</v>
      </c>
      <c r="C59" s="211"/>
      <c r="D59" s="212" t="s">
        <v>62</v>
      </c>
      <c r="E59" s="213"/>
      <c r="F59" s="392">
        <f>'GS&lt;50 (1,000kWh)'!F59</f>
        <v>0.25</v>
      </c>
      <c r="G59" s="215">
        <v>1</v>
      </c>
      <c r="H59" s="247">
        <f t="shared" si="12"/>
        <v>0.25</v>
      </c>
      <c r="I59" s="227"/>
      <c r="J59" s="392">
        <f>'GS&lt;50 (1,000kWh)'!J59</f>
        <v>0.25</v>
      </c>
      <c r="K59" s="218">
        <v>1</v>
      </c>
      <c r="L59" s="216">
        <f t="shared" si="13"/>
        <v>0.25</v>
      </c>
      <c r="M59" s="217"/>
      <c r="N59" s="219">
        <f t="shared" si="2"/>
        <v>0</v>
      </c>
      <c r="O59" s="220">
        <f t="shared" si="11"/>
        <v>0</v>
      </c>
    </row>
    <row r="60" spans="2:15" s="210" customFormat="1" ht="15">
      <c r="B60" s="211" t="s">
        <v>36</v>
      </c>
      <c r="C60" s="211"/>
      <c r="D60" s="212" t="s">
        <v>63</v>
      </c>
      <c r="E60" s="213"/>
      <c r="F60" s="246">
        <f>'GS&lt;50 (1,000kWh)'!F60</f>
        <v>0.007</v>
      </c>
      <c r="G60" s="259">
        <f>F18</f>
        <v>15000</v>
      </c>
      <c r="H60" s="247">
        <f t="shared" si="12"/>
        <v>105</v>
      </c>
      <c r="I60" s="227"/>
      <c r="J60" s="246">
        <f>'GS&lt;50 (1,000kWh)'!J60</f>
        <v>0.007</v>
      </c>
      <c r="K60" s="260">
        <f>F18</f>
        <v>15000</v>
      </c>
      <c r="L60" s="216">
        <f t="shared" si="13"/>
        <v>105</v>
      </c>
      <c r="M60" s="217"/>
      <c r="N60" s="219">
        <f t="shared" si="2"/>
        <v>0</v>
      </c>
      <c r="O60" s="220">
        <f t="shared" si="11"/>
        <v>0</v>
      </c>
    </row>
    <row r="61" spans="2:19" s="210" customFormat="1" ht="15">
      <c r="B61" s="341" t="s">
        <v>37</v>
      </c>
      <c r="C61" s="211"/>
      <c r="D61" s="212" t="s">
        <v>63</v>
      </c>
      <c r="E61" s="213"/>
      <c r="F61" s="246">
        <f>'GS&lt;50 (1,000kWh)'!F61</f>
        <v>0.08</v>
      </c>
      <c r="G61" s="259">
        <f>0.64*$F$18</f>
        <v>9600</v>
      </c>
      <c r="H61" s="216">
        <f t="shared" si="12"/>
        <v>768</v>
      </c>
      <c r="I61" s="217"/>
      <c r="J61" s="246">
        <f>'GS&lt;50 (1,000kWh)'!J61</f>
        <v>0.08</v>
      </c>
      <c r="K61" s="259">
        <f>G61</f>
        <v>9600</v>
      </c>
      <c r="L61" s="216">
        <f t="shared" si="13"/>
        <v>768</v>
      </c>
      <c r="M61" s="217"/>
      <c r="N61" s="219">
        <f t="shared" si="2"/>
        <v>0</v>
      </c>
      <c r="O61" s="220">
        <f t="shared" si="11"/>
        <v>0</v>
      </c>
      <c r="S61" s="261"/>
    </row>
    <row r="62" spans="2:19" s="210" customFormat="1" ht="15">
      <c r="B62" s="341" t="s">
        <v>38</v>
      </c>
      <c r="C62" s="211"/>
      <c r="D62" s="212" t="s">
        <v>63</v>
      </c>
      <c r="E62" s="213"/>
      <c r="F62" s="246">
        <f>'GS&lt;50 (1,000kWh)'!F62</f>
        <v>0.122</v>
      </c>
      <c r="G62" s="259">
        <f>0.18*$F$18</f>
        <v>2700</v>
      </c>
      <c r="H62" s="216">
        <f t="shared" si="12"/>
        <v>329.4</v>
      </c>
      <c r="I62" s="217"/>
      <c r="J62" s="246">
        <f>'GS&lt;50 (1,000kWh)'!J62</f>
        <v>0.122</v>
      </c>
      <c r="K62" s="259">
        <f>G62</f>
        <v>2700</v>
      </c>
      <c r="L62" s="216">
        <f t="shared" si="13"/>
        <v>329.4</v>
      </c>
      <c r="M62" s="217"/>
      <c r="N62" s="219">
        <f t="shared" si="2"/>
        <v>0</v>
      </c>
      <c r="O62" s="220">
        <f t="shared" si="11"/>
        <v>0</v>
      </c>
      <c r="S62" s="261"/>
    </row>
    <row r="63" spans="2:19" s="210" customFormat="1" ht="15">
      <c r="B63" s="330" t="s">
        <v>39</v>
      </c>
      <c r="C63" s="211"/>
      <c r="D63" s="212" t="s">
        <v>63</v>
      </c>
      <c r="E63" s="213"/>
      <c r="F63" s="246">
        <f>'GS&lt;50 (1,000kWh)'!F63</f>
        <v>0.161</v>
      </c>
      <c r="G63" s="259">
        <f>0.18*$F$18</f>
        <v>2700</v>
      </c>
      <c r="H63" s="216">
        <f t="shared" si="12"/>
        <v>434.7</v>
      </c>
      <c r="I63" s="217"/>
      <c r="J63" s="246">
        <f>'GS&lt;50 (1,000kWh)'!J63</f>
        <v>0.161</v>
      </c>
      <c r="K63" s="259">
        <f>G63</f>
        <v>2700</v>
      </c>
      <c r="L63" s="216">
        <f t="shared" si="13"/>
        <v>434.7</v>
      </c>
      <c r="M63" s="217"/>
      <c r="N63" s="219">
        <f t="shared" si="2"/>
        <v>0</v>
      </c>
      <c r="O63" s="220">
        <f t="shared" si="11"/>
        <v>0</v>
      </c>
      <c r="S63" s="261"/>
    </row>
    <row r="64" spans="2:15" s="347" customFormat="1" ht="15">
      <c r="B64" s="344" t="s">
        <v>40</v>
      </c>
      <c r="C64" s="344"/>
      <c r="D64" s="345" t="s">
        <v>63</v>
      </c>
      <c r="E64" s="346"/>
      <c r="F64" s="246">
        <f>'GS&lt;50 (1,000kWh)'!F64</f>
        <v>0.094</v>
      </c>
      <c r="G64" s="262">
        <f>IF(AND($T$1=1,F18&gt;=600),600,IF(AND($T$1=1,AND(F18&lt;600,F18&gt;=0)),F18,IF(AND($T$1=2,F18&gt;=1000),1000,IF(AND($T$1=2,AND(F18&lt;1000,F18&gt;=0)),F18))))</f>
        <v>600</v>
      </c>
      <c r="H64" s="216">
        <f>G64*F64</f>
        <v>56.4</v>
      </c>
      <c r="I64" s="263"/>
      <c r="J64" s="246">
        <f>'GS&lt;50 (1,000kWh)'!J64</f>
        <v>0.094</v>
      </c>
      <c r="K64" s="262">
        <f>G64</f>
        <v>600</v>
      </c>
      <c r="L64" s="216">
        <f>K64*J64</f>
        <v>56.4</v>
      </c>
      <c r="M64" s="263"/>
      <c r="N64" s="219">
        <f t="shared" si="2"/>
        <v>0</v>
      </c>
      <c r="O64" s="220">
        <f t="shared" si="11"/>
        <v>0</v>
      </c>
    </row>
    <row r="65" spans="2:15" s="347" customFormat="1" ht="15.75" thickBot="1">
      <c r="B65" s="344" t="s">
        <v>41</v>
      </c>
      <c r="C65" s="344"/>
      <c r="D65" s="345" t="s">
        <v>63</v>
      </c>
      <c r="E65" s="346"/>
      <c r="F65" s="246">
        <f>'GS&lt;50 (1,000kWh)'!F65</f>
        <v>0.11</v>
      </c>
      <c r="G65" s="262">
        <f>IF(AND($T$1=1,F18&gt;=600),F18-600,IF(AND($T$1=1,AND(F18&lt;600,F18&gt;=0)),0,IF(AND($T$1=2,F18&gt;=1000),F18-1000,IF(AND($T$1=2,AND(F18&lt;1000,F18&gt;=0)),0))))</f>
        <v>14400</v>
      </c>
      <c r="H65" s="216">
        <f>G65*F65</f>
        <v>1584</v>
      </c>
      <c r="I65" s="263"/>
      <c r="J65" s="246">
        <f>'GS&lt;50 (1,000kWh)'!J65</f>
        <v>0.11</v>
      </c>
      <c r="K65" s="262">
        <f>G65</f>
        <v>14400</v>
      </c>
      <c r="L65" s="216">
        <f>K65*J65</f>
        <v>1584</v>
      </c>
      <c r="M65" s="263"/>
      <c r="N65" s="219">
        <f t="shared" si="2"/>
        <v>0</v>
      </c>
      <c r="O65" s="220">
        <f t="shared" si="11"/>
        <v>0</v>
      </c>
    </row>
    <row r="66" spans="2:15" s="210" customFormat="1" ht="8.25" customHeight="1" thickBot="1">
      <c r="B66" s="348"/>
      <c r="C66" s="264"/>
      <c r="D66" s="265"/>
      <c r="E66" s="264"/>
      <c r="F66" s="266"/>
      <c r="G66" s="267"/>
      <c r="H66" s="268"/>
      <c r="I66" s="269"/>
      <c r="J66" s="266"/>
      <c r="K66" s="270"/>
      <c r="L66" s="268"/>
      <c r="M66" s="269"/>
      <c r="N66" s="271"/>
      <c r="O66" s="272"/>
    </row>
    <row r="67" spans="2:19" s="210" customFormat="1" ht="15">
      <c r="B67" s="349" t="s">
        <v>42</v>
      </c>
      <c r="C67" s="211"/>
      <c r="D67" s="211"/>
      <c r="E67" s="211"/>
      <c r="F67" s="273"/>
      <c r="G67" s="274"/>
      <c r="H67" s="275">
        <f>SUM(H56:H63,H55)</f>
        <v>2120.9304500000003</v>
      </c>
      <c r="I67" s="276"/>
      <c r="J67" s="277"/>
      <c r="K67" s="277"/>
      <c r="L67" s="278">
        <f>SUM(L56:L63,L55)</f>
        <v>2317.1927000000005</v>
      </c>
      <c r="M67" s="279"/>
      <c r="N67" s="384">
        <f>L67-H67</f>
        <v>196.26225000000022</v>
      </c>
      <c r="O67" s="350">
        <f>IF((H67)=0,"",(N67/H67))</f>
        <v>0.09253591978935481</v>
      </c>
      <c r="S67" s="261"/>
    </row>
    <row r="68" spans="2:19" s="210" customFormat="1" ht="15">
      <c r="B68" s="351" t="s">
        <v>43</v>
      </c>
      <c r="C68" s="211"/>
      <c r="D68" s="211"/>
      <c r="E68" s="211"/>
      <c r="F68" s="281">
        <v>0.13</v>
      </c>
      <c r="G68" s="282"/>
      <c r="H68" s="283">
        <f>H67*F68</f>
        <v>275.72095850000005</v>
      </c>
      <c r="I68" s="284"/>
      <c r="J68" s="285">
        <v>0.13</v>
      </c>
      <c r="K68" s="284"/>
      <c r="L68" s="286">
        <f>L67*J68</f>
        <v>301.23505100000006</v>
      </c>
      <c r="M68" s="287"/>
      <c r="N68" s="385">
        <f t="shared" si="2"/>
        <v>25.514092500000004</v>
      </c>
      <c r="O68" s="352">
        <f t="shared" si="11"/>
        <v>0.09253591978935471</v>
      </c>
      <c r="S68" s="261"/>
    </row>
    <row r="69" spans="2:19" s="210" customFormat="1" ht="15">
      <c r="B69" s="353" t="s">
        <v>126</v>
      </c>
      <c r="C69" s="211"/>
      <c r="D69" s="211"/>
      <c r="E69" s="211"/>
      <c r="F69" s="288"/>
      <c r="G69" s="282"/>
      <c r="H69" s="283">
        <f>H67+H68</f>
        <v>2396.6514085000003</v>
      </c>
      <c r="I69" s="284"/>
      <c r="J69" s="284"/>
      <c r="K69" s="284"/>
      <c r="L69" s="286">
        <f>L67+L68</f>
        <v>2618.4277510000006</v>
      </c>
      <c r="M69" s="287"/>
      <c r="N69" s="385">
        <f t="shared" si="2"/>
        <v>221.77634250000028</v>
      </c>
      <c r="O69" s="352">
        <f t="shared" si="11"/>
        <v>0.09253591978935483</v>
      </c>
      <c r="S69" s="261"/>
    </row>
    <row r="70" spans="2:15" s="210" customFormat="1" ht="15.75" customHeight="1">
      <c r="B70" s="593" t="s">
        <v>127</v>
      </c>
      <c r="C70" s="593"/>
      <c r="D70" s="593"/>
      <c r="E70" s="211"/>
      <c r="F70" s="288"/>
      <c r="G70" s="282"/>
      <c r="H70" s="386">
        <f>ROUND(-H69*10%,2)</f>
        <v>-239.67</v>
      </c>
      <c r="I70" s="284"/>
      <c r="J70" s="284"/>
      <c r="K70" s="284"/>
      <c r="L70" s="411">
        <v>0</v>
      </c>
      <c r="M70" s="287"/>
      <c r="N70" s="385">
        <f t="shared" si="2"/>
        <v>239.67</v>
      </c>
      <c r="O70" s="352">
        <f t="shared" si="11"/>
        <v>-1</v>
      </c>
    </row>
    <row r="71" spans="2:15" s="210" customFormat="1" ht="15.75" thickBot="1">
      <c r="B71" s="594" t="s">
        <v>46</v>
      </c>
      <c r="C71" s="594"/>
      <c r="D71" s="594"/>
      <c r="E71" s="291"/>
      <c r="F71" s="292"/>
      <c r="G71" s="293"/>
      <c r="H71" s="294">
        <f>H69+H70</f>
        <v>2156.9814085000003</v>
      </c>
      <c r="I71" s="295"/>
      <c r="J71" s="295"/>
      <c r="K71" s="295"/>
      <c r="L71" s="296">
        <f>L69+L70</f>
        <v>2618.4277510000006</v>
      </c>
      <c r="M71" s="297"/>
      <c r="N71" s="388">
        <f t="shared" si="2"/>
        <v>461.44634250000036</v>
      </c>
      <c r="O71" s="355">
        <f t="shared" si="11"/>
        <v>0.21393153444975568</v>
      </c>
    </row>
    <row r="72" spans="2:15" s="347" customFormat="1" ht="8.25" customHeight="1" thickBot="1">
      <c r="B72" s="356"/>
      <c r="C72" s="357"/>
      <c r="D72" s="358"/>
      <c r="E72" s="357"/>
      <c r="F72" s="266"/>
      <c r="G72" s="299"/>
      <c r="H72" s="268"/>
      <c r="I72" s="300"/>
      <c r="J72" s="266"/>
      <c r="K72" s="301"/>
      <c r="L72" s="268"/>
      <c r="M72" s="300"/>
      <c r="N72" s="302"/>
      <c r="O72" s="272"/>
    </row>
    <row r="73" spans="2:15" s="347" customFormat="1" ht="15">
      <c r="B73" s="359" t="s">
        <v>47</v>
      </c>
      <c r="C73" s="344"/>
      <c r="D73" s="344"/>
      <c r="E73" s="344"/>
      <c r="F73" s="303"/>
      <c r="G73" s="304"/>
      <c r="H73" s="305">
        <f>SUM(H64:H65,H55,H56:H60)</f>
        <v>2229.2304500000005</v>
      </c>
      <c r="I73" s="306"/>
      <c r="J73" s="307"/>
      <c r="K73" s="307"/>
      <c r="L73" s="308">
        <f>SUM(L64:L65,L55,L56:L60)</f>
        <v>2425.4927000000007</v>
      </c>
      <c r="M73" s="309"/>
      <c r="N73" s="389">
        <f>L73-H73</f>
        <v>196.26225000000022</v>
      </c>
      <c r="O73" s="350">
        <f>IF((H73)=0,"",(N73/H73))</f>
        <v>0.08804035939846425</v>
      </c>
    </row>
    <row r="74" spans="2:15" s="347" customFormat="1" ht="15">
      <c r="B74" s="360" t="s">
        <v>43</v>
      </c>
      <c r="C74" s="344"/>
      <c r="D74" s="344"/>
      <c r="E74" s="344"/>
      <c r="F74" s="310">
        <v>0.13</v>
      </c>
      <c r="G74" s="304"/>
      <c r="H74" s="311">
        <f>H73*F74</f>
        <v>289.79995850000006</v>
      </c>
      <c r="I74" s="312"/>
      <c r="J74" s="310">
        <v>0.13</v>
      </c>
      <c r="K74" s="313"/>
      <c r="L74" s="314">
        <f>L73*J74</f>
        <v>315.3140510000001</v>
      </c>
      <c r="M74" s="315"/>
      <c r="N74" s="390">
        <f>L74-H74</f>
        <v>25.51409250000006</v>
      </c>
      <c r="O74" s="352">
        <f>IF((H74)=0,"",(N74/H74))</f>
        <v>0.08804035939846436</v>
      </c>
    </row>
    <row r="75" spans="2:15" s="347" customFormat="1" ht="15">
      <c r="B75" s="361" t="s">
        <v>126</v>
      </c>
      <c r="C75" s="344"/>
      <c r="D75" s="344"/>
      <c r="E75" s="344"/>
      <c r="F75" s="316"/>
      <c r="G75" s="315"/>
      <c r="H75" s="311">
        <f>H73+H74</f>
        <v>2519.0304085000007</v>
      </c>
      <c r="I75" s="312"/>
      <c r="J75" s="312"/>
      <c r="K75" s="312"/>
      <c r="L75" s="314">
        <f>L73+L74</f>
        <v>2740.806751000001</v>
      </c>
      <c r="M75" s="315"/>
      <c r="N75" s="390">
        <f>L75-H75</f>
        <v>221.77634250000028</v>
      </c>
      <c r="O75" s="352">
        <f>IF((H75)=0,"",(N75/H75))</f>
        <v>0.08804035939846425</v>
      </c>
    </row>
    <row r="76" spans="2:15" s="347" customFormat="1" ht="15.75" customHeight="1">
      <c r="B76" s="595" t="s">
        <v>127</v>
      </c>
      <c r="C76" s="595"/>
      <c r="D76" s="595"/>
      <c r="E76" s="344"/>
      <c r="F76" s="316"/>
      <c r="G76" s="315"/>
      <c r="H76" s="317">
        <f>ROUND(-H75*10%,2)</f>
        <v>-251.9</v>
      </c>
      <c r="I76" s="312"/>
      <c r="J76" s="312"/>
      <c r="K76" s="312"/>
      <c r="L76" s="409">
        <v>0</v>
      </c>
      <c r="M76" s="315"/>
      <c r="N76" s="390">
        <f>L76-H76</f>
        <v>251.9</v>
      </c>
      <c r="O76" s="352">
        <f>IF((H76)=0,"",(N76/H76))</f>
        <v>-1</v>
      </c>
    </row>
    <row r="77" spans="2:15" s="347" customFormat="1" ht="15.75" thickBot="1">
      <c r="B77" s="586" t="s">
        <v>48</v>
      </c>
      <c r="C77" s="586"/>
      <c r="D77" s="586"/>
      <c r="E77" s="362"/>
      <c r="F77" s="319"/>
      <c r="G77" s="320"/>
      <c r="H77" s="321">
        <f>SUM(H75:H76)</f>
        <v>2267.1304085000006</v>
      </c>
      <c r="I77" s="322"/>
      <c r="J77" s="322"/>
      <c r="K77" s="322"/>
      <c r="L77" s="323">
        <f>SUM(L75:L76)</f>
        <v>2740.806751000001</v>
      </c>
      <c r="M77" s="324"/>
      <c r="N77" s="391">
        <f>L77-H77</f>
        <v>473.6763425000004</v>
      </c>
      <c r="O77" s="363">
        <f>IF((H77)=0,"",(N77/H77))</f>
        <v>0.2089321111498824</v>
      </c>
    </row>
    <row r="78" spans="2:15" s="347" customFormat="1" ht="8.25" customHeight="1" thickBot="1">
      <c r="B78" s="356"/>
      <c r="C78" s="357"/>
      <c r="D78" s="358"/>
      <c r="E78" s="357"/>
      <c r="F78" s="325"/>
      <c r="G78" s="364"/>
      <c r="H78" s="326"/>
      <c r="I78" s="365"/>
      <c r="J78" s="325"/>
      <c r="K78" s="299"/>
      <c r="L78" s="327"/>
      <c r="M78" s="300"/>
      <c r="N78" s="366"/>
      <c r="O78" s="272"/>
    </row>
    <row r="79" s="210" customFormat="1" ht="10.5" customHeight="1">
      <c r="L79" s="261"/>
    </row>
    <row r="80" spans="2:10" s="210" customFormat="1" ht="15">
      <c r="B80" s="367" t="s">
        <v>49</v>
      </c>
      <c r="F80" s="328">
        <v>0.0495</v>
      </c>
      <c r="J80" s="328">
        <v>0.0495</v>
      </c>
    </row>
    <row r="81" s="210" customFormat="1" ht="10.5" customHeight="1"/>
    <row r="82" spans="2:15" s="210" customFormat="1" ht="15">
      <c r="B82" s="423" t="s">
        <v>144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="210" customFormat="1" ht="10.5" customHeight="1"/>
    <row r="84" s="210" customFormat="1" ht="10.5" customHeight="1"/>
    <row r="85" s="210" customFormat="1" ht="17.25">
      <c r="A85" s="368" t="s">
        <v>128</v>
      </c>
    </row>
    <row r="86" s="210" customFormat="1" ht="10.5" customHeight="1"/>
    <row r="87" s="210" customFormat="1" ht="15">
      <c r="A87" s="210" t="s">
        <v>51</v>
      </c>
    </row>
    <row r="88" s="210" customFormat="1" ht="15">
      <c r="A88" s="210" t="s">
        <v>52</v>
      </c>
    </row>
    <row r="89" s="210" customFormat="1" ht="15"/>
    <row r="90" s="210" customFormat="1" ht="15">
      <c r="A90" s="330" t="s">
        <v>53</v>
      </c>
    </row>
    <row r="91" s="210" customFormat="1" ht="15">
      <c r="A91" s="330" t="s">
        <v>54</v>
      </c>
    </row>
    <row r="92" s="210" customFormat="1" ht="15"/>
    <row r="93" s="210" customFormat="1" ht="15">
      <c r="A93" s="210" t="s">
        <v>55</v>
      </c>
    </row>
    <row r="94" s="210" customFormat="1" ht="15">
      <c r="A94" s="210" t="s">
        <v>56</v>
      </c>
    </row>
    <row r="95" s="210" customFormat="1" ht="15">
      <c r="A95" s="210" t="s">
        <v>57</v>
      </c>
    </row>
    <row r="96" s="210" customFormat="1" ht="15">
      <c r="A96" s="210" t="s">
        <v>58</v>
      </c>
    </row>
    <row r="97" s="210" customFormat="1" ht="15">
      <c r="A97" s="210" t="s">
        <v>59</v>
      </c>
    </row>
    <row r="98" s="210" customFormat="1" ht="15"/>
    <row r="99" spans="1:2" s="210" customFormat="1" ht="15">
      <c r="A99" s="329"/>
      <c r="B99" s="210" t="s">
        <v>60</v>
      </c>
    </row>
    <row r="100" s="210" customFormat="1" ht="15"/>
    <row r="101" s="210" customFormat="1" ht="15"/>
    <row r="102" s="210" customFormat="1" ht="15"/>
    <row r="103" s="210" customFormat="1" ht="15"/>
    <row r="104" s="210" customFormat="1" ht="15"/>
    <row r="105" s="210" customFormat="1" ht="15"/>
    <row r="106" s="210" customFormat="1" ht="15"/>
    <row r="107" s="210" customFormat="1" ht="15"/>
    <row r="108" s="210" customFormat="1" ht="15"/>
    <row r="109" s="210" customFormat="1" ht="15"/>
    <row r="110" s="210" customFormat="1" ht="15"/>
    <row r="111" s="210" customFormat="1" ht="15"/>
    <row r="112" s="210" customFormat="1" ht="15"/>
    <row r="113" s="210" customFormat="1" ht="15"/>
    <row r="114" s="210" customFormat="1" ht="15"/>
    <row r="115" s="210" customFormat="1" ht="15"/>
    <row r="116" s="210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42:E51 E66 E23:E40 E56:E63">
      <formula1>'GS&lt;50 (15,000kWh)'!#REF!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'GS&lt;50 (15,000kWh)'!#REF!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6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48.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00390625" style="8" bestFit="1" customWidth="1"/>
    <col min="8" max="8" width="10.57421875" style="8" bestFit="1" customWidth="1"/>
    <col min="9" max="9" width="2.8515625" style="8" customWidth="1"/>
    <col min="10" max="10" width="9.7109375" style="8" bestFit="1" customWidth="1"/>
    <col min="11" max="11" width="8.00390625" style="8" bestFit="1" customWidth="1"/>
    <col min="12" max="12" width="12.7109375" style="8" bestFit="1" customWidth="1"/>
    <col min="13" max="13" width="2.8515625" style="8" customWidth="1"/>
    <col min="14" max="14" width="9.7109375" style="8" bestFit="1" customWidth="1"/>
    <col min="15" max="15" width="9.57421875" style="8" bestFit="1" customWidth="1"/>
    <col min="16" max="16" width="10.140625" style="8" customWidth="1"/>
    <col min="17" max="20" width="9.140625" style="8" customWidth="1"/>
    <col min="21" max="16384" width="9.140625" style="8" customWidth="1"/>
  </cols>
  <sheetData>
    <row r="1" spans="1:20" s="2" customFormat="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8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8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8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13</v>
      </c>
      <c r="O4" s="582"/>
      <c r="P4" s="21"/>
    </row>
    <row r="5" spans="3:16" s="2" customFormat="1" ht="15.75">
      <c r="C5" s="7"/>
      <c r="D5" s="7"/>
      <c r="E5" s="7"/>
      <c r="L5" s="3" t="s">
        <v>76</v>
      </c>
      <c r="N5" s="584" t="s">
        <v>88</v>
      </c>
      <c r="O5" s="584"/>
      <c r="P5" s="20"/>
    </row>
    <row r="6" spans="12:16" s="2" customFormat="1" ht="15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15">
      <c r="L12"/>
      <c r="M12"/>
      <c r="N12"/>
      <c r="O12"/>
      <c r="P12"/>
    </row>
    <row r="13" spans="12:16" ht="15">
      <c r="L13"/>
      <c r="M13"/>
      <c r="N13"/>
      <c r="O13"/>
      <c r="P13"/>
    </row>
    <row r="14" spans="2:15" ht="15.75">
      <c r="B14" s="9" t="s">
        <v>5</v>
      </c>
      <c r="D14" s="577" t="s">
        <v>112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15.75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20000</v>
      </c>
      <c r="G18" s="14" t="s">
        <v>9</v>
      </c>
      <c r="H18" s="15">
        <v>60</v>
      </c>
      <c r="I18" s="14" t="s">
        <v>70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.75" customHeight="1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214">
        <v>96.98</v>
      </c>
      <c r="G23" s="218">
        <v>1</v>
      </c>
      <c r="H23" s="216">
        <f>G23*F23</f>
        <v>96.98</v>
      </c>
      <c r="I23" s="217"/>
      <c r="J23" s="222">
        <v>96.98</v>
      </c>
      <c r="K23" s="218">
        <v>1</v>
      </c>
      <c r="L23" s="216">
        <f>K23*J23</f>
        <v>96.98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15" hidden="1">
      <c r="B24" s="211" t="s">
        <v>91</v>
      </c>
      <c r="C24" s="211"/>
      <c r="D24" s="212" t="s">
        <v>62</v>
      </c>
      <c r="E24" s="213"/>
      <c r="F24" s="214"/>
      <c r="G24" s="218"/>
      <c r="H24" s="216"/>
      <c r="I24" s="217"/>
      <c r="J24" s="222">
        <v>0</v>
      </c>
      <c r="K24" s="218">
        <v>1</v>
      </c>
      <c r="L24" s="216">
        <f>K24*J24</f>
        <v>0</v>
      </c>
      <c r="M24" s="217"/>
      <c r="N24" s="219">
        <f>L24-H24</f>
        <v>0</v>
      </c>
      <c r="O24" s="220">
        <f>IF((H24)=0,"",(N24/H24))</f>
      </c>
    </row>
    <row r="25" spans="2:15" s="210" customFormat="1" ht="15" hidden="1">
      <c r="B25" s="223" t="s">
        <v>109</v>
      </c>
      <c r="C25" s="211"/>
      <c r="D25" s="224" t="s">
        <v>62</v>
      </c>
      <c r="E25" s="213"/>
      <c r="F25" s="222">
        <v>0</v>
      </c>
      <c r="G25" s="218">
        <v>1</v>
      </c>
      <c r="H25" s="216">
        <f>G25*F25</f>
        <v>0</v>
      </c>
      <c r="I25" s="217"/>
      <c r="J25" s="225">
        <f>'GS&lt;50 (1,000kWh)'!J25</f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226"/>
      <c r="C26" s="211"/>
      <c r="D26" s="224" t="s">
        <v>62</v>
      </c>
      <c r="E26" s="227"/>
      <c r="F26" s="222"/>
      <c r="G26" s="218">
        <v>1</v>
      </c>
      <c r="H26" s="216">
        <f aca="true" t="shared" si="0" ref="H26:H40">G26*F26</f>
        <v>0</v>
      </c>
      <c r="I26" s="217"/>
      <c r="J26" s="225"/>
      <c r="K26" s="218">
        <v>1</v>
      </c>
      <c r="L26" s="216">
        <f aca="true" t="shared" si="1" ref="L26:L40">K26*J26</f>
        <v>0</v>
      </c>
      <c r="M26" s="217"/>
      <c r="N26" s="219">
        <f aca="true" t="shared" si="2" ref="N26:N41">L26-H26</f>
        <v>0</v>
      </c>
      <c r="O26" s="220">
        <f aca="true" t="shared" si="3" ref="O26:O41">IF((H26)=0,"",(N26/H26))</f>
      </c>
    </row>
    <row r="27" spans="2:15" s="210" customFormat="1" ht="15" hidden="1">
      <c r="B27" s="226"/>
      <c r="C27" s="211"/>
      <c r="D27" s="224" t="s">
        <v>62</v>
      </c>
      <c r="E27" s="213"/>
      <c r="F27" s="228"/>
      <c r="G27" s="218">
        <v>1</v>
      </c>
      <c r="H27" s="216">
        <f t="shared" si="0"/>
        <v>0</v>
      </c>
      <c r="I27" s="217"/>
      <c r="J27" s="222"/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>
      <c r="B28" s="381" t="s">
        <v>66</v>
      </c>
      <c r="C28" s="211"/>
      <c r="D28" s="212" t="s">
        <v>71</v>
      </c>
      <c r="E28" s="213"/>
      <c r="F28" s="228">
        <v>0</v>
      </c>
      <c r="G28" s="218">
        <f>$H$18</f>
        <v>60</v>
      </c>
      <c r="H28" s="216">
        <f t="shared" si="0"/>
        <v>0</v>
      </c>
      <c r="I28" s="217"/>
      <c r="J28" s="418">
        <v>-0.0058</v>
      </c>
      <c r="K28" s="218">
        <f>$H$18</f>
        <v>60</v>
      </c>
      <c r="L28" s="216">
        <f t="shared" si="1"/>
        <v>-0.348</v>
      </c>
      <c r="M28" s="217"/>
      <c r="N28" s="219">
        <f t="shared" si="2"/>
        <v>-0.348</v>
      </c>
      <c r="O28" s="220">
        <f t="shared" si="3"/>
      </c>
    </row>
    <row r="29" spans="2:15" s="210" customFormat="1" ht="15.75" customHeight="1">
      <c r="B29" s="213" t="s">
        <v>108</v>
      </c>
      <c r="C29" s="211"/>
      <c r="D29" s="212" t="s">
        <v>71</v>
      </c>
      <c r="E29" s="213"/>
      <c r="F29" s="228">
        <v>0</v>
      </c>
      <c r="G29" s="218">
        <f>$H$18</f>
        <v>60</v>
      </c>
      <c r="H29" s="216">
        <f t="shared" si="0"/>
        <v>0</v>
      </c>
      <c r="I29" s="217"/>
      <c r="J29" s="424">
        <v>0.0832</v>
      </c>
      <c r="K29" s="218">
        <f>$H$18</f>
        <v>60</v>
      </c>
      <c r="L29" s="216">
        <f t="shared" si="1"/>
        <v>4.992</v>
      </c>
      <c r="M29" s="217"/>
      <c r="N29" s="219">
        <f t="shared" si="2"/>
        <v>4.992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71</v>
      </c>
      <c r="E30" s="213"/>
      <c r="F30" s="228">
        <v>0</v>
      </c>
      <c r="G30" s="218">
        <f>$H$18</f>
        <v>60</v>
      </c>
      <c r="H30" s="216">
        <f t="shared" si="0"/>
        <v>0</v>
      </c>
      <c r="I30" s="217"/>
      <c r="J30" s="225">
        <v>0</v>
      </c>
      <c r="K30" s="218">
        <f>$H$18</f>
        <v>60</v>
      </c>
      <c r="L30" s="216">
        <f>K30*J30</f>
        <v>0</v>
      </c>
      <c r="M30" s="217"/>
      <c r="N30" s="219">
        <f>L30-H30</f>
        <v>0</v>
      </c>
      <c r="O30" s="220">
        <f>IF((H30)=0,"",(N30/H30))</f>
      </c>
    </row>
    <row r="31" spans="2:15" s="210" customFormat="1" ht="15">
      <c r="B31" s="211" t="s">
        <v>21</v>
      </c>
      <c r="C31" s="211"/>
      <c r="D31" s="212" t="s">
        <v>71</v>
      </c>
      <c r="E31" s="213"/>
      <c r="F31" s="228">
        <v>3.9297</v>
      </c>
      <c r="G31" s="218">
        <f>$H$18</f>
        <v>60</v>
      </c>
      <c r="H31" s="216">
        <f t="shared" si="0"/>
        <v>235.782</v>
      </c>
      <c r="I31" s="217"/>
      <c r="J31" s="225">
        <v>3.9297</v>
      </c>
      <c r="K31" s="218">
        <f>$H$18</f>
        <v>60</v>
      </c>
      <c r="L31" s="216">
        <f t="shared" si="1"/>
        <v>235.782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3.5" customHeight="1" hidden="1">
      <c r="B32" s="211" t="s">
        <v>22</v>
      </c>
      <c r="C32" s="211"/>
      <c r="D32" s="212"/>
      <c r="E32" s="213"/>
      <c r="F32" s="228"/>
      <c r="G32" s="215">
        <f>$F$18</f>
        <v>20000</v>
      </c>
      <c r="H32" s="216">
        <f t="shared" si="0"/>
        <v>0</v>
      </c>
      <c r="I32" s="217"/>
      <c r="J32" s="225"/>
      <c r="K32" s="215">
        <f aca="true" t="shared" si="4" ref="K32:K40">$F$18</f>
        <v>20000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5" hidden="1">
      <c r="B33" s="211" t="s">
        <v>108</v>
      </c>
      <c r="C33" s="211"/>
      <c r="D33" s="212" t="s">
        <v>71</v>
      </c>
      <c r="E33" s="213"/>
      <c r="F33" s="228">
        <v>0</v>
      </c>
      <c r="G33" s="396">
        <f>$H$18</f>
        <v>60</v>
      </c>
      <c r="H33" s="216">
        <f t="shared" si="0"/>
        <v>0</v>
      </c>
      <c r="I33" s="217"/>
      <c r="J33" s="225">
        <v>0</v>
      </c>
      <c r="K33" s="396">
        <f>$H$18</f>
        <v>60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5" ref="G34:G40">$F$18</f>
        <v>20000</v>
      </c>
      <c r="H34" s="216">
        <f t="shared" si="0"/>
        <v>0</v>
      </c>
      <c r="I34" s="217"/>
      <c r="J34" s="225"/>
      <c r="K34" s="215">
        <f t="shared" si="4"/>
        <v>20000</v>
      </c>
      <c r="L34" s="216">
        <f t="shared" si="1"/>
        <v>0</v>
      </c>
      <c r="M34" s="217"/>
      <c r="N34" s="219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5"/>
        <v>20000</v>
      </c>
      <c r="H35" s="216">
        <f t="shared" si="0"/>
        <v>0</v>
      </c>
      <c r="I35" s="217"/>
      <c r="J35" s="225"/>
      <c r="K35" s="215">
        <f t="shared" si="4"/>
        <v>20000</v>
      </c>
      <c r="L35" s="216">
        <f t="shared" si="1"/>
        <v>0</v>
      </c>
      <c r="M35" s="217"/>
      <c r="N35" s="219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5"/>
        <v>20000</v>
      </c>
      <c r="H36" s="216">
        <f t="shared" si="0"/>
        <v>0</v>
      </c>
      <c r="I36" s="217"/>
      <c r="J36" s="225"/>
      <c r="K36" s="215">
        <f t="shared" si="4"/>
        <v>20000</v>
      </c>
      <c r="L36" s="216">
        <f t="shared" si="1"/>
        <v>0</v>
      </c>
      <c r="M36" s="217"/>
      <c r="N36" s="219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5"/>
        <v>20000</v>
      </c>
      <c r="H37" s="216">
        <f t="shared" si="0"/>
        <v>0</v>
      </c>
      <c r="I37" s="217"/>
      <c r="J37" s="225"/>
      <c r="K37" s="215">
        <f t="shared" si="4"/>
        <v>20000</v>
      </c>
      <c r="L37" s="216">
        <f t="shared" si="1"/>
        <v>0</v>
      </c>
      <c r="M37" s="217"/>
      <c r="N37" s="219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5"/>
        <v>20000</v>
      </c>
      <c r="H38" s="216">
        <f t="shared" si="0"/>
        <v>0</v>
      </c>
      <c r="I38" s="217"/>
      <c r="J38" s="225"/>
      <c r="K38" s="215">
        <f t="shared" si="4"/>
        <v>20000</v>
      </c>
      <c r="L38" s="216">
        <f t="shared" si="1"/>
        <v>0</v>
      </c>
      <c r="M38" s="217"/>
      <c r="N38" s="219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5"/>
        <v>20000</v>
      </c>
      <c r="H39" s="216">
        <f t="shared" si="0"/>
        <v>0</v>
      </c>
      <c r="I39" s="217"/>
      <c r="J39" s="225"/>
      <c r="K39" s="215">
        <f t="shared" si="4"/>
        <v>20000</v>
      </c>
      <c r="L39" s="216">
        <f t="shared" si="1"/>
        <v>0</v>
      </c>
      <c r="M39" s="217"/>
      <c r="N39" s="219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5"/>
        <v>20000</v>
      </c>
      <c r="H40" s="216">
        <f t="shared" si="0"/>
        <v>0</v>
      </c>
      <c r="I40" s="217"/>
      <c r="J40" s="225"/>
      <c r="K40" s="215">
        <f t="shared" si="4"/>
        <v>20000</v>
      </c>
      <c r="L40" s="216">
        <f t="shared" si="1"/>
        <v>0</v>
      </c>
      <c r="M40" s="217"/>
      <c r="N40" s="219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9"/>
      <c r="H41" s="236">
        <f>SUM(H23:H40)</f>
        <v>332.762</v>
      </c>
      <c r="I41" s="237"/>
      <c r="J41" s="238"/>
      <c r="K41" s="239"/>
      <c r="L41" s="236">
        <f>SUM(L23:L40)</f>
        <v>337.406</v>
      </c>
      <c r="M41" s="237"/>
      <c r="N41" s="410">
        <f t="shared" si="2"/>
        <v>4.6440000000000055</v>
      </c>
      <c r="O41" s="340">
        <f t="shared" si="3"/>
        <v>0.013955920447647284</v>
      </c>
    </row>
    <row r="42" spans="2:15" s="210" customFormat="1" ht="30">
      <c r="B42" s="381" t="s">
        <v>25</v>
      </c>
      <c r="C42" s="211"/>
      <c r="D42" s="224" t="s">
        <v>71</v>
      </c>
      <c r="E42" s="227"/>
      <c r="F42" s="242">
        <v>-2.8653</v>
      </c>
      <c r="G42" s="218">
        <f>G31</f>
        <v>60</v>
      </c>
      <c r="H42" s="216">
        <f aca="true" t="shared" si="6" ref="H42:H49">G42*F42</f>
        <v>-171.918</v>
      </c>
      <c r="I42" s="217"/>
      <c r="J42" s="242">
        <v>0.9664</v>
      </c>
      <c r="K42" s="218">
        <f>H18</f>
        <v>60</v>
      </c>
      <c r="L42" s="216">
        <f aca="true" t="shared" si="7" ref="L42:L49">K42*J42</f>
        <v>57.984</v>
      </c>
      <c r="M42" s="217"/>
      <c r="N42" s="219">
        <f aca="true" t="shared" si="8" ref="N42:N49">L42-H42</f>
        <v>229.90200000000002</v>
      </c>
      <c r="O42" s="220">
        <f aca="true" t="shared" si="9" ref="O42:O48">IF((H42)=0,"",(N42/H42))</f>
        <v>-1.3372770739538618</v>
      </c>
    </row>
    <row r="43" spans="2:15" s="210" customFormat="1" ht="15" hidden="1">
      <c r="B43" s="381"/>
      <c r="C43" s="211"/>
      <c r="D43" s="212" t="s">
        <v>71</v>
      </c>
      <c r="E43" s="213"/>
      <c r="F43" s="228"/>
      <c r="G43" s="218">
        <f>H18</f>
        <v>60</v>
      </c>
      <c r="H43" s="216">
        <f t="shared" si="6"/>
        <v>0</v>
      </c>
      <c r="I43" s="243"/>
      <c r="J43" s="225"/>
      <c r="K43" s="218">
        <f>H18</f>
        <v>60</v>
      </c>
      <c r="L43" s="216">
        <f t="shared" si="7"/>
        <v>0</v>
      </c>
      <c r="M43" s="244"/>
      <c r="N43" s="219">
        <f t="shared" si="8"/>
        <v>0</v>
      </c>
      <c r="O43" s="220">
        <f t="shared" si="9"/>
      </c>
    </row>
    <row r="44" spans="2:15" s="210" customFormat="1" ht="15" hidden="1">
      <c r="B44" s="381"/>
      <c r="C44" s="211"/>
      <c r="D44" s="212" t="s">
        <v>71</v>
      </c>
      <c r="E44" s="213"/>
      <c r="F44" s="228"/>
      <c r="G44" s="218">
        <f>H18</f>
        <v>60</v>
      </c>
      <c r="H44" s="216">
        <f t="shared" si="6"/>
        <v>0</v>
      </c>
      <c r="I44" s="243"/>
      <c r="J44" s="225"/>
      <c r="K44" s="218">
        <f>H18</f>
        <v>60</v>
      </c>
      <c r="L44" s="216">
        <f t="shared" si="7"/>
        <v>0</v>
      </c>
      <c r="M44" s="244"/>
      <c r="N44" s="219">
        <f t="shared" si="8"/>
        <v>0</v>
      </c>
      <c r="O44" s="220">
        <f t="shared" si="9"/>
      </c>
    </row>
    <row r="45" spans="2:15" s="210" customFormat="1" ht="45">
      <c r="B45" s="381" t="s">
        <v>75</v>
      </c>
      <c r="C45" s="211"/>
      <c r="D45" s="224" t="s">
        <v>71</v>
      </c>
      <c r="E45" s="213"/>
      <c r="F45" s="242">
        <v>2.7911</v>
      </c>
      <c r="G45" s="218">
        <f>H18</f>
        <v>60</v>
      </c>
      <c r="H45" s="216">
        <f t="shared" si="6"/>
        <v>167.466</v>
      </c>
      <c r="I45" s="243"/>
      <c r="J45" s="225">
        <v>0.0684</v>
      </c>
      <c r="K45" s="218">
        <f>H18</f>
        <v>60</v>
      </c>
      <c r="L45" s="216">
        <f t="shared" si="7"/>
        <v>4.104</v>
      </c>
      <c r="M45" s="244"/>
      <c r="N45" s="219">
        <f t="shared" si="8"/>
        <v>-163.362</v>
      </c>
      <c r="O45" s="220">
        <f t="shared" si="9"/>
        <v>-0.9754935330156568</v>
      </c>
    </row>
    <row r="46" spans="2:15" s="210" customFormat="1" ht="15" hidden="1">
      <c r="B46" s="213"/>
      <c r="C46" s="211"/>
      <c r="D46" s="212" t="s">
        <v>71</v>
      </c>
      <c r="E46" s="213"/>
      <c r="F46" s="228">
        <v>0</v>
      </c>
      <c r="G46" s="218">
        <f>$H$18</f>
        <v>60</v>
      </c>
      <c r="H46" s="216">
        <f t="shared" si="6"/>
        <v>0</v>
      </c>
      <c r="I46" s="217"/>
      <c r="J46" s="225"/>
      <c r="K46" s="218">
        <f>$H$18</f>
        <v>60</v>
      </c>
      <c r="L46" s="216">
        <f t="shared" si="7"/>
        <v>0</v>
      </c>
      <c r="M46" s="217"/>
      <c r="N46" s="219">
        <f t="shared" si="8"/>
        <v>0</v>
      </c>
      <c r="O46" s="220">
        <f t="shared" si="9"/>
      </c>
    </row>
    <row r="47" spans="2:15" s="210" customFormat="1" ht="15">
      <c r="B47" s="341" t="s">
        <v>26</v>
      </c>
      <c r="C47" s="211"/>
      <c r="D47" s="212" t="s">
        <v>71</v>
      </c>
      <c r="E47" s="213"/>
      <c r="F47" s="228">
        <v>1.1222</v>
      </c>
      <c r="G47" s="218">
        <f>H18</f>
        <v>60</v>
      </c>
      <c r="H47" s="216">
        <f t="shared" si="6"/>
        <v>67.33200000000001</v>
      </c>
      <c r="I47" s="217"/>
      <c r="J47" s="225">
        <v>1.1222</v>
      </c>
      <c r="K47" s="218">
        <f>H18</f>
        <v>60</v>
      </c>
      <c r="L47" s="216">
        <f t="shared" si="7"/>
        <v>67.33200000000001</v>
      </c>
      <c r="M47" s="217"/>
      <c r="N47" s="219">
        <f t="shared" si="8"/>
        <v>0</v>
      </c>
      <c r="O47" s="220">
        <f t="shared" si="9"/>
        <v>0</v>
      </c>
    </row>
    <row r="48" spans="2:15" s="241" customFormat="1" ht="15">
      <c r="B48" s="342" t="s">
        <v>27</v>
      </c>
      <c r="C48" s="213"/>
      <c r="D48" s="224" t="s">
        <v>71</v>
      </c>
      <c r="E48" s="213"/>
      <c r="F48" s="246">
        <f>IF(ISBLANK(D16)=TRUE,0,IF(D16="TOU",0.64*$F$59+0.18*$F$60+0.18*$F$61,IF(AND(D16="non-TOU",G63&gt;0),F63,F62)))</f>
        <v>0.075</v>
      </c>
      <c r="G48" s="218">
        <f>$F$18*(1+$F$78)-$F$18</f>
        <v>990.0000000000036</v>
      </c>
      <c r="H48" s="247">
        <f t="shared" si="6"/>
        <v>74.25000000000027</v>
      </c>
      <c r="I48" s="227"/>
      <c r="J48" s="245">
        <f>IF(ISBLANK(D16)=TRUE,0,IF(D16="TOU",0.64*$F$59+0.18*$F$60+0.18*$F$61,IF(AND(D16="non-TOU",K63&gt;0),J63,J62)))</f>
        <v>0.075</v>
      </c>
      <c r="K48" s="218">
        <f>$F$18*(1+$J$78)-$F$18</f>
        <v>990.0000000000036</v>
      </c>
      <c r="L48" s="247">
        <f t="shared" si="7"/>
        <v>74.25000000000027</v>
      </c>
      <c r="M48" s="227"/>
      <c r="N48" s="219">
        <f t="shared" si="8"/>
        <v>0</v>
      </c>
      <c r="O48" s="248">
        <f t="shared" si="9"/>
        <v>0</v>
      </c>
    </row>
    <row r="49" spans="2:15" s="210" customFormat="1" ht="15" hidden="1">
      <c r="B49" s="341" t="s">
        <v>28</v>
      </c>
      <c r="C49" s="211"/>
      <c r="D49" s="212" t="s">
        <v>62</v>
      </c>
      <c r="E49" s="213"/>
      <c r="F49" s="249">
        <v>0</v>
      </c>
      <c r="G49" s="215">
        <v>0</v>
      </c>
      <c r="H49" s="216">
        <f t="shared" si="6"/>
        <v>0</v>
      </c>
      <c r="I49" s="217"/>
      <c r="J49" s="249">
        <v>0</v>
      </c>
      <c r="K49" s="215">
        <v>0</v>
      </c>
      <c r="L49" s="216">
        <f t="shared" si="7"/>
        <v>0</v>
      </c>
      <c r="M49" s="217"/>
      <c r="N49" s="219">
        <f t="shared" si="8"/>
        <v>0</v>
      </c>
      <c r="O49" s="220"/>
    </row>
    <row r="50" spans="2:15" s="210" customFormat="1" ht="30">
      <c r="B50" s="343" t="s">
        <v>29</v>
      </c>
      <c r="C50" s="250"/>
      <c r="D50" s="250"/>
      <c r="E50" s="250"/>
      <c r="F50" s="43"/>
      <c r="G50" s="253"/>
      <c r="H50" s="252">
        <f>SUM(H42:H49)+H41</f>
        <v>469.8920000000003</v>
      </c>
      <c r="I50" s="237"/>
      <c r="J50" s="251"/>
      <c r="K50" s="253"/>
      <c r="L50" s="252">
        <f>SUM(L42:L49)+L41</f>
        <v>541.0760000000002</v>
      </c>
      <c r="M50" s="237"/>
      <c r="N50" s="410">
        <f aca="true" t="shared" si="10" ref="N50:N69">L50-H50</f>
        <v>71.18399999999997</v>
      </c>
      <c r="O50" s="340">
        <f aca="true" t="shared" si="11" ref="O50:O69">IF((H50)=0,"",(N50/H50))</f>
        <v>0.1514901296468123</v>
      </c>
    </row>
    <row r="51" spans="2:15" s="210" customFormat="1" ht="15">
      <c r="B51" s="217" t="s">
        <v>30</v>
      </c>
      <c r="C51" s="217"/>
      <c r="D51" s="224" t="s">
        <v>71</v>
      </c>
      <c r="E51" s="227"/>
      <c r="F51" s="225">
        <v>1.747</v>
      </c>
      <c r="G51" s="260">
        <f>H18*(1+F78)</f>
        <v>62.970000000000006</v>
      </c>
      <c r="H51" s="216">
        <f>G51*F51</f>
        <v>110.00859000000001</v>
      </c>
      <c r="I51" s="217"/>
      <c r="J51" s="225">
        <v>2.3168</v>
      </c>
      <c r="K51" s="260">
        <f>H18*(1+J78)</f>
        <v>62.970000000000006</v>
      </c>
      <c r="L51" s="216">
        <f>K51*J51</f>
        <v>145.88889600000002</v>
      </c>
      <c r="M51" s="217"/>
      <c r="N51" s="219">
        <f t="shared" si="10"/>
        <v>35.880306000000004</v>
      </c>
      <c r="O51" s="220">
        <f t="shared" si="11"/>
        <v>0.32615912993703494</v>
      </c>
    </row>
    <row r="52" spans="2:15" s="210" customFormat="1" ht="15">
      <c r="B52" s="255" t="s">
        <v>31</v>
      </c>
      <c r="C52" s="217"/>
      <c r="D52" s="224" t="s">
        <v>71</v>
      </c>
      <c r="E52" s="227"/>
      <c r="F52" s="225">
        <v>0.6879</v>
      </c>
      <c r="G52" s="260">
        <f>G51</f>
        <v>62.970000000000006</v>
      </c>
      <c r="H52" s="216">
        <f>G52*F52</f>
        <v>43.317063000000005</v>
      </c>
      <c r="I52" s="217"/>
      <c r="J52" s="225">
        <v>1.0907</v>
      </c>
      <c r="K52" s="260">
        <f>K51</f>
        <v>62.970000000000006</v>
      </c>
      <c r="L52" s="216">
        <f>K52*J52</f>
        <v>68.681379</v>
      </c>
      <c r="M52" s="217"/>
      <c r="N52" s="219">
        <f t="shared" si="10"/>
        <v>25.364316000000002</v>
      </c>
      <c r="O52" s="220">
        <f t="shared" si="11"/>
        <v>0.5855502253234481</v>
      </c>
    </row>
    <row r="53" spans="2:15" s="210" customFormat="1" ht="30">
      <c r="B53" s="343" t="s">
        <v>32</v>
      </c>
      <c r="C53" s="232"/>
      <c r="D53" s="232"/>
      <c r="E53" s="232"/>
      <c r="F53" s="44"/>
      <c r="G53" s="258"/>
      <c r="H53" s="252">
        <f>SUM(H50:H52)</f>
        <v>623.2176530000003</v>
      </c>
      <c r="I53" s="256"/>
      <c r="J53" s="257"/>
      <c r="K53" s="258"/>
      <c r="L53" s="252">
        <f>SUM(L50:L52)</f>
        <v>755.6462750000003</v>
      </c>
      <c r="M53" s="256"/>
      <c r="N53" s="410">
        <f t="shared" si="10"/>
        <v>132.42862200000002</v>
      </c>
      <c r="O53" s="340">
        <f t="shared" si="11"/>
        <v>0.21249176970922543</v>
      </c>
    </row>
    <row r="54" spans="2:15" s="210" customFormat="1" ht="15">
      <c r="B54" s="223" t="s">
        <v>33</v>
      </c>
      <c r="C54" s="211"/>
      <c r="D54" s="212" t="s">
        <v>63</v>
      </c>
      <c r="E54" s="213"/>
      <c r="F54" s="228">
        <v>0.0044</v>
      </c>
      <c r="G54" s="473">
        <f>F18*(1+F78)</f>
        <v>20990.000000000004</v>
      </c>
      <c r="H54" s="216">
        <f aca="true" t="shared" si="12" ref="H54:H61">G54*F54</f>
        <v>92.35600000000002</v>
      </c>
      <c r="I54" s="217"/>
      <c r="J54" s="424">
        <v>0.0036</v>
      </c>
      <c r="K54" s="473">
        <f>F18*(1+J78)</f>
        <v>20990.000000000004</v>
      </c>
      <c r="L54" s="216">
        <f aca="true" t="shared" si="13" ref="L54:L61">K54*J54</f>
        <v>75.56400000000001</v>
      </c>
      <c r="M54" s="217"/>
      <c r="N54" s="219">
        <f t="shared" si="10"/>
        <v>-16.792000000000016</v>
      </c>
      <c r="O54" s="220">
        <f t="shared" si="11"/>
        <v>-0.18181818181818193</v>
      </c>
    </row>
    <row r="55" spans="2:15" s="210" customFormat="1" ht="15">
      <c r="B55" s="223" t="s">
        <v>34</v>
      </c>
      <c r="C55" s="211"/>
      <c r="D55" s="212" t="s">
        <v>63</v>
      </c>
      <c r="E55" s="213"/>
      <c r="F55" s="228">
        <v>0.0013</v>
      </c>
      <c r="G55" s="473">
        <f>G54</f>
        <v>20990.000000000004</v>
      </c>
      <c r="H55" s="216">
        <f t="shared" si="12"/>
        <v>27.287000000000003</v>
      </c>
      <c r="I55" s="217"/>
      <c r="J55" s="225">
        <v>0.0013</v>
      </c>
      <c r="K55" s="473">
        <f>K54</f>
        <v>20990.000000000004</v>
      </c>
      <c r="L55" s="216">
        <f t="shared" si="13"/>
        <v>27.287000000000003</v>
      </c>
      <c r="M55" s="217"/>
      <c r="N55" s="219">
        <f t="shared" si="10"/>
        <v>0</v>
      </c>
      <c r="O55" s="220">
        <f t="shared" si="11"/>
        <v>0</v>
      </c>
    </row>
    <row r="56" spans="2:15" s="210" customFormat="1" ht="15">
      <c r="B56" s="223" t="s">
        <v>121</v>
      </c>
      <c r="C56" s="211"/>
      <c r="D56" s="212" t="s">
        <v>63</v>
      </c>
      <c r="E56" s="213"/>
      <c r="F56" s="228">
        <v>0</v>
      </c>
      <c r="G56" s="473">
        <f>G55</f>
        <v>20990.000000000004</v>
      </c>
      <c r="H56" s="216">
        <f t="shared" si="12"/>
        <v>0</v>
      </c>
      <c r="I56" s="217"/>
      <c r="J56" s="424">
        <v>0.0011</v>
      </c>
      <c r="K56" s="473">
        <f>K55</f>
        <v>20990.000000000004</v>
      </c>
      <c r="L56" s="216">
        <f t="shared" si="13"/>
        <v>23.089000000000006</v>
      </c>
      <c r="M56" s="217"/>
      <c r="N56" s="219">
        <f t="shared" si="10"/>
        <v>23.089000000000006</v>
      </c>
      <c r="O56" s="220">
        <f t="shared" si="11"/>
      </c>
    </row>
    <row r="57" spans="2:15" s="210" customFormat="1" ht="15">
      <c r="B57" s="211" t="s">
        <v>35</v>
      </c>
      <c r="C57" s="211"/>
      <c r="D57" s="212" t="s">
        <v>62</v>
      </c>
      <c r="E57" s="213"/>
      <c r="F57" s="214">
        <v>0.25</v>
      </c>
      <c r="G57" s="218">
        <v>1</v>
      </c>
      <c r="H57" s="216">
        <f t="shared" si="12"/>
        <v>0.25</v>
      </c>
      <c r="I57" s="217"/>
      <c r="J57" s="222">
        <v>0.25</v>
      </c>
      <c r="K57" s="218">
        <v>1</v>
      </c>
      <c r="L57" s="216">
        <f t="shared" si="13"/>
        <v>0.25</v>
      </c>
      <c r="M57" s="217"/>
      <c r="N57" s="219">
        <f t="shared" si="10"/>
        <v>0</v>
      </c>
      <c r="O57" s="220">
        <f t="shared" si="11"/>
        <v>0</v>
      </c>
    </row>
    <row r="58" spans="2:15" s="210" customFormat="1" ht="15">
      <c r="B58" s="211" t="s">
        <v>36</v>
      </c>
      <c r="C58" s="211"/>
      <c r="D58" s="212" t="s">
        <v>63</v>
      </c>
      <c r="E58" s="213"/>
      <c r="F58" s="228">
        <v>0.007</v>
      </c>
      <c r="G58" s="260">
        <f>F18</f>
        <v>20000</v>
      </c>
      <c r="H58" s="216">
        <f t="shared" si="12"/>
        <v>140</v>
      </c>
      <c r="I58" s="217"/>
      <c r="J58" s="225">
        <f>0.007</f>
        <v>0.007</v>
      </c>
      <c r="K58" s="260">
        <f>F18</f>
        <v>20000</v>
      </c>
      <c r="L58" s="216">
        <f t="shared" si="13"/>
        <v>140</v>
      </c>
      <c r="M58" s="217"/>
      <c r="N58" s="219">
        <f t="shared" si="10"/>
        <v>0</v>
      </c>
      <c r="O58" s="220">
        <f t="shared" si="11"/>
        <v>0</v>
      </c>
    </row>
    <row r="59" spans="2:19" s="210" customFormat="1" ht="15.75" thickBot="1">
      <c r="B59" s="341" t="s">
        <v>74</v>
      </c>
      <c r="C59" s="211"/>
      <c r="D59" s="212" t="s">
        <v>63</v>
      </c>
      <c r="E59" s="213"/>
      <c r="F59" s="228">
        <v>0.1</v>
      </c>
      <c r="G59" s="259">
        <f>F18</f>
        <v>20000</v>
      </c>
      <c r="H59" s="216">
        <f t="shared" si="12"/>
        <v>2000</v>
      </c>
      <c r="I59" s="217"/>
      <c r="J59" s="225">
        <f>F59</f>
        <v>0.1</v>
      </c>
      <c r="K59" s="259">
        <f>G59</f>
        <v>20000</v>
      </c>
      <c r="L59" s="216">
        <f t="shared" si="13"/>
        <v>2000</v>
      </c>
      <c r="M59" s="217"/>
      <c r="N59" s="219">
        <f t="shared" si="10"/>
        <v>0</v>
      </c>
      <c r="O59" s="220">
        <f t="shared" si="11"/>
        <v>0</v>
      </c>
      <c r="S59" s="261"/>
    </row>
    <row r="60" spans="2:19" s="210" customFormat="1" ht="15.75" hidden="1" thickBot="1">
      <c r="B60" s="341" t="s">
        <v>38</v>
      </c>
      <c r="C60" s="211"/>
      <c r="D60" s="212"/>
      <c r="E60" s="213"/>
      <c r="F60" s="246">
        <v>0.104</v>
      </c>
      <c r="G60" s="259">
        <v>0</v>
      </c>
      <c r="H60" s="216">
        <f t="shared" si="12"/>
        <v>0</v>
      </c>
      <c r="I60" s="217"/>
      <c r="J60" s="228">
        <v>0.104</v>
      </c>
      <c r="K60" s="259">
        <v>0</v>
      </c>
      <c r="L60" s="216">
        <f t="shared" si="13"/>
        <v>0</v>
      </c>
      <c r="M60" s="217"/>
      <c r="N60" s="230">
        <f t="shared" si="10"/>
        <v>0</v>
      </c>
      <c r="O60" s="220">
        <f t="shared" si="11"/>
      </c>
      <c r="S60" s="261"/>
    </row>
    <row r="61" spans="2:19" s="210" customFormat="1" ht="15.75" hidden="1" thickBot="1">
      <c r="B61" s="330" t="s">
        <v>39</v>
      </c>
      <c r="C61" s="211"/>
      <c r="D61" s="212"/>
      <c r="E61" s="213"/>
      <c r="F61" s="246">
        <v>0.124</v>
      </c>
      <c r="G61" s="259">
        <v>0</v>
      </c>
      <c r="H61" s="216">
        <f t="shared" si="12"/>
        <v>0</v>
      </c>
      <c r="I61" s="217"/>
      <c r="J61" s="228">
        <v>0.124</v>
      </c>
      <c r="K61" s="259">
        <v>0</v>
      </c>
      <c r="L61" s="216">
        <f t="shared" si="13"/>
        <v>0</v>
      </c>
      <c r="M61" s="217"/>
      <c r="N61" s="230">
        <f t="shared" si="10"/>
        <v>0</v>
      </c>
      <c r="O61" s="220">
        <f t="shared" si="11"/>
      </c>
      <c r="S61" s="261"/>
    </row>
    <row r="62" spans="2:15" s="347" customFormat="1" ht="15.75" hidden="1" thickBot="1">
      <c r="B62" s="406" t="s">
        <v>40</v>
      </c>
      <c r="C62" s="344"/>
      <c r="D62" s="345"/>
      <c r="E62" s="346"/>
      <c r="F62" s="246">
        <v>0.075</v>
      </c>
      <c r="G62" s="262">
        <v>0</v>
      </c>
      <c r="H62" s="216">
        <f>G62*F62</f>
        <v>0</v>
      </c>
      <c r="I62" s="263"/>
      <c r="J62" s="228">
        <v>0.075</v>
      </c>
      <c r="K62" s="262">
        <f>G62</f>
        <v>0</v>
      </c>
      <c r="L62" s="216">
        <f>K62*J62</f>
        <v>0</v>
      </c>
      <c r="M62" s="263"/>
      <c r="N62" s="383">
        <f t="shared" si="10"/>
        <v>0</v>
      </c>
      <c r="O62" s="220">
        <f t="shared" si="11"/>
      </c>
    </row>
    <row r="63" spans="2:15" s="347" customFormat="1" ht="15.75" hidden="1" thickBot="1">
      <c r="B63" s="406" t="s">
        <v>41</v>
      </c>
      <c r="C63" s="344"/>
      <c r="D63" s="345"/>
      <c r="E63" s="346"/>
      <c r="F63" s="246">
        <v>0.088</v>
      </c>
      <c r="G63" s="262">
        <v>0</v>
      </c>
      <c r="H63" s="216">
        <f>G63*F63</f>
        <v>0</v>
      </c>
      <c r="I63" s="263"/>
      <c r="J63" s="228">
        <v>0.088</v>
      </c>
      <c r="K63" s="262">
        <f>G63</f>
        <v>0</v>
      </c>
      <c r="L63" s="216">
        <f>K63*J63</f>
        <v>0</v>
      </c>
      <c r="M63" s="263"/>
      <c r="N63" s="383">
        <f t="shared" si="10"/>
        <v>0</v>
      </c>
      <c r="O63" s="220">
        <f t="shared" si="11"/>
      </c>
    </row>
    <row r="64" spans="2:15" s="210" customFormat="1" ht="15.75" hidden="1" thickBot="1">
      <c r="B64" s="348"/>
      <c r="C64" s="264"/>
      <c r="D64" s="265"/>
      <c r="E64" s="264"/>
      <c r="F64" s="266"/>
      <c r="G64" s="267"/>
      <c r="H64" s="268"/>
      <c r="I64" s="269"/>
      <c r="J64" s="266"/>
      <c r="K64" s="270"/>
      <c r="L64" s="268"/>
      <c r="M64" s="269"/>
      <c r="N64" s="271"/>
      <c r="O64" s="272"/>
    </row>
    <row r="65" spans="2:19" s="210" customFormat="1" ht="15.75" hidden="1" thickBot="1">
      <c r="B65" s="349" t="s">
        <v>42</v>
      </c>
      <c r="C65" s="211"/>
      <c r="D65" s="211"/>
      <c r="E65" s="211"/>
      <c r="F65" s="273"/>
      <c r="G65" s="274"/>
      <c r="H65" s="275">
        <f>SUM(H54:H61,H53)</f>
        <v>2883.110653</v>
      </c>
      <c r="I65" s="276"/>
      <c r="J65" s="277"/>
      <c r="K65" s="277"/>
      <c r="L65" s="275">
        <f>SUM(L54:L61,L53)</f>
        <v>3021.8362750000006</v>
      </c>
      <c r="M65" s="279"/>
      <c r="N65" s="400">
        <f>L65-H65</f>
        <v>138.72562200000039</v>
      </c>
      <c r="O65" s="350">
        <f>IF((H65)=0,"",(N65/H65))</f>
        <v>0.048116648542660144</v>
      </c>
      <c r="S65" s="261"/>
    </row>
    <row r="66" spans="2:19" s="210" customFormat="1" ht="15.75" hidden="1" thickBot="1">
      <c r="B66" s="351" t="s">
        <v>43</v>
      </c>
      <c r="C66" s="211"/>
      <c r="D66" s="211"/>
      <c r="E66" s="211"/>
      <c r="F66" s="281">
        <v>0.13</v>
      </c>
      <c r="G66" s="282"/>
      <c r="H66" s="283">
        <f>H65*F66</f>
        <v>374.80438489000005</v>
      </c>
      <c r="I66" s="284"/>
      <c r="J66" s="285">
        <v>0.13</v>
      </c>
      <c r="K66" s="284"/>
      <c r="L66" s="286">
        <f>L65*J66</f>
        <v>392.83871575000006</v>
      </c>
      <c r="M66" s="287"/>
      <c r="N66" s="401">
        <f t="shared" si="10"/>
        <v>18.03433086000001</v>
      </c>
      <c r="O66" s="352">
        <f t="shared" si="11"/>
        <v>0.04811664854266003</v>
      </c>
      <c r="S66" s="261"/>
    </row>
    <row r="67" spans="2:19" s="210" customFormat="1" ht="15" hidden="1">
      <c r="B67" s="353" t="s">
        <v>126</v>
      </c>
      <c r="C67" s="211"/>
      <c r="D67" s="211"/>
      <c r="E67" s="211"/>
      <c r="F67" s="288"/>
      <c r="G67" s="282"/>
      <c r="H67" s="283">
        <f>H65+H66</f>
        <v>3257.9150378900003</v>
      </c>
      <c r="I67" s="284"/>
      <c r="J67" s="284"/>
      <c r="K67" s="284"/>
      <c r="L67" s="286">
        <f>L65+L66</f>
        <v>3414.6749907500007</v>
      </c>
      <c r="M67" s="287"/>
      <c r="N67" s="401">
        <f t="shared" si="10"/>
        <v>156.75995286000034</v>
      </c>
      <c r="O67" s="352">
        <f t="shared" si="11"/>
        <v>0.04811664854266011</v>
      </c>
      <c r="S67" s="261"/>
    </row>
    <row r="68" spans="2:15" s="210" customFormat="1" ht="15" hidden="1">
      <c r="B68" s="593" t="s">
        <v>127</v>
      </c>
      <c r="C68" s="593"/>
      <c r="D68" s="593"/>
      <c r="E68" s="211"/>
      <c r="F68" s="288"/>
      <c r="G68" s="282"/>
      <c r="H68" s="407">
        <f>ROUND(-H67*10%,2)</f>
        <v>-325.79</v>
      </c>
      <c r="I68" s="284"/>
      <c r="J68" s="284"/>
      <c r="K68" s="284"/>
      <c r="L68" s="408">
        <f>ROUND(-L67*10%,2)</f>
        <v>-341.47</v>
      </c>
      <c r="M68" s="287"/>
      <c r="N68" s="387">
        <f t="shared" si="10"/>
        <v>-15.680000000000007</v>
      </c>
      <c r="O68" s="354">
        <f t="shared" si="11"/>
        <v>0.04812916295773353</v>
      </c>
    </row>
    <row r="69" spans="2:15" s="210" customFormat="1" ht="15.75" hidden="1" thickBot="1">
      <c r="B69" s="594" t="s">
        <v>46</v>
      </c>
      <c r="C69" s="594"/>
      <c r="D69" s="594"/>
      <c r="E69" s="291"/>
      <c r="F69" s="292"/>
      <c r="G69" s="293"/>
      <c r="H69" s="294">
        <f>H67+H68</f>
        <v>2932.1250378900004</v>
      </c>
      <c r="I69" s="295"/>
      <c r="J69" s="295"/>
      <c r="K69" s="295"/>
      <c r="L69" s="296">
        <f>L67+L68</f>
        <v>3073.2049907500004</v>
      </c>
      <c r="M69" s="297"/>
      <c r="N69" s="402">
        <f t="shared" si="10"/>
        <v>141.07995286000005</v>
      </c>
      <c r="O69" s="355">
        <f t="shared" si="11"/>
        <v>0.04811525805922766</v>
      </c>
    </row>
    <row r="70" spans="2:15" s="347" customFormat="1" ht="15.75" thickBot="1">
      <c r="B70" s="356"/>
      <c r="C70" s="357"/>
      <c r="D70" s="358"/>
      <c r="E70" s="357"/>
      <c r="F70" s="266"/>
      <c r="G70" s="299"/>
      <c r="H70" s="268"/>
      <c r="I70" s="300"/>
      <c r="J70" s="266"/>
      <c r="K70" s="301"/>
      <c r="L70" s="268"/>
      <c r="M70" s="300"/>
      <c r="N70" s="302"/>
      <c r="O70" s="272"/>
    </row>
    <row r="71" spans="2:15" s="347" customFormat="1" ht="15">
      <c r="B71" s="359" t="s">
        <v>47</v>
      </c>
      <c r="C71" s="344"/>
      <c r="D71" s="344"/>
      <c r="E71" s="344"/>
      <c r="F71" s="303"/>
      <c r="G71" s="304"/>
      <c r="H71" s="305">
        <f>SUM(H59,H53,H54:H58)</f>
        <v>2883.110653</v>
      </c>
      <c r="I71" s="306"/>
      <c r="J71" s="307"/>
      <c r="K71" s="307"/>
      <c r="L71" s="308">
        <f>SUM(L59,L53,L54:L58)</f>
        <v>3021.8362749999997</v>
      </c>
      <c r="M71" s="309"/>
      <c r="N71" s="403">
        <f>L71-H71</f>
        <v>138.72562199999948</v>
      </c>
      <c r="O71" s="350">
        <f>IF((H71)=0,"",(N71/H71))</f>
        <v>0.048116648542659825</v>
      </c>
    </row>
    <row r="72" spans="2:15" s="347" customFormat="1" ht="15">
      <c r="B72" s="360" t="s">
        <v>43</v>
      </c>
      <c r="C72" s="344"/>
      <c r="D72" s="344"/>
      <c r="E72" s="344"/>
      <c r="F72" s="310">
        <v>0.13</v>
      </c>
      <c r="G72" s="304"/>
      <c r="H72" s="311">
        <f>H71*F72</f>
        <v>374.80438489000005</v>
      </c>
      <c r="I72" s="312"/>
      <c r="J72" s="310">
        <v>0.13</v>
      </c>
      <c r="K72" s="313"/>
      <c r="L72" s="314">
        <f>L71*J72</f>
        <v>392.83871574999995</v>
      </c>
      <c r="M72" s="315"/>
      <c r="N72" s="404">
        <f>L72-H72</f>
        <v>18.034330859999898</v>
      </c>
      <c r="O72" s="352">
        <f>IF((H72)=0,"",(N72/H72))</f>
        <v>0.04811664854265973</v>
      </c>
    </row>
    <row r="73" spans="2:15" s="347" customFormat="1" ht="15">
      <c r="B73" s="361" t="s">
        <v>126</v>
      </c>
      <c r="C73" s="344"/>
      <c r="D73" s="344"/>
      <c r="E73" s="344"/>
      <c r="F73" s="316"/>
      <c r="G73" s="315"/>
      <c r="H73" s="311">
        <f>H71+H72</f>
        <v>3257.9150378900003</v>
      </c>
      <c r="I73" s="312"/>
      <c r="J73" s="312"/>
      <c r="K73" s="312"/>
      <c r="L73" s="314">
        <f>L71+L72</f>
        <v>3414.67499075</v>
      </c>
      <c r="M73" s="315"/>
      <c r="N73" s="404">
        <f>L73-H73</f>
        <v>156.75995285999943</v>
      </c>
      <c r="O73" s="352">
        <f>IF((H73)=0,"",(N73/H73))</f>
        <v>0.04811664854265983</v>
      </c>
    </row>
    <row r="74" spans="2:15" s="347" customFormat="1" ht="17.25">
      <c r="B74" s="595" t="s">
        <v>127</v>
      </c>
      <c r="C74" s="595"/>
      <c r="D74" s="595"/>
      <c r="E74" s="344"/>
      <c r="F74" s="316"/>
      <c r="G74" s="315"/>
      <c r="H74" s="425">
        <v>0</v>
      </c>
      <c r="I74" s="312"/>
      <c r="J74" s="312"/>
      <c r="K74" s="312"/>
      <c r="L74" s="409">
        <v>0</v>
      </c>
      <c r="M74" s="315"/>
      <c r="N74" s="390">
        <f>L74-H74</f>
        <v>0</v>
      </c>
      <c r="O74" s="352">
        <f>IF((H74)=0,"",(N74/H74))</f>
      </c>
    </row>
    <row r="75" spans="2:15" s="347" customFormat="1" ht="15.75" thickBot="1">
      <c r="B75" s="586" t="s">
        <v>48</v>
      </c>
      <c r="C75" s="586"/>
      <c r="D75" s="586"/>
      <c r="E75" s="362"/>
      <c r="F75" s="319"/>
      <c r="G75" s="320"/>
      <c r="H75" s="321">
        <f>SUM(H73:H74)</f>
        <v>3257.9150378900003</v>
      </c>
      <c r="I75" s="322"/>
      <c r="J75" s="322"/>
      <c r="K75" s="322"/>
      <c r="L75" s="323">
        <f>SUM(L73:L74)</f>
        <v>3414.67499075</v>
      </c>
      <c r="M75" s="324"/>
      <c r="N75" s="405">
        <f>L75-H75</f>
        <v>156.75995285999943</v>
      </c>
      <c r="O75" s="363">
        <f>IF((H75)=0,"",(N75/H75))</f>
        <v>0.04811664854265983</v>
      </c>
    </row>
    <row r="76" spans="2:15" s="347" customFormat="1" ht="15.75" thickBot="1">
      <c r="B76" s="356"/>
      <c r="C76" s="357"/>
      <c r="D76" s="358"/>
      <c r="E76" s="357"/>
      <c r="F76" s="325"/>
      <c r="G76" s="364"/>
      <c r="H76" s="326"/>
      <c r="I76" s="365"/>
      <c r="J76" s="325"/>
      <c r="K76" s="299"/>
      <c r="L76" s="327"/>
      <c r="M76" s="300"/>
      <c r="N76" s="366"/>
      <c r="O76" s="272"/>
    </row>
    <row r="77" s="210" customFormat="1" ht="15">
      <c r="L77" s="261"/>
    </row>
    <row r="78" spans="2:10" s="210" customFormat="1" ht="15">
      <c r="B78" s="367" t="s">
        <v>49</v>
      </c>
      <c r="F78" s="328">
        <v>0.0495</v>
      </c>
      <c r="J78" s="328">
        <v>0.0495</v>
      </c>
    </row>
    <row r="79" s="210" customFormat="1" ht="15"/>
    <row r="80" spans="2:15" s="210" customFormat="1" ht="15">
      <c r="B80" s="423" t="s">
        <v>145</v>
      </c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</row>
    <row r="81" spans="2:15" s="210" customFormat="1" ht="15">
      <c r="B81" s="423" t="s">
        <v>146</v>
      </c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</row>
    <row r="82" s="210" customFormat="1" ht="17.25">
      <c r="A82" s="368" t="s">
        <v>128</v>
      </c>
    </row>
    <row r="83" s="210" customFormat="1" ht="15"/>
    <row r="84" s="210" customFormat="1" ht="15">
      <c r="A84" s="210" t="s">
        <v>51</v>
      </c>
    </row>
    <row r="85" s="210" customFormat="1" ht="15">
      <c r="A85" s="210" t="s">
        <v>52</v>
      </c>
    </row>
    <row r="86" s="210" customFormat="1" ht="15"/>
    <row r="87" s="210" customFormat="1" ht="15">
      <c r="A87" s="330" t="s">
        <v>53</v>
      </c>
    </row>
    <row r="88" s="210" customFormat="1" ht="15">
      <c r="A88" s="330" t="s">
        <v>54</v>
      </c>
    </row>
    <row r="89" s="210" customFormat="1" ht="15"/>
    <row r="90" s="210" customFormat="1" ht="15">
      <c r="A90" s="210" t="s">
        <v>55</v>
      </c>
    </row>
    <row r="91" s="210" customFormat="1" ht="15">
      <c r="A91" s="210" t="s">
        <v>56</v>
      </c>
    </row>
    <row r="92" s="210" customFormat="1" ht="15">
      <c r="A92" s="210" t="s">
        <v>57</v>
      </c>
    </row>
    <row r="93" s="210" customFormat="1" ht="15">
      <c r="A93" s="210" t="s">
        <v>58</v>
      </c>
    </row>
    <row r="94" s="210" customFormat="1" ht="15">
      <c r="A94" s="210" t="s">
        <v>59</v>
      </c>
    </row>
    <row r="95" s="210" customFormat="1" ht="15"/>
    <row r="96" spans="1:2" s="210" customFormat="1" ht="15">
      <c r="A96" s="329"/>
      <c r="B96" s="210" t="s">
        <v>60</v>
      </c>
    </row>
    <row r="97" s="210" customFormat="1" ht="15"/>
    <row r="98" s="210" customFormat="1" ht="15"/>
    <row r="99" s="210" customFormat="1" ht="15"/>
  </sheetData>
  <sheetProtection/>
  <mergeCells count="22">
    <mergeCell ref="N1:O1"/>
    <mergeCell ref="N2:O2"/>
    <mergeCell ref="N3:O3"/>
    <mergeCell ref="N4:O4"/>
    <mergeCell ref="A3:K3"/>
    <mergeCell ref="N6:O6"/>
    <mergeCell ref="N5:O5"/>
    <mergeCell ref="N7:O7"/>
    <mergeCell ref="B11:O11"/>
    <mergeCell ref="N20:O20"/>
    <mergeCell ref="D14:O14"/>
    <mergeCell ref="F20:H20"/>
    <mergeCell ref="B9:O9"/>
    <mergeCell ref="B75:D75"/>
    <mergeCell ref="D21:D22"/>
    <mergeCell ref="N21:N22"/>
    <mergeCell ref="O21:O22"/>
    <mergeCell ref="B68:D68"/>
    <mergeCell ref="B10:O10"/>
    <mergeCell ref="B74:D74"/>
    <mergeCell ref="J20:L20"/>
    <mergeCell ref="B69:D69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6 E70 E62:E63">
      <formula1>'GS 50-4999 (60kW)'!#REF!</formula1>
    </dataValidation>
    <dataValidation type="list" allowBlank="1" showInputMessage="1" showErrorMessage="1" prompt="Select Charge Unit - monthly, per kWh, per kW" sqref="D51:D52 D54:D64 D70 D23:D40 D76 D42:D49">
      <formula1>"Monthly, per kWh, per kW"</formula1>
    </dataValidation>
    <dataValidation type="list" allowBlank="1" showInputMessage="1" showErrorMessage="1" sqref="E51:E52 E54:E61 E64 E42:E49 E23:E40">
      <formula1>'GS 50-4999 (60kW)'!#REF!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6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6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51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1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11.140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14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89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4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112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40000</v>
      </c>
      <c r="G18" s="14" t="s">
        <v>9</v>
      </c>
      <c r="H18" s="15">
        <v>100</v>
      </c>
      <c r="I18" s="14" t="s">
        <v>70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392">
        <f>'GS 50-4999 (60kW)'!F23</f>
        <v>96.98</v>
      </c>
      <c r="G23" s="215">
        <v>1</v>
      </c>
      <c r="H23" s="216">
        <f>G23*F23</f>
        <v>96.98</v>
      </c>
      <c r="I23" s="217"/>
      <c r="J23" s="394">
        <f>'GS 50-4999 (60kW)'!J23</f>
        <v>96.98</v>
      </c>
      <c r="K23" s="218">
        <v>1</v>
      </c>
      <c r="L23" s="216">
        <f>K23*J23</f>
        <v>96.98</v>
      </c>
      <c r="M23" s="217"/>
      <c r="N23" s="420">
        <f>L23-H23</f>
        <v>0</v>
      </c>
      <c r="O23" s="220">
        <f>IF((H23)=0,"",(N23/H23))</f>
        <v>0</v>
      </c>
    </row>
    <row r="24" spans="2:15" s="210" customFormat="1" ht="22.5" customHeight="1" hidden="1">
      <c r="B24" s="211" t="s">
        <v>91</v>
      </c>
      <c r="C24" s="211"/>
      <c r="D24" s="212" t="s">
        <v>62</v>
      </c>
      <c r="E24" s="213"/>
      <c r="F24" s="392">
        <f>'GS 50-4999 (60kW)'!F24</f>
        <v>0</v>
      </c>
      <c r="G24" s="215"/>
      <c r="H24" s="216"/>
      <c r="I24" s="217"/>
      <c r="J24" s="394">
        <f>'GS 50-4999 (60kW)'!J24</f>
        <v>0</v>
      </c>
      <c r="K24" s="218">
        <v>1</v>
      </c>
      <c r="L24" s="216">
        <f>K24*J24</f>
        <v>0</v>
      </c>
      <c r="M24" s="217"/>
      <c r="N24" s="420">
        <f>L24-H24</f>
        <v>0</v>
      </c>
      <c r="O24" s="220">
        <f>IF((H24)=0,"",(N24/H24))</f>
      </c>
    </row>
    <row r="25" spans="2:15" s="210" customFormat="1" ht="36.75" customHeight="1" hidden="1">
      <c r="B25" s="223" t="s">
        <v>109</v>
      </c>
      <c r="C25" s="211"/>
      <c r="D25" s="224" t="s">
        <v>62</v>
      </c>
      <c r="E25" s="213"/>
      <c r="F25" s="394">
        <f>'GS 50-4999 (60kW)'!F25</f>
        <v>0</v>
      </c>
      <c r="G25" s="215">
        <v>1</v>
      </c>
      <c r="H25" s="216">
        <f>G25*F25</f>
        <v>0</v>
      </c>
      <c r="I25" s="217"/>
      <c r="J25" s="245">
        <f>'GS 50-4999 (60kW)'!J25</f>
        <v>0</v>
      </c>
      <c r="K25" s="218">
        <v>1</v>
      </c>
      <c r="L25" s="216">
        <f>K25*J25</f>
        <v>0</v>
      </c>
      <c r="M25" s="217"/>
      <c r="N25" s="420">
        <f>L25-H25</f>
        <v>0</v>
      </c>
      <c r="O25" s="220">
        <f>IF((H25)=0,"",(N25/H25))</f>
      </c>
    </row>
    <row r="26" spans="2:15" s="210" customFormat="1" ht="15" hidden="1">
      <c r="B26" s="226"/>
      <c r="C26" s="211"/>
      <c r="D26" s="224" t="s">
        <v>62</v>
      </c>
      <c r="E26" s="227"/>
      <c r="F26" s="394">
        <f>'GS 50-4999 (60kW)'!F26</f>
        <v>0</v>
      </c>
      <c r="G26" s="215">
        <v>1</v>
      </c>
      <c r="H26" s="216">
        <f aca="true" t="shared" si="0" ref="H26:H40">G26*F26</f>
        <v>0</v>
      </c>
      <c r="I26" s="217"/>
      <c r="J26" s="245">
        <f>'GS 50-4999 (60kW)'!J26</f>
        <v>0</v>
      </c>
      <c r="K26" s="218">
        <v>1</v>
      </c>
      <c r="L26" s="216">
        <f aca="true" t="shared" si="1" ref="L26:L40">K26*J26</f>
        <v>0</v>
      </c>
      <c r="M26" s="217"/>
      <c r="N26" s="420">
        <f aca="true" t="shared" si="2" ref="N26:N69">L26-H26</f>
        <v>0</v>
      </c>
      <c r="O26" s="220">
        <f aca="true" t="shared" si="3" ref="O26:O48">IF((H26)=0,"",(N26/H26))</f>
      </c>
    </row>
    <row r="27" spans="2:15" s="210" customFormat="1" ht="15" hidden="1">
      <c r="B27" s="226"/>
      <c r="C27" s="211"/>
      <c r="D27" s="224" t="s">
        <v>62</v>
      </c>
      <c r="E27" s="213"/>
      <c r="F27" s="246">
        <f>'GS 50-4999 (60kW)'!F27</f>
        <v>0</v>
      </c>
      <c r="G27" s="215">
        <v>1</v>
      </c>
      <c r="H27" s="216">
        <f t="shared" si="0"/>
        <v>0</v>
      </c>
      <c r="I27" s="217"/>
      <c r="J27" s="394">
        <f>'GS 50-4999 (60kW)'!J27</f>
        <v>0</v>
      </c>
      <c r="K27" s="218">
        <v>1</v>
      </c>
      <c r="L27" s="216">
        <f t="shared" si="1"/>
        <v>0</v>
      </c>
      <c r="M27" s="217"/>
      <c r="N27" s="420">
        <f t="shared" si="2"/>
        <v>0</v>
      </c>
      <c r="O27" s="220">
        <f t="shared" si="3"/>
      </c>
    </row>
    <row r="28" spans="2:15" s="210" customFormat="1" ht="15">
      <c r="B28" s="381" t="s">
        <v>66</v>
      </c>
      <c r="C28" s="211"/>
      <c r="D28" s="212" t="s">
        <v>71</v>
      </c>
      <c r="E28" s="213"/>
      <c r="F28" s="246">
        <f>'GS 50-4999 (60kW)'!F28</f>
        <v>0</v>
      </c>
      <c r="G28" s="396">
        <f>$H$18</f>
        <v>100</v>
      </c>
      <c r="H28" s="216">
        <f t="shared" si="0"/>
        <v>0</v>
      </c>
      <c r="I28" s="217"/>
      <c r="J28" s="427">
        <f>'GS 50-4999 (60kW)'!J28</f>
        <v>-0.0058</v>
      </c>
      <c r="K28" s="396">
        <f>$H$18</f>
        <v>100</v>
      </c>
      <c r="L28" s="216">
        <f t="shared" si="1"/>
        <v>-0.58</v>
      </c>
      <c r="M28" s="217"/>
      <c r="N28" s="420">
        <f t="shared" si="2"/>
        <v>-0.58</v>
      </c>
      <c r="O28" s="220">
        <f t="shared" si="3"/>
      </c>
    </row>
    <row r="29" spans="2:15" s="210" customFormat="1" ht="15">
      <c r="B29" s="213" t="s">
        <v>108</v>
      </c>
      <c r="C29" s="211"/>
      <c r="D29" s="212" t="s">
        <v>71</v>
      </c>
      <c r="E29" s="213"/>
      <c r="F29" s="395">
        <f>'GS 50-4999 (60kW)'!F29</f>
        <v>0</v>
      </c>
      <c r="G29" s="396">
        <f>$H$18</f>
        <v>100</v>
      </c>
      <c r="H29" s="216">
        <f t="shared" si="0"/>
        <v>0</v>
      </c>
      <c r="I29" s="217"/>
      <c r="J29" s="424">
        <f>'GS 50-4999 (60kW)'!J29</f>
        <v>0.0832</v>
      </c>
      <c r="K29" s="396">
        <f>$H$18</f>
        <v>100</v>
      </c>
      <c r="L29" s="216">
        <f t="shared" si="1"/>
        <v>8.32</v>
      </c>
      <c r="M29" s="217"/>
      <c r="N29" s="420">
        <f t="shared" si="2"/>
        <v>8.32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71</v>
      </c>
      <c r="E30" s="213"/>
      <c r="F30" s="246">
        <f>'GS 50-4999 (60kW)'!F30</f>
        <v>0</v>
      </c>
      <c r="G30" s="396">
        <f>$H$18</f>
        <v>100</v>
      </c>
      <c r="H30" s="216">
        <f t="shared" si="0"/>
        <v>0</v>
      </c>
      <c r="I30" s="217"/>
      <c r="J30" s="245">
        <f>'GS 50-4999 (60kW)'!J30</f>
        <v>0</v>
      </c>
      <c r="K30" s="396">
        <f>H18</f>
        <v>100</v>
      </c>
      <c r="L30" s="216">
        <f t="shared" si="1"/>
        <v>0</v>
      </c>
      <c r="M30" s="217"/>
      <c r="N30" s="420">
        <f t="shared" si="2"/>
        <v>0</v>
      </c>
      <c r="O30" s="220"/>
    </row>
    <row r="31" spans="2:15" s="210" customFormat="1" ht="15">
      <c r="B31" s="211" t="s">
        <v>21</v>
      </c>
      <c r="C31" s="211"/>
      <c r="D31" s="212" t="s">
        <v>71</v>
      </c>
      <c r="E31" s="213"/>
      <c r="F31" s="246">
        <f>'GS 50-4999 (60kW)'!F31</f>
        <v>3.9297</v>
      </c>
      <c r="G31" s="396">
        <f>$H$18</f>
        <v>100</v>
      </c>
      <c r="H31" s="216">
        <f t="shared" si="0"/>
        <v>392.96999999999997</v>
      </c>
      <c r="I31" s="217"/>
      <c r="J31" s="245">
        <f>'GS 50-4999 (60kW)'!J31</f>
        <v>3.9297</v>
      </c>
      <c r="K31" s="396">
        <f>$H$18</f>
        <v>100</v>
      </c>
      <c r="L31" s="216">
        <f t="shared" si="1"/>
        <v>392.96999999999997</v>
      </c>
      <c r="M31" s="217"/>
      <c r="N31" s="420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46">
        <f>'GS 50-4999 (60kW)'!F32</f>
        <v>0</v>
      </c>
      <c r="G32" s="215">
        <f>$F$18</f>
        <v>40000</v>
      </c>
      <c r="H32" s="216">
        <f t="shared" si="0"/>
        <v>0</v>
      </c>
      <c r="I32" s="217"/>
      <c r="J32" s="245">
        <f>'GS 50-4999 (60kW)'!J32</f>
        <v>0</v>
      </c>
      <c r="K32" s="215">
        <f>$F$18</f>
        <v>40000</v>
      </c>
      <c r="L32" s="216">
        <f t="shared" si="1"/>
        <v>0</v>
      </c>
      <c r="M32" s="217"/>
      <c r="N32" s="420">
        <f t="shared" si="2"/>
        <v>0</v>
      </c>
      <c r="O32" s="220">
        <f t="shared" si="3"/>
      </c>
    </row>
    <row r="33" spans="2:15" s="210" customFormat="1" ht="15" hidden="1">
      <c r="B33" s="211" t="s">
        <v>108</v>
      </c>
      <c r="C33" s="211"/>
      <c r="D33" s="212" t="s">
        <v>71</v>
      </c>
      <c r="E33" s="213"/>
      <c r="F33" s="246"/>
      <c r="G33" s="215"/>
      <c r="H33" s="216"/>
      <c r="I33" s="217"/>
      <c r="J33" s="245">
        <f>'GS 50-4999 (60kW)'!J33</f>
        <v>0</v>
      </c>
      <c r="K33" s="215"/>
      <c r="L33" s="216"/>
      <c r="M33" s="217"/>
      <c r="N33" s="420"/>
      <c r="O33" s="220"/>
    </row>
    <row r="34" spans="2:15" s="210" customFormat="1" ht="10.5" customHeight="1" hidden="1">
      <c r="B34" s="231"/>
      <c r="C34" s="211"/>
      <c r="D34" s="212"/>
      <c r="E34" s="213"/>
      <c r="F34" s="246"/>
      <c r="G34" s="215"/>
      <c r="H34" s="216"/>
      <c r="I34" s="217"/>
      <c r="J34" s="245">
        <f>'GS 50-4999 (60kW)'!J34</f>
        <v>0</v>
      </c>
      <c r="K34" s="215"/>
      <c r="L34" s="216"/>
      <c r="M34" s="217"/>
      <c r="N34" s="420"/>
      <c r="O34" s="220"/>
    </row>
    <row r="35" spans="2:15" s="210" customFormat="1" ht="10.5" customHeight="1" hidden="1">
      <c r="B35" s="231"/>
      <c r="C35" s="211"/>
      <c r="D35" s="212"/>
      <c r="E35" s="213"/>
      <c r="F35" s="246"/>
      <c r="G35" s="215"/>
      <c r="H35" s="216"/>
      <c r="I35" s="217"/>
      <c r="J35" s="245">
        <f>'GS 50-4999 (60kW)'!J35</f>
        <v>0</v>
      </c>
      <c r="K35" s="215"/>
      <c r="L35" s="216"/>
      <c r="M35" s="217"/>
      <c r="N35" s="420"/>
      <c r="O35" s="220"/>
    </row>
    <row r="36" spans="2:15" s="210" customFormat="1" ht="10.5" customHeight="1" hidden="1">
      <c r="B36" s="231"/>
      <c r="C36" s="211"/>
      <c r="D36" s="212"/>
      <c r="E36" s="213"/>
      <c r="F36" s="246"/>
      <c r="G36" s="215"/>
      <c r="H36" s="216"/>
      <c r="I36" s="217"/>
      <c r="J36" s="245">
        <f>'GS 50-4999 (60kW)'!J36</f>
        <v>0</v>
      </c>
      <c r="K36" s="215"/>
      <c r="L36" s="216"/>
      <c r="M36" s="217"/>
      <c r="N36" s="420"/>
      <c r="O36" s="220"/>
    </row>
    <row r="37" spans="2:15" s="210" customFormat="1" ht="10.5" customHeight="1" hidden="1">
      <c r="B37" s="231"/>
      <c r="C37" s="211"/>
      <c r="D37" s="212"/>
      <c r="E37" s="213"/>
      <c r="F37" s="246"/>
      <c r="G37" s="215"/>
      <c r="H37" s="216"/>
      <c r="I37" s="217"/>
      <c r="J37" s="245">
        <f>'GS 50-4999 (60kW)'!J37</f>
        <v>0</v>
      </c>
      <c r="K37" s="215"/>
      <c r="L37" s="216"/>
      <c r="M37" s="217"/>
      <c r="N37" s="420"/>
      <c r="O37" s="220"/>
    </row>
    <row r="38" spans="2:15" s="210" customFormat="1" ht="10.5" customHeight="1" hidden="1">
      <c r="B38" s="231"/>
      <c r="C38" s="211"/>
      <c r="D38" s="212"/>
      <c r="E38" s="213"/>
      <c r="F38" s="246"/>
      <c r="G38" s="215"/>
      <c r="H38" s="216"/>
      <c r="I38" s="217"/>
      <c r="J38" s="245">
        <f>'GS 50-4999 (60kW)'!J38</f>
        <v>0</v>
      </c>
      <c r="K38" s="215"/>
      <c r="L38" s="216"/>
      <c r="M38" s="217"/>
      <c r="N38" s="420"/>
      <c r="O38" s="220"/>
    </row>
    <row r="39" spans="2:15" s="210" customFormat="1" ht="10.5" customHeight="1" hidden="1">
      <c r="B39" s="231"/>
      <c r="C39" s="211"/>
      <c r="D39" s="212"/>
      <c r="E39" s="213"/>
      <c r="F39" s="246"/>
      <c r="G39" s="215"/>
      <c r="H39" s="216"/>
      <c r="I39" s="217"/>
      <c r="J39" s="245">
        <f>'GS 50-4999 (60kW)'!J39</f>
        <v>0</v>
      </c>
      <c r="K39" s="215"/>
      <c r="L39" s="216"/>
      <c r="M39" s="217"/>
      <c r="N39" s="420"/>
      <c r="O39" s="220"/>
    </row>
    <row r="40" spans="2:15" s="210" customFormat="1" ht="15" hidden="1">
      <c r="B40" s="231"/>
      <c r="C40" s="211"/>
      <c r="D40" s="212"/>
      <c r="E40" s="213"/>
      <c r="F40" s="246">
        <f>'GS 50-4999 (60kW)'!F33</f>
        <v>0</v>
      </c>
      <c r="G40" s="396">
        <f>$H$18</f>
        <v>100</v>
      </c>
      <c r="H40" s="216">
        <f t="shared" si="0"/>
        <v>0</v>
      </c>
      <c r="I40" s="217"/>
      <c r="J40" s="245">
        <f>'GS 50-4999 (60kW)'!J40</f>
        <v>0</v>
      </c>
      <c r="K40" s="396">
        <f>$H$18</f>
        <v>100</v>
      </c>
      <c r="L40" s="216">
        <f t="shared" si="1"/>
        <v>0</v>
      </c>
      <c r="M40" s="217"/>
      <c r="N40" s="421">
        <f t="shared" si="2"/>
        <v>0</v>
      </c>
      <c r="O40" s="422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489.95</v>
      </c>
      <c r="I41" s="237"/>
      <c r="J41" s="238"/>
      <c r="K41" s="239"/>
      <c r="L41" s="236">
        <f>SUM(L23:L40)</f>
        <v>497.68999999999994</v>
      </c>
      <c r="M41" s="237"/>
      <c r="N41" s="410">
        <f t="shared" si="2"/>
        <v>7.739999999999952</v>
      </c>
      <c r="O41" s="340">
        <f t="shared" si="3"/>
        <v>0.015797530360240744</v>
      </c>
    </row>
    <row r="42" spans="2:15" s="210" customFormat="1" ht="30">
      <c r="B42" s="381" t="s">
        <v>25</v>
      </c>
      <c r="C42" s="211"/>
      <c r="D42" s="224" t="s">
        <v>71</v>
      </c>
      <c r="E42" s="227"/>
      <c r="F42" s="397">
        <f>'GS 50-4999 (60kW)'!F42</f>
        <v>-2.8653</v>
      </c>
      <c r="G42" s="396">
        <f>G31</f>
        <v>100</v>
      </c>
      <c r="H42" s="247">
        <f aca="true" t="shared" si="4" ref="H42:H49">G42*F42</f>
        <v>-286.53</v>
      </c>
      <c r="I42" s="227"/>
      <c r="J42" s="397">
        <f>'GS 50-4999 (60kW)'!J42</f>
        <v>0.9664</v>
      </c>
      <c r="K42" s="396">
        <f>H18</f>
        <v>100</v>
      </c>
      <c r="L42" s="216">
        <f aca="true" t="shared" si="5" ref="L42:L49">K42*J42</f>
        <v>96.64</v>
      </c>
      <c r="M42" s="217"/>
      <c r="N42" s="420">
        <f t="shared" si="2"/>
        <v>383.16999999999996</v>
      </c>
      <c r="O42" s="220">
        <f t="shared" si="3"/>
        <v>-1.3372770739538618</v>
      </c>
    </row>
    <row r="43" spans="2:15" s="210" customFormat="1" ht="15" hidden="1">
      <c r="B43" s="381"/>
      <c r="C43" s="211"/>
      <c r="D43" s="212" t="s">
        <v>71</v>
      </c>
      <c r="E43" s="213"/>
      <c r="F43" s="397">
        <f>'GS 50-4999 (60kW)'!F43</f>
        <v>0</v>
      </c>
      <c r="G43" s="396">
        <f>H18</f>
        <v>100</v>
      </c>
      <c r="H43" s="247">
        <f t="shared" si="4"/>
        <v>0</v>
      </c>
      <c r="I43" s="419"/>
      <c r="J43" s="397">
        <f>'GS 50-4999 (60kW)'!J43</f>
        <v>0</v>
      </c>
      <c r="K43" s="396">
        <f>H18</f>
        <v>100</v>
      </c>
      <c r="L43" s="216">
        <f t="shared" si="5"/>
        <v>0</v>
      </c>
      <c r="M43" s="244"/>
      <c r="N43" s="420">
        <f t="shared" si="2"/>
        <v>0</v>
      </c>
      <c r="O43" s="220">
        <f t="shared" si="3"/>
      </c>
    </row>
    <row r="44" spans="2:15" s="210" customFormat="1" ht="15" hidden="1">
      <c r="B44" s="381"/>
      <c r="C44" s="211"/>
      <c r="D44" s="212" t="s">
        <v>71</v>
      </c>
      <c r="E44" s="213"/>
      <c r="F44" s="397">
        <f>'GS 50-4999 (60kW)'!F44</f>
        <v>0</v>
      </c>
      <c r="G44" s="396">
        <f>H18</f>
        <v>100</v>
      </c>
      <c r="H44" s="247">
        <f t="shared" si="4"/>
        <v>0</v>
      </c>
      <c r="I44" s="419"/>
      <c r="J44" s="397">
        <f>'GS 50-4999 (60kW)'!J44</f>
        <v>0</v>
      </c>
      <c r="K44" s="396">
        <f>H18</f>
        <v>100</v>
      </c>
      <c r="L44" s="216">
        <f t="shared" si="5"/>
        <v>0</v>
      </c>
      <c r="M44" s="244"/>
      <c r="N44" s="420">
        <f t="shared" si="2"/>
        <v>0</v>
      </c>
      <c r="O44" s="220">
        <f t="shared" si="3"/>
      </c>
    </row>
    <row r="45" spans="2:15" s="210" customFormat="1" ht="45">
      <c r="B45" s="381" t="s">
        <v>75</v>
      </c>
      <c r="C45" s="211"/>
      <c r="D45" s="224" t="s">
        <v>71</v>
      </c>
      <c r="E45" s="213"/>
      <c r="F45" s="397">
        <f>'GS 50-4999 (60kW)'!F45</f>
        <v>2.7911</v>
      </c>
      <c r="G45" s="396">
        <f>H18</f>
        <v>100</v>
      </c>
      <c r="H45" s="247">
        <f t="shared" si="4"/>
        <v>279.11</v>
      </c>
      <c r="I45" s="419"/>
      <c r="J45" s="397">
        <f>'GS 50-4999 (60kW)'!J45</f>
        <v>0.0684</v>
      </c>
      <c r="K45" s="396">
        <f>H18</f>
        <v>100</v>
      </c>
      <c r="L45" s="216">
        <f t="shared" si="5"/>
        <v>6.84</v>
      </c>
      <c r="M45" s="244"/>
      <c r="N45" s="420">
        <f t="shared" si="2"/>
        <v>-272.27000000000004</v>
      </c>
      <c r="O45" s="220">
        <f t="shared" si="3"/>
        <v>-0.975493533015657</v>
      </c>
    </row>
    <row r="46" spans="2:15" s="210" customFormat="1" ht="15" hidden="1">
      <c r="B46" s="213"/>
      <c r="C46" s="211"/>
      <c r="D46" s="212" t="s">
        <v>71</v>
      </c>
      <c r="E46" s="213"/>
      <c r="F46" s="397">
        <f>'GS 50-4999 (60kW)'!F46</f>
        <v>0</v>
      </c>
      <c r="G46" s="396">
        <f>H19</f>
        <v>0</v>
      </c>
      <c r="H46" s="247">
        <f>G46*F46</f>
        <v>0</v>
      </c>
      <c r="I46" s="419"/>
      <c r="J46" s="397">
        <f>'GS 50-4999 (60kW)'!J46</f>
        <v>0</v>
      </c>
      <c r="K46" s="396">
        <f>H18</f>
        <v>100</v>
      </c>
      <c r="L46" s="216">
        <f>K46*J46</f>
        <v>0</v>
      </c>
      <c r="M46" s="244"/>
      <c r="N46" s="420">
        <f>L46-H46</f>
        <v>0</v>
      </c>
      <c r="O46" s="220">
        <f>IF((H46)=0,"",(N46/H46))</f>
      </c>
    </row>
    <row r="47" spans="2:15" s="210" customFormat="1" ht="15">
      <c r="B47" s="341" t="s">
        <v>26</v>
      </c>
      <c r="C47" s="211"/>
      <c r="D47" s="212" t="s">
        <v>71</v>
      </c>
      <c r="E47" s="213"/>
      <c r="F47" s="397">
        <f>'GS 50-4999 (60kW)'!F47</f>
        <v>1.1222</v>
      </c>
      <c r="G47" s="396">
        <f>H18</f>
        <v>100</v>
      </c>
      <c r="H47" s="247">
        <f t="shared" si="4"/>
        <v>112.22000000000001</v>
      </c>
      <c r="I47" s="227"/>
      <c r="J47" s="397">
        <f>'GS 50-4999 (60kW)'!J47</f>
        <v>1.1222</v>
      </c>
      <c r="K47" s="396">
        <f>H18</f>
        <v>100</v>
      </c>
      <c r="L47" s="216">
        <f t="shared" si="5"/>
        <v>112.22000000000001</v>
      </c>
      <c r="M47" s="217"/>
      <c r="N47" s="420">
        <f t="shared" si="2"/>
        <v>0</v>
      </c>
      <c r="O47" s="220">
        <f t="shared" si="3"/>
        <v>0</v>
      </c>
    </row>
    <row r="48" spans="2:15" s="241" customFormat="1" ht="15">
      <c r="B48" s="342" t="s">
        <v>27</v>
      </c>
      <c r="C48" s="213"/>
      <c r="D48" s="224" t="s">
        <v>71</v>
      </c>
      <c r="E48" s="213"/>
      <c r="F48" s="397">
        <f>'GS 50-4999 (60kW)'!F48</f>
        <v>0.075</v>
      </c>
      <c r="G48" s="215">
        <f>$F$18*(1+$F$78)-$F$18</f>
        <v>1980.0000000000073</v>
      </c>
      <c r="H48" s="247">
        <f t="shared" si="4"/>
        <v>148.50000000000054</v>
      </c>
      <c r="I48" s="227"/>
      <c r="J48" s="397">
        <f>'GS 50-4999 (60kW)'!J48</f>
        <v>0.075</v>
      </c>
      <c r="K48" s="215">
        <f>$F$18*(1+$J$78)-$F$18</f>
        <v>1980.0000000000073</v>
      </c>
      <c r="L48" s="247">
        <f t="shared" si="5"/>
        <v>148.50000000000054</v>
      </c>
      <c r="M48" s="227"/>
      <c r="N48" s="420">
        <f t="shared" si="2"/>
        <v>0</v>
      </c>
      <c r="O48" s="248">
        <f t="shared" si="3"/>
        <v>0</v>
      </c>
    </row>
    <row r="49" spans="2:15" s="210" customFormat="1" ht="15" hidden="1">
      <c r="B49" s="342" t="s">
        <v>28</v>
      </c>
      <c r="C49" s="211"/>
      <c r="D49" s="212" t="s">
        <v>62</v>
      </c>
      <c r="E49" s="213"/>
      <c r="F49" s="397">
        <f>'GS 50-4999 (60kW)'!F49</f>
        <v>0</v>
      </c>
      <c r="G49" s="215">
        <v>0</v>
      </c>
      <c r="H49" s="216">
        <f t="shared" si="4"/>
        <v>0</v>
      </c>
      <c r="I49" s="217"/>
      <c r="J49" s="397">
        <f>'GS 50-4999 (60kW)'!J49</f>
        <v>0</v>
      </c>
      <c r="K49" s="215">
        <v>0</v>
      </c>
      <c r="L49" s="216">
        <f t="shared" si="5"/>
        <v>0</v>
      </c>
      <c r="M49" s="217"/>
      <c r="N49" s="420">
        <f t="shared" si="2"/>
        <v>0</v>
      </c>
      <c r="O49" s="220"/>
    </row>
    <row r="50" spans="2:15" s="210" customFormat="1" ht="30">
      <c r="B50" s="343" t="s">
        <v>29</v>
      </c>
      <c r="C50" s="250"/>
      <c r="D50" s="250"/>
      <c r="E50" s="250"/>
      <c r="F50" s="43"/>
      <c r="G50" s="251"/>
      <c r="H50" s="252">
        <f>SUM(H42:H49)+H41</f>
        <v>743.2500000000006</v>
      </c>
      <c r="I50" s="237"/>
      <c r="J50" s="251"/>
      <c r="K50" s="253"/>
      <c r="L50" s="252">
        <f>SUM(L42:L49)+L41</f>
        <v>861.8900000000006</v>
      </c>
      <c r="M50" s="237"/>
      <c r="N50" s="399">
        <f t="shared" si="2"/>
        <v>118.63999999999999</v>
      </c>
      <c r="O50" s="340">
        <f aca="true" t="shared" si="6" ref="O50:O69">IF((H50)=0,"",(N50/H50))</f>
        <v>0.15962327615203484</v>
      </c>
    </row>
    <row r="51" spans="2:15" s="210" customFormat="1" ht="15">
      <c r="B51" s="217" t="s">
        <v>30</v>
      </c>
      <c r="C51" s="217"/>
      <c r="D51" s="224" t="s">
        <v>71</v>
      </c>
      <c r="E51" s="227"/>
      <c r="F51" s="245">
        <f>'GS 50-4999 (60kW)'!F51</f>
        <v>1.747</v>
      </c>
      <c r="G51" s="259">
        <f>H18*(1+F78)</f>
        <v>104.95000000000002</v>
      </c>
      <c r="H51" s="247">
        <f>G51*F51</f>
        <v>183.34765000000004</v>
      </c>
      <c r="I51" s="227"/>
      <c r="J51" s="245">
        <f>'GS 50-4999 (60kW)'!J51</f>
        <v>2.3168</v>
      </c>
      <c r="K51" s="260">
        <f>H18*(1+J78)</f>
        <v>104.95000000000002</v>
      </c>
      <c r="L51" s="216">
        <f>K51*J51</f>
        <v>243.14816000000005</v>
      </c>
      <c r="M51" s="217"/>
      <c r="N51" s="230">
        <f t="shared" si="2"/>
        <v>59.80051</v>
      </c>
      <c r="O51" s="220">
        <f t="shared" si="6"/>
        <v>0.32615912993703483</v>
      </c>
    </row>
    <row r="52" spans="2:15" s="210" customFormat="1" ht="15">
      <c r="B52" s="255" t="s">
        <v>31</v>
      </c>
      <c r="C52" s="217"/>
      <c r="D52" s="224" t="s">
        <v>71</v>
      </c>
      <c r="E52" s="227"/>
      <c r="F52" s="245">
        <f>'GS 50-4999 (60kW)'!F52</f>
        <v>0.6879</v>
      </c>
      <c r="G52" s="259">
        <f>G51</f>
        <v>104.95000000000002</v>
      </c>
      <c r="H52" s="247">
        <f>G52*F52</f>
        <v>72.19510500000001</v>
      </c>
      <c r="I52" s="227"/>
      <c r="J52" s="245">
        <f>'GS 50-4999 (60kW)'!J52</f>
        <v>1.0907</v>
      </c>
      <c r="K52" s="260">
        <f>K51</f>
        <v>104.95000000000002</v>
      </c>
      <c r="L52" s="216">
        <f>K52*J52</f>
        <v>114.46896500000003</v>
      </c>
      <c r="M52" s="217"/>
      <c r="N52" s="230">
        <f t="shared" si="2"/>
        <v>42.27386000000001</v>
      </c>
      <c r="O52" s="220">
        <f t="shared" si="6"/>
        <v>0.5855502253234482</v>
      </c>
    </row>
    <row r="53" spans="2:15" s="210" customFormat="1" ht="30">
      <c r="B53" s="343" t="s">
        <v>32</v>
      </c>
      <c r="C53" s="232"/>
      <c r="D53" s="232"/>
      <c r="E53" s="232"/>
      <c r="F53" s="44"/>
      <c r="G53" s="251"/>
      <c r="H53" s="252">
        <f>SUM(H50:H52)</f>
        <v>998.7927550000006</v>
      </c>
      <c r="I53" s="256"/>
      <c r="J53" s="257"/>
      <c r="K53" s="258"/>
      <c r="L53" s="252">
        <f>SUM(L50:L52)</f>
        <v>1219.5071250000005</v>
      </c>
      <c r="M53" s="256"/>
      <c r="N53" s="399">
        <f t="shared" si="2"/>
        <v>220.71436999999992</v>
      </c>
      <c r="O53" s="340">
        <f t="shared" si="6"/>
        <v>0.2209811483864836</v>
      </c>
    </row>
    <row r="54" spans="2:15" s="210" customFormat="1" ht="15">
      <c r="B54" s="223" t="s">
        <v>33</v>
      </c>
      <c r="C54" s="211"/>
      <c r="D54" s="212" t="s">
        <v>63</v>
      </c>
      <c r="E54" s="213"/>
      <c r="F54" s="246">
        <f>'GS 50-4999 (60kW)'!F54</f>
        <v>0.0044</v>
      </c>
      <c r="G54" s="473">
        <f>F18*(1+F78)</f>
        <v>41980.00000000001</v>
      </c>
      <c r="H54" s="247">
        <f aca="true" t="shared" si="7" ref="H54:H61">G54*F54</f>
        <v>184.71200000000005</v>
      </c>
      <c r="I54" s="227"/>
      <c r="J54" s="424">
        <f>'GS 50-4999 (60kW)'!J54</f>
        <v>0.0036</v>
      </c>
      <c r="K54" s="473">
        <f>F18*(1+J78)</f>
        <v>41980.00000000001</v>
      </c>
      <c r="L54" s="216">
        <f aca="true" t="shared" si="8" ref="L54:L61">K54*J54</f>
        <v>151.12800000000001</v>
      </c>
      <c r="M54" s="217"/>
      <c r="N54" s="420">
        <f t="shared" si="2"/>
        <v>-33.58400000000003</v>
      </c>
      <c r="O54" s="220">
        <f t="shared" si="6"/>
        <v>-0.18181818181818193</v>
      </c>
    </row>
    <row r="55" spans="2:15" s="210" customFormat="1" ht="15">
      <c r="B55" s="223" t="s">
        <v>34</v>
      </c>
      <c r="C55" s="211"/>
      <c r="D55" s="212" t="s">
        <v>63</v>
      </c>
      <c r="E55" s="213"/>
      <c r="F55" s="246">
        <f>'GS 50-4999 (60kW)'!F55</f>
        <v>0.0013</v>
      </c>
      <c r="G55" s="473">
        <f>G54</f>
        <v>41980.00000000001</v>
      </c>
      <c r="H55" s="247">
        <f t="shared" si="7"/>
        <v>54.574000000000005</v>
      </c>
      <c r="I55" s="227"/>
      <c r="J55" s="245">
        <f>'GS 50-4999 (60kW)'!J55</f>
        <v>0.0013</v>
      </c>
      <c r="K55" s="473">
        <f>K54</f>
        <v>41980.00000000001</v>
      </c>
      <c r="L55" s="216">
        <f t="shared" si="8"/>
        <v>54.574000000000005</v>
      </c>
      <c r="M55" s="217"/>
      <c r="N55" s="420">
        <f t="shared" si="2"/>
        <v>0</v>
      </c>
      <c r="O55" s="220">
        <f t="shared" si="6"/>
        <v>0</v>
      </c>
    </row>
    <row r="56" spans="2:15" s="210" customFormat="1" ht="15">
      <c r="B56" s="223" t="s">
        <v>121</v>
      </c>
      <c r="C56" s="211"/>
      <c r="D56" s="212" t="s">
        <v>63</v>
      </c>
      <c r="E56" s="213"/>
      <c r="F56" s="246">
        <f>'GS 50-4999 (60kW)'!F56</f>
        <v>0</v>
      </c>
      <c r="G56" s="473">
        <f>G55</f>
        <v>41980.00000000001</v>
      </c>
      <c r="H56" s="247">
        <f t="shared" si="7"/>
        <v>0</v>
      </c>
      <c r="I56" s="227"/>
      <c r="J56" s="424">
        <f>'GS 50-4999 (60kW)'!J56</f>
        <v>0.0011</v>
      </c>
      <c r="K56" s="473">
        <f>K55</f>
        <v>41980.00000000001</v>
      </c>
      <c r="L56" s="216">
        <f t="shared" si="8"/>
        <v>46.17800000000001</v>
      </c>
      <c r="M56" s="217"/>
      <c r="N56" s="420">
        <f t="shared" si="2"/>
        <v>46.17800000000001</v>
      </c>
      <c r="O56" s="220">
        <f t="shared" si="6"/>
      </c>
    </row>
    <row r="57" spans="2:15" s="210" customFormat="1" ht="15">
      <c r="B57" s="211" t="s">
        <v>35</v>
      </c>
      <c r="C57" s="211"/>
      <c r="D57" s="212" t="s">
        <v>62</v>
      </c>
      <c r="E57" s="213"/>
      <c r="F57" s="392">
        <f>'GS 50-4999 (60kW)'!F57</f>
        <v>0.25</v>
      </c>
      <c r="G57" s="215">
        <v>1</v>
      </c>
      <c r="H57" s="247">
        <f t="shared" si="7"/>
        <v>0.25</v>
      </c>
      <c r="I57" s="227"/>
      <c r="J57" s="394">
        <f>'GS 50-4999 (60kW)'!J57</f>
        <v>0.25</v>
      </c>
      <c r="K57" s="218">
        <v>1</v>
      </c>
      <c r="L57" s="216">
        <f t="shared" si="8"/>
        <v>0.25</v>
      </c>
      <c r="M57" s="217"/>
      <c r="N57" s="420">
        <f t="shared" si="2"/>
        <v>0</v>
      </c>
      <c r="O57" s="220">
        <f t="shared" si="6"/>
        <v>0</v>
      </c>
    </row>
    <row r="58" spans="2:15" s="210" customFormat="1" ht="15">
      <c r="B58" s="211" t="s">
        <v>36</v>
      </c>
      <c r="C58" s="211"/>
      <c r="D58" s="212" t="s">
        <v>63</v>
      </c>
      <c r="E58" s="213"/>
      <c r="F58" s="246">
        <f>'GS 50-4999 (60kW)'!F58</f>
        <v>0.007</v>
      </c>
      <c r="G58" s="259">
        <f>F18</f>
        <v>40000</v>
      </c>
      <c r="H58" s="247">
        <f t="shared" si="7"/>
        <v>280</v>
      </c>
      <c r="I58" s="227"/>
      <c r="J58" s="245">
        <f>'GS 50-4999 (60kW)'!J58</f>
        <v>0.007</v>
      </c>
      <c r="K58" s="260">
        <f>F18</f>
        <v>40000</v>
      </c>
      <c r="L58" s="216">
        <f t="shared" si="8"/>
        <v>280</v>
      </c>
      <c r="M58" s="217"/>
      <c r="N58" s="420">
        <f t="shared" si="2"/>
        <v>0</v>
      </c>
      <c r="O58" s="220">
        <f t="shared" si="6"/>
        <v>0</v>
      </c>
    </row>
    <row r="59" spans="2:19" s="210" customFormat="1" ht="15.75" thickBot="1">
      <c r="B59" s="341" t="s">
        <v>74</v>
      </c>
      <c r="C59" s="211"/>
      <c r="D59" s="212" t="s">
        <v>63</v>
      </c>
      <c r="E59" s="213"/>
      <c r="F59" s="246">
        <f>'GS 50-4999 (60kW)'!F59</f>
        <v>0.1</v>
      </c>
      <c r="G59" s="259">
        <f>F18</f>
        <v>40000</v>
      </c>
      <c r="H59" s="247">
        <f t="shared" si="7"/>
        <v>4000</v>
      </c>
      <c r="I59" s="227"/>
      <c r="J59" s="245">
        <f>'GS 50-4999 (60kW)'!J59</f>
        <v>0.1</v>
      </c>
      <c r="K59" s="259">
        <f>G59</f>
        <v>40000</v>
      </c>
      <c r="L59" s="216">
        <f t="shared" si="8"/>
        <v>4000</v>
      </c>
      <c r="M59" s="217"/>
      <c r="N59" s="420">
        <f t="shared" si="2"/>
        <v>0</v>
      </c>
      <c r="O59" s="220">
        <f t="shared" si="6"/>
        <v>0</v>
      </c>
      <c r="S59" s="261"/>
    </row>
    <row r="60" spans="2:19" s="210" customFormat="1" ht="15.75" hidden="1" thickBot="1">
      <c r="B60" s="341" t="s">
        <v>38</v>
      </c>
      <c r="C60" s="211"/>
      <c r="D60" s="212"/>
      <c r="E60" s="213"/>
      <c r="F60" s="246">
        <v>0.104</v>
      </c>
      <c r="G60" s="259">
        <v>0</v>
      </c>
      <c r="H60" s="216">
        <f t="shared" si="7"/>
        <v>0</v>
      </c>
      <c r="I60" s="217"/>
      <c r="J60" s="228">
        <v>0.104</v>
      </c>
      <c r="K60" s="259">
        <v>0</v>
      </c>
      <c r="L60" s="216">
        <f t="shared" si="8"/>
        <v>0</v>
      </c>
      <c r="M60" s="217"/>
      <c r="N60" s="230">
        <f t="shared" si="2"/>
        <v>0</v>
      </c>
      <c r="O60" s="220">
        <f t="shared" si="6"/>
      </c>
      <c r="S60" s="261"/>
    </row>
    <row r="61" spans="2:19" s="210" customFormat="1" ht="15.75" hidden="1" thickBot="1">
      <c r="B61" s="330" t="s">
        <v>39</v>
      </c>
      <c r="C61" s="211"/>
      <c r="D61" s="212"/>
      <c r="E61" s="213"/>
      <c r="F61" s="246">
        <v>0.124</v>
      </c>
      <c r="G61" s="259">
        <v>0</v>
      </c>
      <c r="H61" s="216">
        <f t="shared" si="7"/>
        <v>0</v>
      </c>
      <c r="I61" s="217"/>
      <c r="J61" s="228">
        <v>0.124</v>
      </c>
      <c r="K61" s="259">
        <v>0</v>
      </c>
      <c r="L61" s="216">
        <f t="shared" si="8"/>
        <v>0</v>
      </c>
      <c r="M61" s="217"/>
      <c r="N61" s="230">
        <f t="shared" si="2"/>
        <v>0</v>
      </c>
      <c r="O61" s="220">
        <f t="shared" si="6"/>
      </c>
      <c r="S61" s="261"/>
    </row>
    <row r="62" spans="2:15" s="347" customFormat="1" ht="15.75" hidden="1" thickBot="1">
      <c r="B62" s="406" t="s">
        <v>40</v>
      </c>
      <c r="C62" s="344"/>
      <c r="D62" s="345"/>
      <c r="E62" s="346"/>
      <c r="F62" s="246">
        <v>0.075</v>
      </c>
      <c r="G62" s="262">
        <v>0</v>
      </c>
      <c r="H62" s="216">
        <f>G62*F62</f>
        <v>0</v>
      </c>
      <c r="I62" s="263"/>
      <c r="J62" s="228">
        <v>0.075</v>
      </c>
      <c r="K62" s="262">
        <f>G62</f>
        <v>0</v>
      </c>
      <c r="L62" s="216">
        <f>K62*J62</f>
        <v>0</v>
      </c>
      <c r="M62" s="263"/>
      <c r="N62" s="383">
        <f t="shared" si="2"/>
        <v>0</v>
      </c>
      <c r="O62" s="220">
        <f t="shared" si="6"/>
      </c>
    </row>
    <row r="63" spans="2:15" s="347" customFormat="1" ht="15.75" hidden="1" thickBot="1">
      <c r="B63" s="406" t="s">
        <v>41</v>
      </c>
      <c r="C63" s="344"/>
      <c r="D63" s="345"/>
      <c r="E63" s="346"/>
      <c r="F63" s="246">
        <v>0.088</v>
      </c>
      <c r="G63" s="262">
        <v>0</v>
      </c>
      <c r="H63" s="216">
        <f>G63*F63</f>
        <v>0</v>
      </c>
      <c r="I63" s="263"/>
      <c r="J63" s="228">
        <v>0.088</v>
      </c>
      <c r="K63" s="262">
        <f>G63</f>
        <v>0</v>
      </c>
      <c r="L63" s="216">
        <f>K63*J63</f>
        <v>0</v>
      </c>
      <c r="M63" s="263"/>
      <c r="N63" s="383">
        <f t="shared" si="2"/>
        <v>0</v>
      </c>
      <c r="O63" s="220">
        <f t="shared" si="6"/>
      </c>
    </row>
    <row r="64" spans="2:15" s="210" customFormat="1" ht="8.25" customHeight="1" thickBot="1">
      <c r="B64" s="348"/>
      <c r="C64" s="264"/>
      <c r="D64" s="265"/>
      <c r="E64" s="264"/>
      <c r="F64" s="266"/>
      <c r="G64" s="267"/>
      <c r="H64" s="268"/>
      <c r="I64" s="269"/>
      <c r="J64" s="266"/>
      <c r="K64" s="270"/>
      <c r="L64" s="268"/>
      <c r="M64" s="269"/>
      <c r="N64" s="271"/>
      <c r="O64" s="272"/>
    </row>
    <row r="65" spans="2:19" s="210" customFormat="1" ht="15" hidden="1">
      <c r="B65" s="349" t="s">
        <v>42</v>
      </c>
      <c r="C65" s="211"/>
      <c r="D65" s="211"/>
      <c r="E65" s="211"/>
      <c r="F65" s="273"/>
      <c r="G65" s="274"/>
      <c r="H65" s="275">
        <f>SUM(H54:H61,H53)</f>
        <v>5518.3287550000005</v>
      </c>
      <c r="I65" s="276"/>
      <c r="J65" s="277"/>
      <c r="K65" s="277"/>
      <c r="L65" s="275">
        <f>SUM(L54:L61,L53)</f>
        <v>5751.637125000001</v>
      </c>
      <c r="M65" s="279"/>
      <c r="N65" s="400">
        <f>L65-H65</f>
        <v>233.30837000000065</v>
      </c>
      <c r="O65" s="350">
        <f>IF((H65)=0,"",(N65/H65))</f>
        <v>0.04227880946538507</v>
      </c>
      <c r="S65" s="261"/>
    </row>
    <row r="66" spans="2:19" s="210" customFormat="1" ht="15" hidden="1">
      <c r="B66" s="351" t="s">
        <v>43</v>
      </c>
      <c r="C66" s="211"/>
      <c r="D66" s="211"/>
      <c r="E66" s="211"/>
      <c r="F66" s="281">
        <v>0.13</v>
      </c>
      <c r="G66" s="282"/>
      <c r="H66" s="283">
        <f>H65*F66</f>
        <v>717.3827381500001</v>
      </c>
      <c r="I66" s="284"/>
      <c r="J66" s="285">
        <v>0.13</v>
      </c>
      <c r="K66" s="284"/>
      <c r="L66" s="286">
        <f>L65*J66</f>
        <v>747.7128262500001</v>
      </c>
      <c r="M66" s="287"/>
      <c r="N66" s="401">
        <f t="shared" si="2"/>
        <v>30.33008810000001</v>
      </c>
      <c r="O66" s="352">
        <f t="shared" si="6"/>
        <v>0.04227880946538497</v>
      </c>
      <c r="S66" s="261"/>
    </row>
    <row r="67" spans="2:19" s="210" customFormat="1" ht="15" hidden="1">
      <c r="B67" s="353" t="s">
        <v>126</v>
      </c>
      <c r="C67" s="211"/>
      <c r="D67" s="211"/>
      <c r="E67" s="211"/>
      <c r="F67" s="288"/>
      <c r="G67" s="282"/>
      <c r="H67" s="283">
        <f>H65+H66</f>
        <v>6235.711493150001</v>
      </c>
      <c r="I67" s="284"/>
      <c r="J67" s="284"/>
      <c r="K67" s="284"/>
      <c r="L67" s="286">
        <f>L65+L66</f>
        <v>6499.349951250001</v>
      </c>
      <c r="M67" s="287"/>
      <c r="N67" s="401">
        <f t="shared" si="2"/>
        <v>263.6384581000002</v>
      </c>
      <c r="O67" s="352">
        <f t="shared" si="6"/>
        <v>0.04227880946538499</v>
      </c>
      <c r="S67" s="261"/>
    </row>
    <row r="68" spans="2:15" s="210" customFormat="1" ht="15.75" customHeight="1" hidden="1">
      <c r="B68" s="593" t="s">
        <v>127</v>
      </c>
      <c r="C68" s="593"/>
      <c r="D68" s="593"/>
      <c r="E68" s="211"/>
      <c r="F68" s="288"/>
      <c r="G68" s="282"/>
      <c r="H68" s="407">
        <f>ROUND(-H67*10%,2)</f>
        <v>-623.57</v>
      </c>
      <c r="I68" s="284"/>
      <c r="J68" s="284"/>
      <c r="K68" s="284"/>
      <c r="L68" s="408">
        <f>ROUND(-L67*10%,2)</f>
        <v>-649.93</v>
      </c>
      <c r="M68" s="287"/>
      <c r="N68" s="387">
        <f t="shared" si="2"/>
        <v>-26.3599999999999</v>
      </c>
      <c r="O68" s="354">
        <f t="shared" si="6"/>
        <v>0.042272719983321674</v>
      </c>
    </row>
    <row r="69" spans="2:15" s="210" customFormat="1" ht="15" hidden="1">
      <c r="B69" s="594" t="s">
        <v>46</v>
      </c>
      <c r="C69" s="594"/>
      <c r="D69" s="594"/>
      <c r="E69" s="291"/>
      <c r="F69" s="292"/>
      <c r="G69" s="293"/>
      <c r="H69" s="294">
        <f>H67+H68</f>
        <v>5612.141493150001</v>
      </c>
      <c r="I69" s="295"/>
      <c r="J69" s="295"/>
      <c r="K69" s="295"/>
      <c r="L69" s="296">
        <f>L67+L68</f>
        <v>5849.419951250001</v>
      </c>
      <c r="M69" s="297"/>
      <c r="N69" s="402">
        <f t="shared" si="2"/>
        <v>237.27845809999963</v>
      </c>
      <c r="O69" s="355">
        <f t="shared" si="6"/>
        <v>0.04227948607311737</v>
      </c>
    </row>
    <row r="70" spans="2:15" s="347" customFormat="1" ht="8.25" customHeight="1" hidden="1">
      <c r="B70" s="356"/>
      <c r="C70" s="357"/>
      <c r="D70" s="358"/>
      <c r="E70" s="357"/>
      <c r="F70" s="266"/>
      <c r="G70" s="299"/>
      <c r="H70" s="268"/>
      <c r="I70" s="300"/>
      <c r="J70" s="266"/>
      <c r="K70" s="301"/>
      <c r="L70" s="268"/>
      <c r="M70" s="300"/>
      <c r="N70" s="302"/>
      <c r="O70" s="272"/>
    </row>
    <row r="71" spans="2:15" s="347" customFormat="1" ht="15">
      <c r="B71" s="359" t="s">
        <v>47</v>
      </c>
      <c r="C71" s="344"/>
      <c r="D71" s="344"/>
      <c r="E71" s="344"/>
      <c r="F71" s="303"/>
      <c r="G71" s="304"/>
      <c r="H71" s="305">
        <f>SUM(H59,H53,H54:H58)</f>
        <v>5518.3287550000005</v>
      </c>
      <c r="I71" s="306"/>
      <c r="J71" s="307"/>
      <c r="K71" s="307"/>
      <c r="L71" s="308">
        <f>SUM(L59,L53,L54:L58)</f>
        <v>5751.637124999999</v>
      </c>
      <c r="M71" s="309"/>
      <c r="N71" s="403">
        <f>L71-H71</f>
        <v>233.30836999999883</v>
      </c>
      <c r="O71" s="350">
        <f>IF((H71)=0,"",(N71/H71))</f>
        <v>0.042278809465384745</v>
      </c>
    </row>
    <row r="72" spans="2:15" s="347" customFormat="1" ht="15">
      <c r="B72" s="360" t="s">
        <v>43</v>
      </c>
      <c r="C72" s="344"/>
      <c r="D72" s="344"/>
      <c r="E72" s="344"/>
      <c r="F72" s="310">
        <v>0.13</v>
      </c>
      <c r="G72" s="304"/>
      <c r="H72" s="311">
        <f>H71*F72</f>
        <v>717.3827381500001</v>
      </c>
      <c r="I72" s="312"/>
      <c r="J72" s="310">
        <v>0.13</v>
      </c>
      <c r="K72" s="313"/>
      <c r="L72" s="314">
        <f>L71*J72</f>
        <v>747.7128262499999</v>
      </c>
      <c r="M72" s="315"/>
      <c r="N72" s="404">
        <f>L72-H72</f>
        <v>30.330088099999784</v>
      </c>
      <c r="O72" s="352">
        <f>IF((H72)=0,"",(N72/H72))</f>
        <v>0.04227880946538465</v>
      </c>
    </row>
    <row r="73" spans="2:15" s="347" customFormat="1" ht="15">
      <c r="B73" s="361" t="s">
        <v>126</v>
      </c>
      <c r="C73" s="344"/>
      <c r="D73" s="344"/>
      <c r="E73" s="344"/>
      <c r="F73" s="316"/>
      <c r="G73" s="315"/>
      <c r="H73" s="311">
        <f>H71+H72</f>
        <v>6235.711493150001</v>
      </c>
      <c r="I73" s="312"/>
      <c r="J73" s="312"/>
      <c r="K73" s="312"/>
      <c r="L73" s="314">
        <f>L71+L72</f>
        <v>6499.349951249999</v>
      </c>
      <c r="M73" s="315"/>
      <c r="N73" s="404">
        <f>L73-H73</f>
        <v>263.6384580999984</v>
      </c>
      <c r="O73" s="352">
        <f>IF((H73)=0,"",(N73/H73))</f>
        <v>0.0422788094653847</v>
      </c>
    </row>
    <row r="74" spans="2:15" s="347" customFormat="1" ht="15.75" customHeight="1">
      <c r="B74" s="595" t="s">
        <v>127</v>
      </c>
      <c r="C74" s="595"/>
      <c r="D74" s="595"/>
      <c r="E74" s="344"/>
      <c r="F74" s="316"/>
      <c r="G74" s="315"/>
      <c r="H74" s="425">
        <v>0</v>
      </c>
      <c r="I74" s="312"/>
      <c r="J74" s="312"/>
      <c r="K74" s="312"/>
      <c r="L74" s="318">
        <v>0</v>
      </c>
      <c r="M74" s="315"/>
      <c r="N74" s="390">
        <f>L74-H74</f>
        <v>0</v>
      </c>
      <c r="O74" s="352">
        <f>IF((H74)=0,"",(N74/H74))</f>
      </c>
    </row>
    <row r="75" spans="2:15" s="347" customFormat="1" ht="15.75" thickBot="1">
      <c r="B75" s="586" t="s">
        <v>48</v>
      </c>
      <c r="C75" s="586"/>
      <c r="D75" s="586"/>
      <c r="E75" s="362"/>
      <c r="F75" s="319"/>
      <c r="G75" s="320"/>
      <c r="H75" s="321">
        <f>SUM(H73:H74)</f>
        <v>6235.711493150001</v>
      </c>
      <c r="I75" s="322"/>
      <c r="J75" s="322"/>
      <c r="K75" s="322"/>
      <c r="L75" s="323">
        <f>SUM(L73:L74)</f>
        <v>6499.349951249999</v>
      </c>
      <c r="M75" s="324"/>
      <c r="N75" s="405">
        <f>L75-H75</f>
        <v>263.6384580999984</v>
      </c>
      <c r="O75" s="363">
        <f>IF((H75)=0,"",(N75/H75))</f>
        <v>0.0422788094653847</v>
      </c>
    </row>
    <row r="76" spans="2:15" s="347" customFormat="1" ht="8.25" customHeight="1" thickBot="1">
      <c r="B76" s="356"/>
      <c r="C76" s="357"/>
      <c r="D76" s="358"/>
      <c r="E76" s="357"/>
      <c r="F76" s="325"/>
      <c r="G76" s="364"/>
      <c r="H76" s="326"/>
      <c r="I76" s="365"/>
      <c r="J76" s="325"/>
      <c r="K76" s="299"/>
      <c r="L76" s="327"/>
      <c r="M76" s="300"/>
      <c r="N76" s="366"/>
      <c r="O76" s="272"/>
    </row>
    <row r="77" s="210" customFormat="1" ht="10.5" customHeight="1">
      <c r="L77" s="261"/>
    </row>
    <row r="78" spans="2:10" s="210" customFormat="1" ht="15">
      <c r="B78" s="367" t="s">
        <v>49</v>
      </c>
      <c r="F78" s="328">
        <v>0.0495</v>
      </c>
      <c r="J78" s="328">
        <v>0.0495</v>
      </c>
    </row>
    <row r="79" s="210" customFormat="1" ht="10.5" customHeight="1"/>
    <row r="80" spans="2:15" s="210" customFormat="1" ht="15">
      <c r="B80" s="423" t="s">
        <v>145</v>
      </c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</row>
    <row r="81" spans="2:15" s="210" customFormat="1" ht="15">
      <c r="B81" s="423" t="s">
        <v>146</v>
      </c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</row>
    <row r="82" s="210" customFormat="1" ht="17.25">
      <c r="A82" s="368" t="s">
        <v>128</v>
      </c>
    </row>
    <row r="83" s="210" customFormat="1" ht="10.5" customHeight="1"/>
    <row r="84" s="210" customFormat="1" ht="15">
      <c r="A84" s="210" t="s">
        <v>51</v>
      </c>
    </row>
    <row r="85" s="210" customFormat="1" ht="15">
      <c r="A85" s="210" t="s">
        <v>52</v>
      </c>
    </row>
    <row r="86" s="210" customFormat="1" ht="15"/>
    <row r="87" s="210" customFormat="1" ht="15">
      <c r="A87" s="330" t="s">
        <v>53</v>
      </c>
    </row>
    <row r="88" s="210" customFormat="1" ht="15">
      <c r="A88" s="330" t="s">
        <v>54</v>
      </c>
    </row>
    <row r="89" s="210" customFormat="1" ht="15"/>
    <row r="90" s="210" customFormat="1" ht="15">
      <c r="A90" s="210" t="s">
        <v>55</v>
      </c>
    </row>
    <row r="91" s="210" customFormat="1" ht="15">
      <c r="A91" s="210" t="s">
        <v>56</v>
      </c>
    </row>
    <row r="92" s="210" customFormat="1" ht="15">
      <c r="A92" s="210" t="s">
        <v>57</v>
      </c>
    </row>
    <row r="93" s="210" customFormat="1" ht="15">
      <c r="A93" s="210" t="s">
        <v>58</v>
      </c>
    </row>
    <row r="94" s="210" customFormat="1" ht="15">
      <c r="A94" s="210" t="s">
        <v>59</v>
      </c>
    </row>
    <row r="95" s="210" customFormat="1" ht="15"/>
    <row r="96" spans="1:2" s="210" customFormat="1" ht="15">
      <c r="A96" s="329"/>
      <c r="B96" s="210" t="s">
        <v>60</v>
      </c>
    </row>
    <row r="97" s="210" customFormat="1" ht="15"/>
    <row r="98" s="210" customFormat="1" ht="15"/>
  </sheetData>
  <sheetProtection/>
  <mergeCells count="22">
    <mergeCell ref="N1:O1"/>
    <mergeCell ref="N2:O2"/>
    <mergeCell ref="N3:O3"/>
    <mergeCell ref="N4:O4"/>
    <mergeCell ref="A3:K3"/>
    <mergeCell ref="N6:O6"/>
    <mergeCell ref="N5:O5"/>
    <mergeCell ref="N7:O7"/>
    <mergeCell ref="B11:O11"/>
    <mergeCell ref="N20:O20"/>
    <mergeCell ref="D14:O14"/>
    <mergeCell ref="F20:H20"/>
    <mergeCell ref="B9:O9"/>
    <mergeCell ref="B75:D75"/>
    <mergeCell ref="D21:D22"/>
    <mergeCell ref="N21:N22"/>
    <mergeCell ref="O21:O22"/>
    <mergeCell ref="B68:D68"/>
    <mergeCell ref="B10:O10"/>
    <mergeCell ref="B74:D74"/>
    <mergeCell ref="J20:L20"/>
    <mergeCell ref="B69:D69"/>
  </mergeCells>
  <dataValidations count="4">
    <dataValidation type="list" allowBlank="1" showInputMessage="1" showErrorMessage="1" sqref="E51:E52 E42:E49 E64 E23:E40 E54:E61">
      <formula1>'GS 50-4999 (100kW)'!#REF!</formula1>
    </dataValidation>
    <dataValidation type="list" allowBlank="1" showInputMessage="1" showErrorMessage="1" prompt="Select Charge Unit - monthly, per kWh, per kW" sqref="D51:D52 D54:D64 D70 D76 D42:D49 D23:D40">
      <formula1>"Monthly, per kWh, per kW"</formula1>
    </dataValidation>
    <dataValidation type="list" allowBlank="1" showInputMessage="1" showErrorMessage="1" sqref="E76 E70 E62:E63">
      <formula1>'GS 50-4999 (100kW)'!#REF!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7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46.8515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2.2812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11.574218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T1" s="45">
        <v>1</v>
      </c>
    </row>
    <row r="2" spans="1:15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</row>
    <row r="3" spans="1:15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15</v>
      </c>
      <c r="O4" s="582"/>
    </row>
    <row r="5" spans="3:15" s="2" customFormat="1" ht="15" customHeight="1">
      <c r="C5" s="7"/>
      <c r="D5" s="7"/>
      <c r="E5" s="7"/>
      <c r="L5" s="3" t="s">
        <v>76</v>
      </c>
      <c r="N5" s="584" t="s">
        <v>90</v>
      </c>
      <c r="O5" s="584"/>
    </row>
    <row r="6" spans="12:15" s="2" customFormat="1" ht="9" customHeight="1">
      <c r="L6" s="3"/>
      <c r="N6" s="4"/>
      <c r="O6" s="17"/>
    </row>
    <row r="7" spans="12:15" s="2" customFormat="1" ht="15">
      <c r="L7" s="3" t="s">
        <v>159</v>
      </c>
      <c r="N7" s="585">
        <v>42384</v>
      </c>
      <c r="O7" s="584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113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65</v>
      </c>
      <c r="G18" s="14" t="s">
        <v>9</v>
      </c>
      <c r="H18" s="15">
        <v>1</v>
      </c>
      <c r="I18" s="14" t="s">
        <v>70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3" t="s">
        <v>20</v>
      </c>
      <c r="C23" s="211"/>
      <c r="D23" s="212" t="s">
        <v>62</v>
      </c>
      <c r="E23" s="213"/>
      <c r="F23" s="214">
        <v>2.04</v>
      </c>
      <c r="G23" s="260">
        <v>1</v>
      </c>
      <c r="H23" s="216">
        <f>G23*F23</f>
        <v>2.04</v>
      </c>
      <c r="I23" s="217"/>
      <c r="J23" s="222">
        <v>2.04</v>
      </c>
      <c r="K23" s="260">
        <v>1</v>
      </c>
      <c r="L23" s="216">
        <f>K23*J23</f>
        <v>2.04</v>
      </c>
      <c r="M23" s="217"/>
      <c r="N23" s="230">
        <f>L23-H23</f>
        <v>0</v>
      </c>
      <c r="O23" s="220">
        <f>IF((H23)=0,"",(N23/H23))</f>
        <v>0</v>
      </c>
    </row>
    <row r="24" spans="2:15" s="210" customFormat="1" ht="22.5" customHeight="1" hidden="1">
      <c r="B24" s="213" t="s">
        <v>91</v>
      </c>
      <c r="C24" s="211"/>
      <c r="D24" s="212" t="s">
        <v>62</v>
      </c>
      <c r="E24" s="213"/>
      <c r="F24" s="214">
        <v>0</v>
      </c>
      <c r="G24" s="260">
        <v>1</v>
      </c>
      <c r="H24" s="216">
        <f>G24*F24</f>
        <v>0</v>
      </c>
      <c r="I24" s="217"/>
      <c r="J24" s="222">
        <v>0</v>
      </c>
      <c r="K24" s="260">
        <v>1</v>
      </c>
      <c r="L24" s="216">
        <f>K24*J24</f>
        <v>0</v>
      </c>
      <c r="M24" s="217"/>
      <c r="N24" s="382">
        <f>L24-H24</f>
        <v>0</v>
      </c>
      <c r="O24" s="220">
        <f>IF((H24)=0,"",(N24/H24))</f>
      </c>
    </row>
    <row r="25" spans="2:15" s="210" customFormat="1" ht="36.75" customHeight="1" hidden="1">
      <c r="B25" s="380" t="s">
        <v>109</v>
      </c>
      <c r="C25" s="211"/>
      <c r="D25" s="224" t="s">
        <v>62</v>
      </c>
      <c r="E25" s="213"/>
      <c r="F25" s="222">
        <v>0</v>
      </c>
      <c r="G25" s="260">
        <v>1</v>
      </c>
      <c r="H25" s="216">
        <f>G25*F25</f>
        <v>0</v>
      </c>
      <c r="I25" s="217"/>
      <c r="J25" s="225">
        <f>'GS 50-4999 (60kW)'!J25</f>
        <v>0</v>
      </c>
      <c r="K25" s="260">
        <v>1</v>
      </c>
      <c r="L25" s="216">
        <f>K25*J25</f>
        <v>0</v>
      </c>
      <c r="M25" s="217"/>
      <c r="N25" s="230">
        <f>L25-H25</f>
        <v>0</v>
      </c>
      <c r="O25" s="220">
        <f>IF((H25)=0,"",(N25/H25))</f>
      </c>
    </row>
    <row r="26" spans="2:15" s="210" customFormat="1" ht="15" hidden="1">
      <c r="B26" s="380"/>
      <c r="C26" s="211"/>
      <c r="D26" s="224" t="s">
        <v>62</v>
      </c>
      <c r="E26" s="227"/>
      <c r="F26" s="222"/>
      <c r="G26" s="260">
        <v>1</v>
      </c>
      <c r="H26" s="216">
        <f aca="true" t="shared" si="0" ref="H26:H40">G26*F26</f>
        <v>0</v>
      </c>
      <c r="I26" s="217"/>
      <c r="J26" s="225"/>
      <c r="K26" s="260">
        <v>1</v>
      </c>
      <c r="L26" s="216">
        <f aca="true" t="shared" si="1" ref="L26:L40">K26*J26</f>
        <v>0</v>
      </c>
      <c r="M26" s="217"/>
      <c r="N26" s="230">
        <f aca="true" t="shared" si="2" ref="N26:N41">L26-H26</f>
        <v>0</v>
      </c>
      <c r="O26" s="220">
        <f aca="true" t="shared" si="3" ref="O26:O41">IF((H26)=0,"",(N26/H26))</f>
      </c>
    </row>
    <row r="27" spans="2:15" s="210" customFormat="1" ht="15" hidden="1">
      <c r="B27" s="380"/>
      <c r="C27" s="211"/>
      <c r="D27" s="224" t="s">
        <v>62</v>
      </c>
      <c r="E27" s="213"/>
      <c r="F27" s="228"/>
      <c r="G27" s="260">
        <v>1</v>
      </c>
      <c r="H27" s="216">
        <f t="shared" si="0"/>
        <v>0</v>
      </c>
      <c r="I27" s="217"/>
      <c r="J27" s="222"/>
      <c r="K27" s="260">
        <v>1</v>
      </c>
      <c r="L27" s="216">
        <f t="shared" si="1"/>
        <v>0</v>
      </c>
      <c r="M27" s="217"/>
      <c r="N27" s="230">
        <f t="shared" si="2"/>
        <v>0</v>
      </c>
      <c r="O27" s="220">
        <f t="shared" si="3"/>
      </c>
    </row>
    <row r="28" spans="2:15" s="210" customFormat="1" ht="15">
      <c r="B28" s="381" t="s">
        <v>66</v>
      </c>
      <c r="C28" s="211"/>
      <c r="D28" s="212" t="s">
        <v>71</v>
      </c>
      <c r="E28" s="213"/>
      <c r="F28" s="228">
        <v>0</v>
      </c>
      <c r="G28" s="260">
        <f>$H$18</f>
        <v>1</v>
      </c>
      <c r="H28" s="216">
        <f t="shared" si="0"/>
        <v>0</v>
      </c>
      <c r="I28" s="217"/>
      <c r="J28" s="418">
        <v>-0.0817</v>
      </c>
      <c r="K28" s="260">
        <f>$H$18</f>
        <v>1</v>
      </c>
      <c r="L28" s="216">
        <f t="shared" si="1"/>
        <v>-0.0817</v>
      </c>
      <c r="M28" s="217"/>
      <c r="N28" s="219">
        <f t="shared" si="2"/>
        <v>-0.0817</v>
      </c>
      <c r="O28" s="220">
        <f t="shared" si="3"/>
      </c>
    </row>
    <row r="29" spans="2:15" s="210" customFormat="1" ht="15">
      <c r="B29" s="211" t="s">
        <v>108</v>
      </c>
      <c r="C29" s="211"/>
      <c r="D29" s="212" t="s">
        <v>71</v>
      </c>
      <c r="E29" s="213"/>
      <c r="F29" s="228">
        <v>0</v>
      </c>
      <c r="G29" s="396">
        <f>$H$18</f>
        <v>1</v>
      </c>
      <c r="H29" s="216">
        <f t="shared" si="0"/>
        <v>0</v>
      </c>
      <c r="I29" s="217"/>
      <c r="J29" s="424">
        <v>0.0577</v>
      </c>
      <c r="K29" s="396">
        <f>$H$18</f>
        <v>1</v>
      </c>
      <c r="L29" s="216">
        <f t="shared" si="1"/>
        <v>0.0577</v>
      </c>
      <c r="M29" s="217"/>
      <c r="N29" s="219">
        <f t="shared" si="2"/>
        <v>0.0577</v>
      </c>
      <c r="O29" s="220">
        <f t="shared" si="3"/>
      </c>
    </row>
    <row r="30" spans="2:15" s="210" customFormat="1" ht="15" hidden="1">
      <c r="B30" s="381" t="s">
        <v>92</v>
      </c>
      <c r="C30" s="211"/>
      <c r="D30" s="212" t="s">
        <v>71</v>
      </c>
      <c r="E30" s="213"/>
      <c r="F30" s="228">
        <v>0</v>
      </c>
      <c r="G30" s="260">
        <f>$H$18</f>
        <v>1</v>
      </c>
      <c r="H30" s="216">
        <f>G30*F30</f>
        <v>0</v>
      </c>
      <c r="I30" s="217"/>
      <c r="J30" s="225">
        <v>0</v>
      </c>
      <c r="K30" s="260">
        <f>H18</f>
        <v>1</v>
      </c>
      <c r="L30" s="216">
        <f t="shared" si="1"/>
        <v>0</v>
      </c>
      <c r="M30" s="217"/>
      <c r="N30" s="382">
        <f t="shared" si="2"/>
        <v>0</v>
      </c>
      <c r="O30" s="220"/>
    </row>
    <row r="31" spans="2:15" s="210" customFormat="1" ht="15">
      <c r="B31" s="213" t="s">
        <v>21</v>
      </c>
      <c r="C31" s="211"/>
      <c r="D31" s="212" t="s">
        <v>71</v>
      </c>
      <c r="E31" s="213"/>
      <c r="F31" s="228">
        <v>30.5028</v>
      </c>
      <c r="G31" s="260">
        <f>$H$18</f>
        <v>1</v>
      </c>
      <c r="H31" s="216">
        <f t="shared" si="0"/>
        <v>30.5028</v>
      </c>
      <c r="I31" s="217"/>
      <c r="J31" s="225">
        <v>30.5028</v>
      </c>
      <c r="K31" s="260">
        <f>$H$18</f>
        <v>1</v>
      </c>
      <c r="L31" s="216">
        <f t="shared" si="1"/>
        <v>30.5028</v>
      </c>
      <c r="M31" s="217"/>
      <c r="N31" s="230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28"/>
      <c r="G32" s="215">
        <f>$F$18</f>
        <v>65</v>
      </c>
      <c r="H32" s="216">
        <f t="shared" si="0"/>
        <v>0</v>
      </c>
      <c r="I32" s="217"/>
      <c r="J32" s="225"/>
      <c r="K32" s="215">
        <f aca="true" t="shared" si="4" ref="K32:K40">$F$18</f>
        <v>65</v>
      </c>
      <c r="L32" s="216">
        <f t="shared" si="1"/>
        <v>0</v>
      </c>
      <c r="M32" s="217"/>
      <c r="N32" s="230">
        <f t="shared" si="2"/>
        <v>0</v>
      </c>
      <c r="O32" s="220">
        <f t="shared" si="3"/>
      </c>
    </row>
    <row r="33" spans="2:15" s="210" customFormat="1" ht="15" hidden="1">
      <c r="B33" s="211" t="s">
        <v>108</v>
      </c>
      <c r="C33" s="211"/>
      <c r="D33" s="212" t="s">
        <v>71</v>
      </c>
      <c r="E33" s="213"/>
      <c r="F33" s="228">
        <v>0</v>
      </c>
      <c r="G33" s="396">
        <f>$H$18</f>
        <v>1</v>
      </c>
      <c r="H33" s="216">
        <f t="shared" si="0"/>
        <v>0</v>
      </c>
      <c r="I33" s="217"/>
      <c r="J33" s="225">
        <v>0</v>
      </c>
      <c r="K33" s="396">
        <f>$H$18</f>
        <v>1</v>
      </c>
      <c r="L33" s="216">
        <f t="shared" si="1"/>
        <v>0</v>
      </c>
      <c r="M33" s="217"/>
      <c r="N33" s="230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5" ref="G34:G40">$F$18</f>
        <v>65</v>
      </c>
      <c r="H34" s="216">
        <f t="shared" si="0"/>
        <v>0</v>
      </c>
      <c r="I34" s="217"/>
      <c r="J34" s="225"/>
      <c r="K34" s="215">
        <f t="shared" si="4"/>
        <v>65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5"/>
        <v>65</v>
      </c>
      <c r="H35" s="216">
        <f t="shared" si="0"/>
        <v>0</v>
      </c>
      <c r="I35" s="217"/>
      <c r="J35" s="225"/>
      <c r="K35" s="215">
        <f t="shared" si="4"/>
        <v>65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5"/>
        <v>65</v>
      </c>
      <c r="H36" s="216">
        <f t="shared" si="0"/>
        <v>0</v>
      </c>
      <c r="I36" s="217"/>
      <c r="J36" s="225"/>
      <c r="K36" s="215">
        <f t="shared" si="4"/>
        <v>65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5"/>
        <v>65</v>
      </c>
      <c r="H37" s="216">
        <f t="shared" si="0"/>
        <v>0</v>
      </c>
      <c r="I37" s="217"/>
      <c r="J37" s="225"/>
      <c r="K37" s="215">
        <f t="shared" si="4"/>
        <v>65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5"/>
        <v>65</v>
      </c>
      <c r="H38" s="216">
        <f t="shared" si="0"/>
        <v>0</v>
      </c>
      <c r="I38" s="217"/>
      <c r="J38" s="225"/>
      <c r="K38" s="215">
        <f t="shared" si="4"/>
        <v>65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5"/>
        <v>65</v>
      </c>
      <c r="H39" s="216">
        <f t="shared" si="0"/>
        <v>0</v>
      </c>
      <c r="I39" s="217"/>
      <c r="J39" s="225"/>
      <c r="K39" s="215">
        <f t="shared" si="4"/>
        <v>65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5"/>
        <v>65</v>
      </c>
      <c r="H40" s="216">
        <f t="shared" si="0"/>
        <v>0</v>
      </c>
      <c r="I40" s="217"/>
      <c r="J40" s="225"/>
      <c r="K40" s="215">
        <f t="shared" si="4"/>
        <v>65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32.5428</v>
      </c>
      <c r="I41" s="237"/>
      <c r="J41" s="238"/>
      <c r="K41" s="239"/>
      <c r="L41" s="236">
        <f>SUM(L23:L40)</f>
        <v>32.5188</v>
      </c>
      <c r="M41" s="237"/>
      <c r="N41" s="410">
        <f t="shared" si="2"/>
        <v>-0.02400000000000091</v>
      </c>
      <c r="O41" s="340">
        <f t="shared" si="3"/>
        <v>-0.0007374903204395722</v>
      </c>
    </row>
    <row r="42" spans="2:15" s="210" customFormat="1" ht="30">
      <c r="B42" s="381" t="s">
        <v>25</v>
      </c>
      <c r="C42" s="211"/>
      <c r="D42" s="224" t="s">
        <v>71</v>
      </c>
      <c r="E42" s="227"/>
      <c r="F42" s="242">
        <v>-2.4009</v>
      </c>
      <c r="G42" s="396">
        <f>G31</f>
        <v>1</v>
      </c>
      <c r="H42" s="216">
        <f aca="true" t="shared" si="6" ref="H42:H49">G42*F42</f>
        <v>-2.4009</v>
      </c>
      <c r="I42" s="217"/>
      <c r="J42" s="242">
        <v>-0.7302</v>
      </c>
      <c r="K42" s="396">
        <f>H18</f>
        <v>1</v>
      </c>
      <c r="L42" s="216">
        <f aca="true" t="shared" si="7" ref="L42:L49">K42*J42</f>
        <v>-0.7302</v>
      </c>
      <c r="M42" s="217"/>
      <c r="N42" s="219">
        <f aca="true" t="shared" si="8" ref="N42:N49">L42-H42</f>
        <v>1.6707</v>
      </c>
      <c r="O42" s="220">
        <f aca="true" t="shared" si="9" ref="O42:O48">IF((H42)=0,"",(N42/H42))</f>
        <v>-0.6958640509808822</v>
      </c>
    </row>
    <row r="43" spans="2:15" s="210" customFormat="1" ht="15" hidden="1">
      <c r="B43" s="381"/>
      <c r="C43" s="211"/>
      <c r="D43" s="212" t="s">
        <v>71</v>
      </c>
      <c r="E43" s="213"/>
      <c r="F43" s="228"/>
      <c r="G43" s="396">
        <f>H18</f>
        <v>1</v>
      </c>
      <c r="H43" s="216">
        <f t="shared" si="6"/>
        <v>0</v>
      </c>
      <c r="I43" s="243"/>
      <c r="J43" s="225"/>
      <c r="K43" s="396">
        <f>H18</f>
        <v>1</v>
      </c>
      <c r="L43" s="216">
        <f t="shared" si="7"/>
        <v>0</v>
      </c>
      <c r="M43" s="244"/>
      <c r="N43" s="219">
        <f t="shared" si="8"/>
        <v>0</v>
      </c>
      <c r="O43" s="220">
        <f t="shared" si="9"/>
      </c>
    </row>
    <row r="44" spans="2:15" s="210" customFormat="1" ht="15" hidden="1">
      <c r="B44" s="381"/>
      <c r="C44" s="211"/>
      <c r="D44" s="212" t="s">
        <v>71</v>
      </c>
      <c r="E44" s="213"/>
      <c r="F44" s="228"/>
      <c r="G44" s="396">
        <f>H18</f>
        <v>1</v>
      </c>
      <c r="H44" s="216">
        <f t="shared" si="6"/>
        <v>0</v>
      </c>
      <c r="I44" s="243"/>
      <c r="J44" s="225"/>
      <c r="K44" s="396">
        <f>H18</f>
        <v>1</v>
      </c>
      <c r="L44" s="216">
        <f t="shared" si="7"/>
        <v>0</v>
      </c>
      <c r="M44" s="244"/>
      <c r="N44" s="219">
        <f t="shared" si="8"/>
        <v>0</v>
      </c>
      <c r="O44" s="220">
        <f t="shared" si="9"/>
      </c>
    </row>
    <row r="45" spans="2:15" s="210" customFormat="1" ht="30.75" customHeight="1">
      <c r="B45" s="381" t="s">
        <v>75</v>
      </c>
      <c r="C45" s="211"/>
      <c r="D45" s="212" t="s">
        <v>71</v>
      </c>
      <c r="E45" s="213"/>
      <c r="F45" s="242">
        <v>1.9976</v>
      </c>
      <c r="G45" s="396">
        <f>H18</f>
        <v>1</v>
      </c>
      <c r="H45" s="216">
        <f t="shared" si="6"/>
        <v>1.9976</v>
      </c>
      <c r="I45" s="243"/>
      <c r="J45" s="225">
        <v>1.4728</v>
      </c>
      <c r="K45" s="396">
        <f>H18</f>
        <v>1</v>
      </c>
      <c r="L45" s="216">
        <f t="shared" si="7"/>
        <v>1.4728</v>
      </c>
      <c r="M45" s="244"/>
      <c r="N45" s="219">
        <f t="shared" si="8"/>
        <v>-0.5247999999999999</v>
      </c>
      <c r="O45" s="220">
        <f t="shared" si="9"/>
        <v>-0.26271525830997194</v>
      </c>
    </row>
    <row r="46" spans="2:15" s="210" customFormat="1" ht="15" hidden="1">
      <c r="B46" s="211"/>
      <c r="C46" s="211"/>
      <c r="D46" s="212" t="s">
        <v>71</v>
      </c>
      <c r="E46" s="213"/>
      <c r="F46" s="228">
        <v>0</v>
      </c>
      <c r="G46" s="396">
        <f>$H$18</f>
        <v>1</v>
      </c>
      <c r="H46" s="216">
        <f t="shared" si="6"/>
        <v>0</v>
      </c>
      <c r="I46" s="217"/>
      <c r="J46" s="225"/>
      <c r="K46" s="396">
        <f>$H$18</f>
        <v>1</v>
      </c>
      <c r="L46" s="216">
        <f t="shared" si="7"/>
        <v>0</v>
      </c>
      <c r="M46" s="217"/>
      <c r="N46" s="219">
        <f t="shared" si="8"/>
        <v>0</v>
      </c>
      <c r="O46" s="220">
        <f t="shared" si="9"/>
      </c>
    </row>
    <row r="47" spans="2:15" s="210" customFormat="1" ht="15">
      <c r="B47" s="341" t="s">
        <v>26</v>
      </c>
      <c r="C47" s="211"/>
      <c r="D47" s="212" t="s">
        <v>71</v>
      </c>
      <c r="E47" s="213"/>
      <c r="F47" s="228">
        <v>0.7192</v>
      </c>
      <c r="G47" s="396">
        <f>H18</f>
        <v>1</v>
      </c>
      <c r="H47" s="216">
        <f t="shared" si="6"/>
        <v>0.7192</v>
      </c>
      <c r="I47" s="217"/>
      <c r="J47" s="225">
        <v>0.7192</v>
      </c>
      <c r="K47" s="396">
        <f>H18</f>
        <v>1</v>
      </c>
      <c r="L47" s="216">
        <f t="shared" si="7"/>
        <v>0.7192</v>
      </c>
      <c r="M47" s="217"/>
      <c r="N47" s="219">
        <f t="shared" si="8"/>
        <v>0</v>
      </c>
      <c r="O47" s="220">
        <f t="shared" si="9"/>
        <v>0</v>
      </c>
    </row>
    <row r="48" spans="2:15" s="241" customFormat="1" ht="15">
      <c r="B48" s="342" t="s">
        <v>27</v>
      </c>
      <c r="C48" s="213"/>
      <c r="D48" s="212" t="s">
        <v>63</v>
      </c>
      <c r="E48" s="213"/>
      <c r="F48" s="246">
        <f>IF(ISBLANK(D16)=TRUE,0,IF(D16="TOU",0.64*$F$59+0.18*$F$60+0.18*$F$61,IF(AND(D16="non-TOU",G63&gt;0),F63,F62)))</f>
        <v>0.075</v>
      </c>
      <c r="G48" s="215">
        <f>$F$18*(1+$F$78)-$F$18</f>
        <v>3.217500000000001</v>
      </c>
      <c r="H48" s="247">
        <f t="shared" si="6"/>
        <v>0.24131250000000007</v>
      </c>
      <c r="I48" s="227"/>
      <c r="J48" s="245">
        <f>IF(ISBLANK(D16)=TRUE,0,IF(D16="TOU",0.64*$F$59+0.18*$F$60+0.18*$F$61,IF(AND(D16="non-TOU",K63&gt;0),J63,J62)))</f>
        <v>0.075</v>
      </c>
      <c r="K48" s="215">
        <f>$F$18*(1+$J$78)-$F$18</f>
        <v>3.217500000000001</v>
      </c>
      <c r="L48" s="247">
        <f t="shared" si="7"/>
        <v>0.24131250000000007</v>
      </c>
      <c r="M48" s="227"/>
      <c r="N48" s="219">
        <f t="shared" si="8"/>
        <v>0</v>
      </c>
      <c r="O48" s="248">
        <f t="shared" si="9"/>
        <v>0</v>
      </c>
    </row>
    <row r="49" spans="2:15" s="210" customFormat="1" ht="15">
      <c r="B49" s="341" t="s">
        <v>28</v>
      </c>
      <c r="C49" s="211"/>
      <c r="D49" s="212" t="s">
        <v>62</v>
      </c>
      <c r="E49" s="213"/>
      <c r="F49" s="214">
        <v>0.79</v>
      </c>
      <c r="G49" s="215">
        <v>0</v>
      </c>
      <c r="H49" s="216">
        <f t="shared" si="6"/>
        <v>0</v>
      </c>
      <c r="I49" s="217"/>
      <c r="J49" s="214">
        <v>0.79</v>
      </c>
      <c r="K49" s="215">
        <v>0</v>
      </c>
      <c r="L49" s="216">
        <f t="shared" si="7"/>
        <v>0</v>
      </c>
      <c r="M49" s="217"/>
      <c r="N49" s="219">
        <f t="shared" si="8"/>
        <v>0</v>
      </c>
      <c r="O49" s="220"/>
    </row>
    <row r="50" spans="2:15" s="210" customFormat="1" ht="30">
      <c r="B50" s="343" t="s">
        <v>29</v>
      </c>
      <c r="C50" s="250"/>
      <c r="D50" s="250"/>
      <c r="E50" s="250"/>
      <c r="F50" s="43"/>
      <c r="G50" s="251"/>
      <c r="H50" s="252">
        <f>SUM(H42:H49)+H41</f>
        <v>33.1000125</v>
      </c>
      <c r="I50" s="237"/>
      <c r="J50" s="251"/>
      <c r="K50" s="253"/>
      <c r="L50" s="252">
        <f>SUM(L42:L49)+L41</f>
        <v>34.2219125</v>
      </c>
      <c r="M50" s="237"/>
      <c r="N50" s="399">
        <f aca="true" t="shared" si="10" ref="N50:N69">L50-H50</f>
        <v>1.1219000000000037</v>
      </c>
      <c r="O50" s="340">
        <f aca="true" t="shared" si="11" ref="O50:O69">IF((H50)=0,"",(N50/H50))</f>
        <v>0.033894247018789</v>
      </c>
    </row>
    <row r="51" spans="2:15" s="210" customFormat="1" ht="15">
      <c r="B51" s="217" t="s">
        <v>30</v>
      </c>
      <c r="C51" s="217"/>
      <c r="D51" s="224" t="s">
        <v>71</v>
      </c>
      <c r="E51" s="227"/>
      <c r="F51" s="225">
        <v>1.2878</v>
      </c>
      <c r="G51" s="259">
        <f>H18*(1+F78)</f>
        <v>1.0495</v>
      </c>
      <c r="H51" s="216">
        <f>G51*F51</f>
        <v>1.3515461000000002</v>
      </c>
      <c r="I51" s="217"/>
      <c r="J51" s="225">
        <v>1.7078</v>
      </c>
      <c r="K51" s="260">
        <f>H18*(1+J78)</f>
        <v>1.0495</v>
      </c>
      <c r="L51" s="216">
        <f>K51*J51</f>
        <v>1.7923361000000002</v>
      </c>
      <c r="M51" s="217"/>
      <c r="N51" s="219">
        <f t="shared" si="10"/>
        <v>0.44079</v>
      </c>
      <c r="O51" s="220">
        <f t="shared" si="11"/>
        <v>0.3261375990060568</v>
      </c>
    </row>
    <row r="52" spans="2:15" s="210" customFormat="1" ht="30">
      <c r="B52" s="255" t="s">
        <v>31</v>
      </c>
      <c r="C52" s="217"/>
      <c r="D52" s="224" t="s">
        <v>71</v>
      </c>
      <c r="E52" s="227"/>
      <c r="F52" s="225">
        <v>0.5558</v>
      </c>
      <c r="G52" s="259">
        <f>G51</f>
        <v>1.0495</v>
      </c>
      <c r="H52" s="216">
        <f>G52*F52</f>
        <v>0.5833121</v>
      </c>
      <c r="I52" s="217"/>
      <c r="J52" s="225">
        <v>0.8813</v>
      </c>
      <c r="K52" s="260">
        <f>K51</f>
        <v>1.0495</v>
      </c>
      <c r="L52" s="216">
        <f>K52*J52</f>
        <v>0.9249243500000001</v>
      </c>
      <c r="M52" s="217"/>
      <c r="N52" s="219">
        <f t="shared" si="10"/>
        <v>0.34161225000000006</v>
      </c>
      <c r="O52" s="220">
        <f t="shared" si="11"/>
        <v>0.5856423173803528</v>
      </c>
    </row>
    <row r="53" spans="2:15" s="210" customFormat="1" ht="30">
      <c r="B53" s="343" t="s">
        <v>32</v>
      </c>
      <c r="C53" s="232"/>
      <c r="D53" s="232"/>
      <c r="E53" s="232"/>
      <c r="F53" s="44"/>
      <c r="G53" s="251"/>
      <c r="H53" s="252">
        <f>SUM(H50:H52)</f>
        <v>35.0348707</v>
      </c>
      <c r="I53" s="256"/>
      <c r="J53" s="257"/>
      <c r="K53" s="258"/>
      <c r="L53" s="252">
        <f>SUM(L50:L52)</f>
        <v>36.93917295</v>
      </c>
      <c r="M53" s="256"/>
      <c r="N53" s="399">
        <f t="shared" si="10"/>
        <v>1.9043022500000006</v>
      </c>
      <c r="O53" s="340">
        <f t="shared" si="11"/>
        <v>0.05435448203323898</v>
      </c>
    </row>
    <row r="54" spans="2:15" s="210" customFormat="1" ht="15">
      <c r="B54" s="223" t="s">
        <v>33</v>
      </c>
      <c r="C54" s="211"/>
      <c r="D54" s="212" t="s">
        <v>63</v>
      </c>
      <c r="E54" s="213"/>
      <c r="F54" s="228">
        <v>0.0044</v>
      </c>
      <c r="G54" s="426">
        <f>F18*(1+F78)</f>
        <v>68.2175</v>
      </c>
      <c r="H54" s="216">
        <f aca="true" t="shared" si="12" ref="H54:H61">G54*F54</f>
        <v>0.300157</v>
      </c>
      <c r="I54" s="217"/>
      <c r="J54" s="424">
        <v>0.0036</v>
      </c>
      <c r="K54" s="473">
        <f>F18*(1+J78)</f>
        <v>68.2175</v>
      </c>
      <c r="L54" s="216">
        <f aca="true" t="shared" si="13" ref="L54:L61">K54*J54</f>
        <v>0.245583</v>
      </c>
      <c r="M54" s="217"/>
      <c r="N54" s="219">
        <f t="shared" si="10"/>
        <v>-0.05457400000000001</v>
      </c>
      <c r="O54" s="220">
        <f t="shared" si="11"/>
        <v>-0.18181818181818185</v>
      </c>
    </row>
    <row r="55" spans="2:15" s="210" customFormat="1" ht="15">
      <c r="B55" s="223" t="s">
        <v>34</v>
      </c>
      <c r="C55" s="211"/>
      <c r="D55" s="212" t="s">
        <v>63</v>
      </c>
      <c r="E55" s="213"/>
      <c r="F55" s="228">
        <v>0.0013</v>
      </c>
      <c r="G55" s="426">
        <f>G54</f>
        <v>68.2175</v>
      </c>
      <c r="H55" s="216">
        <f t="shared" si="12"/>
        <v>0.08868274999999999</v>
      </c>
      <c r="I55" s="217"/>
      <c r="J55" s="225">
        <v>0.0013</v>
      </c>
      <c r="K55" s="473">
        <f>K54</f>
        <v>68.2175</v>
      </c>
      <c r="L55" s="216">
        <f t="shared" si="13"/>
        <v>0.08868274999999999</v>
      </c>
      <c r="M55" s="217"/>
      <c r="N55" s="219">
        <f t="shared" si="10"/>
        <v>0</v>
      </c>
      <c r="O55" s="220">
        <f t="shared" si="11"/>
        <v>0</v>
      </c>
    </row>
    <row r="56" spans="2:15" s="210" customFormat="1" ht="30">
      <c r="B56" s="223" t="s">
        <v>121</v>
      </c>
      <c r="C56" s="211"/>
      <c r="D56" s="212" t="s">
        <v>63</v>
      </c>
      <c r="E56" s="213"/>
      <c r="F56" s="228">
        <v>0</v>
      </c>
      <c r="G56" s="254">
        <f>G54</f>
        <v>68.2175</v>
      </c>
      <c r="H56" s="216">
        <f t="shared" si="12"/>
        <v>0</v>
      </c>
      <c r="I56" s="217"/>
      <c r="J56" s="424">
        <v>0.0011</v>
      </c>
      <c r="K56" s="473">
        <f>K54</f>
        <v>68.2175</v>
      </c>
      <c r="L56" s="216">
        <f t="shared" si="13"/>
        <v>0.07503925</v>
      </c>
      <c r="M56" s="217"/>
      <c r="N56" s="219">
        <f t="shared" si="10"/>
        <v>0.07503925</v>
      </c>
      <c r="O56" s="220">
        <f t="shared" si="11"/>
      </c>
    </row>
    <row r="57" spans="2:15" s="210" customFormat="1" ht="15">
      <c r="B57" s="211" t="s">
        <v>35</v>
      </c>
      <c r="C57" s="211"/>
      <c r="D57" s="212" t="s">
        <v>62</v>
      </c>
      <c r="E57" s="213"/>
      <c r="F57" s="214">
        <v>0.25</v>
      </c>
      <c r="G57" s="215">
        <v>1</v>
      </c>
      <c r="H57" s="216">
        <f t="shared" si="12"/>
        <v>0.25</v>
      </c>
      <c r="I57" s="217"/>
      <c r="J57" s="222">
        <v>0.25</v>
      </c>
      <c r="K57" s="218">
        <v>1</v>
      </c>
      <c r="L57" s="216">
        <f t="shared" si="13"/>
        <v>0.25</v>
      </c>
      <c r="M57" s="217"/>
      <c r="N57" s="219">
        <f t="shared" si="10"/>
        <v>0</v>
      </c>
      <c r="O57" s="220">
        <f t="shared" si="11"/>
        <v>0</v>
      </c>
    </row>
    <row r="58" spans="2:15" s="210" customFormat="1" ht="15">
      <c r="B58" s="211" t="s">
        <v>36</v>
      </c>
      <c r="C58" s="211"/>
      <c r="D58" s="212" t="s">
        <v>63</v>
      </c>
      <c r="E58" s="213"/>
      <c r="F58" s="228">
        <v>0.007</v>
      </c>
      <c r="G58" s="259">
        <f>F18</f>
        <v>65</v>
      </c>
      <c r="H58" s="216">
        <f t="shared" si="12"/>
        <v>0.455</v>
      </c>
      <c r="I58" s="217"/>
      <c r="J58" s="225">
        <v>0.007</v>
      </c>
      <c r="K58" s="260">
        <f>F18</f>
        <v>65</v>
      </c>
      <c r="L58" s="216">
        <f t="shared" si="13"/>
        <v>0.455</v>
      </c>
      <c r="M58" s="217"/>
      <c r="N58" s="219">
        <f t="shared" si="10"/>
        <v>0</v>
      </c>
      <c r="O58" s="220">
        <f t="shared" si="11"/>
        <v>0</v>
      </c>
    </row>
    <row r="59" spans="2:19" s="210" customFormat="1" ht="15.75" thickBot="1">
      <c r="B59" s="341" t="s">
        <v>74</v>
      </c>
      <c r="C59" s="211"/>
      <c r="D59" s="212" t="s">
        <v>63</v>
      </c>
      <c r="E59" s="213"/>
      <c r="F59" s="228">
        <v>0.1</v>
      </c>
      <c r="G59" s="259">
        <f>F18</f>
        <v>65</v>
      </c>
      <c r="H59" s="247">
        <f t="shared" si="12"/>
        <v>6.5</v>
      </c>
      <c r="I59" s="227"/>
      <c r="J59" s="225">
        <f>F59</f>
        <v>0.1</v>
      </c>
      <c r="K59" s="259">
        <f>G59</f>
        <v>65</v>
      </c>
      <c r="L59" s="216">
        <f t="shared" si="13"/>
        <v>6.5</v>
      </c>
      <c r="M59" s="217"/>
      <c r="N59" s="219">
        <f t="shared" si="10"/>
        <v>0</v>
      </c>
      <c r="O59" s="220">
        <f t="shared" si="11"/>
        <v>0</v>
      </c>
      <c r="S59" s="261"/>
    </row>
    <row r="60" spans="2:19" s="210" customFormat="1" ht="15" hidden="1">
      <c r="B60" s="341" t="s">
        <v>38</v>
      </c>
      <c r="C60" s="211"/>
      <c r="D60" s="212"/>
      <c r="E60" s="213"/>
      <c r="F60" s="246">
        <v>0.104</v>
      </c>
      <c r="G60" s="254">
        <v>0</v>
      </c>
      <c r="H60" s="216">
        <f t="shared" si="12"/>
        <v>0</v>
      </c>
      <c r="I60" s="217"/>
      <c r="J60" s="228">
        <v>0.104</v>
      </c>
      <c r="K60" s="254">
        <v>0</v>
      </c>
      <c r="L60" s="216">
        <f t="shared" si="13"/>
        <v>0</v>
      </c>
      <c r="M60" s="217"/>
      <c r="N60" s="230">
        <f t="shared" si="10"/>
        <v>0</v>
      </c>
      <c r="O60" s="220">
        <f t="shared" si="11"/>
      </c>
      <c r="S60" s="261"/>
    </row>
    <row r="61" spans="2:19" s="210" customFormat="1" ht="15" hidden="1">
      <c r="B61" s="330" t="s">
        <v>39</v>
      </c>
      <c r="C61" s="211"/>
      <c r="D61" s="212"/>
      <c r="E61" s="213"/>
      <c r="F61" s="246">
        <v>0.124</v>
      </c>
      <c r="G61" s="254">
        <v>0</v>
      </c>
      <c r="H61" s="216">
        <f t="shared" si="12"/>
        <v>0</v>
      </c>
      <c r="I61" s="217"/>
      <c r="J61" s="228">
        <v>0.124</v>
      </c>
      <c r="K61" s="254">
        <v>0</v>
      </c>
      <c r="L61" s="216">
        <f t="shared" si="13"/>
        <v>0</v>
      </c>
      <c r="M61" s="217"/>
      <c r="N61" s="230">
        <f t="shared" si="10"/>
        <v>0</v>
      </c>
      <c r="O61" s="220">
        <f t="shared" si="11"/>
      </c>
      <c r="S61" s="261"/>
    </row>
    <row r="62" spans="2:15" s="347" customFormat="1" ht="15" hidden="1">
      <c r="B62" s="406" t="s">
        <v>40</v>
      </c>
      <c r="C62" s="344"/>
      <c r="D62" s="345"/>
      <c r="E62" s="346"/>
      <c r="F62" s="246">
        <v>0.075</v>
      </c>
      <c r="G62" s="262">
        <f>IF(AND($T$1=1,F18&gt;=600),600,IF(AND($T$1=1,AND(F18&lt;600,F18&gt;=0)),F18,IF(AND($T$1=2,F18&gt;=1000),1000,IF(AND($T$1=2,AND(F18&lt;1000,F18&gt;=0)),F18))))</f>
        <v>65</v>
      </c>
      <c r="H62" s="216">
        <f>G62*F62</f>
        <v>4.875</v>
      </c>
      <c r="I62" s="263"/>
      <c r="J62" s="228">
        <v>0.075</v>
      </c>
      <c r="K62" s="262">
        <f>G62</f>
        <v>65</v>
      </c>
      <c r="L62" s="216">
        <f>K62*J62</f>
        <v>4.875</v>
      </c>
      <c r="M62" s="263"/>
      <c r="N62" s="383">
        <f t="shared" si="10"/>
        <v>0</v>
      </c>
      <c r="O62" s="220">
        <f t="shared" si="11"/>
        <v>0</v>
      </c>
    </row>
    <row r="63" spans="2:15" s="347" customFormat="1" ht="15.75" hidden="1" thickBot="1">
      <c r="B63" s="406" t="s">
        <v>41</v>
      </c>
      <c r="C63" s="344"/>
      <c r="D63" s="345"/>
      <c r="E63" s="346"/>
      <c r="F63" s="246">
        <v>0.088</v>
      </c>
      <c r="G63" s="262">
        <f>IF(AND($T$1=1,F18&gt;=600),F18-600,IF(AND($T$1=1,AND(F18&lt;600,F18&gt;=0)),0,IF(AND($T$1=2,F18&gt;=1000),F18-1000,IF(AND($T$1=2,AND(F18&lt;1000,F18&gt;=0)),0))))</f>
        <v>0</v>
      </c>
      <c r="H63" s="216">
        <f>G63*F63</f>
        <v>0</v>
      </c>
      <c r="I63" s="263"/>
      <c r="J63" s="228">
        <v>0.088</v>
      </c>
      <c r="K63" s="262">
        <f>G63</f>
        <v>0</v>
      </c>
      <c r="L63" s="216">
        <f>K63*J63</f>
        <v>0</v>
      </c>
      <c r="M63" s="263"/>
      <c r="N63" s="383">
        <f t="shared" si="10"/>
        <v>0</v>
      </c>
      <c r="O63" s="220">
        <f t="shared" si="11"/>
      </c>
    </row>
    <row r="64" spans="2:15" s="210" customFormat="1" ht="8.25" customHeight="1" thickBot="1">
      <c r="B64" s="348"/>
      <c r="C64" s="264"/>
      <c r="D64" s="265"/>
      <c r="E64" s="264"/>
      <c r="F64" s="266"/>
      <c r="G64" s="267"/>
      <c r="H64" s="268"/>
      <c r="I64" s="269"/>
      <c r="J64" s="266"/>
      <c r="K64" s="270"/>
      <c r="L64" s="268"/>
      <c r="M64" s="269"/>
      <c r="N64" s="271"/>
      <c r="O64" s="272"/>
    </row>
    <row r="65" spans="2:19" s="210" customFormat="1" ht="15" hidden="1">
      <c r="B65" s="349" t="s">
        <v>42</v>
      </c>
      <c r="C65" s="211"/>
      <c r="D65" s="211"/>
      <c r="E65" s="211"/>
      <c r="F65" s="273"/>
      <c r="G65" s="274"/>
      <c r="H65" s="275">
        <f>SUM(H54:H61,H53)</f>
        <v>42.62871045</v>
      </c>
      <c r="I65" s="276"/>
      <c r="J65" s="277"/>
      <c r="K65" s="277"/>
      <c r="L65" s="275">
        <f>SUM(L54:L61,L53)</f>
        <v>44.55347795</v>
      </c>
      <c r="M65" s="279"/>
      <c r="N65" s="400">
        <f>L65-H65</f>
        <v>1.9247675000000015</v>
      </c>
      <c r="O65" s="350">
        <f>IF((H65)=0,"",(N65/H65))</f>
        <v>0.045151905363348885</v>
      </c>
      <c r="S65" s="261"/>
    </row>
    <row r="66" spans="2:19" s="210" customFormat="1" ht="15" hidden="1">
      <c r="B66" s="351" t="s">
        <v>43</v>
      </c>
      <c r="C66" s="211"/>
      <c r="D66" s="211"/>
      <c r="E66" s="211"/>
      <c r="F66" s="281">
        <v>0.13</v>
      </c>
      <c r="G66" s="282"/>
      <c r="H66" s="283">
        <f>H65*F66</f>
        <v>5.5417323585</v>
      </c>
      <c r="I66" s="284"/>
      <c r="J66" s="285">
        <v>0.13</v>
      </c>
      <c r="K66" s="284"/>
      <c r="L66" s="286">
        <f>L65*J66</f>
        <v>5.791952133500001</v>
      </c>
      <c r="M66" s="287"/>
      <c r="N66" s="401">
        <f t="shared" si="10"/>
        <v>0.2502197750000006</v>
      </c>
      <c r="O66" s="352">
        <f t="shared" si="11"/>
        <v>0.045151905363348954</v>
      </c>
      <c r="S66" s="261"/>
    </row>
    <row r="67" spans="2:19" s="210" customFormat="1" ht="15" hidden="1">
      <c r="B67" s="353" t="s">
        <v>126</v>
      </c>
      <c r="C67" s="211"/>
      <c r="D67" s="211"/>
      <c r="E67" s="211"/>
      <c r="F67" s="288"/>
      <c r="G67" s="282"/>
      <c r="H67" s="283">
        <f>H65+H66</f>
        <v>48.1704428085</v>
      </c>
      <c r="I67" s="284"/>
      <c r="J67" s="284"/>
      <c r="K67" s="284"/>
      <c r="L67" s="286">
        <f>L65+L66</f>
        <v>50.345430083500005</v>
      </c>
      <c r="M67" s="287"/>
      <c r="N67" s="401">
        <f t="shared" si="10"/>
        <v>2.1749872750000065</v>
      </c>
      <c r="O67" s="352">
        <f t="shared" si="11"/>
        <v>0.04515190536334898</v>
      </c>
      <c r="S67" s="261"/>
    </row>
    <row r="68" spans="2:15" s="210" customFormat="1" ht="15.75" customHeight="1" hidden="1">
      <c r="B68" s="593" t="s">
        <v>127</v>
      </c>
      <c r="C68" s="593"/>
      <c r="D68" s="593"/>
      <c r="E68" s="211"/>
      <c r="F68" s="288"/>
      <c r="G68" s="282"/>
      <c r="H68" s="407">
        <f>ROUND(-H67*10%,2)</f>
        <v>-4.82</v>
      </c>
      <c r="I68" s="284"/>
      <c r="J68" s="284"/>
      <c r="K68" s="284"/>
      <c r="L68" s="408">
        <f>ROUND(-L67*10%,2)</f>
        <v>-5.03</v>
      </c>
      <c r="M68" s="287"/>
      <c r="N68" s="387">
        <f t="shared" si="10"/>
        <v>-0.20999999999999996</v>
      </c>
      <c r="O68" s="354">
        <f t="shared" si="11"/>
        <v>0.04356846473029045</v>
      </c>
    </row>
    <row r="69" spans="2:15" s="210" customFormat="1" ht="15" hidden="1">
      <c r="B69" s="594" t="s">
        <v>46</v>
      </c>
      <c r="C69" s="594"/>
      <c r="D69" s="594"/>
      <c r="E69" s="291"/>
      <c r="F69" s="292"/>
      <c r="G69" s="293"/>
      <c r="H69" s="294">
        <f>H67+H68</f>
        <v>43.3504428085</v>
      </c>
      <c r="I69" s="295"/>
      <c r="J69" s="295"/>
      <c r="K69" s="295"/>
      <c r="L69" s="296">
        <f>L67+L68</f>
        <v>45.315430083500004</v>
      </c>
      <c r="M69" s="297"/>
      <c r="N69" s="402">
        <f t="shared" si="10"/>
        <v>1.9649872750000057</v>
      </c>
      <c r="O69" s="355">
        <f t="shared" si="11"/>
        <v>0.045327963169380085</v>
      </c>
    </row>
    <row r="70" spans="2:15" s="347" customFormat="1" ht="8.25" customHeight="1" hidden="1">
      <c r="B70" s="356"/>
      <c r="C70" s="357"/>
      <c r="D70" s="358"/>
      <c r="E70" s="357"/>
      <c r="F70" s="266"/>
      <c r="G70" s="299"/>
      <c r="H70" s="268"/>
      <c r="I70" s="300"/>
      <c r="J70" s="266"/>
      <c r="K70" s="301"/>
      <c r="L70" s="268"/>
      <c r="M70" s="300"/>
      <c r="N70" s="302"/>
      <c r="O70" s="272"/>
    </row>
    <row r="71" spans="2:15" s="347" customFormat="1" ht="15">
      <c r="B71" s="359" t="s">
        <v>47</v>
      </c>
      <c r="C71" s="344"/>
      <c r="D71" s="344"/>
      <c r="E71" s="344"/>
      <c r="F71" s="303"/>
      <c r="G71" s="304"/>
      <c r="H71" s="305">
        <f>SUM(H59,H53,H54:H58)</f>
        <v>42.62871044999999</v>
      </c>
      <c r="I71" s="306"/>
      <c r="J71" s="307"/>
      <c r="K71" s="307"/>
      <c r="L71" s="308">
        <f>SUM(L59,L53,L54:L58)</f>
        <v>44.55347795</v>
      </c>
      <c r="M71" s="309"/>
      <c r="N71" s="403">
        <f>L71-H71</f>
        <v>1.9247675000000086</v>
      </c>
      <c r="O71" s="350">
        <f>IF((H71)=0,"",(N71/H71))</f>
        <v>0.04515190536334906</v>
      </c>
    </row>
    <row r="72" spans="2:15" s="347" customFormat="1" ht="15">
      <c r="B72" s="360" t="s">
        <v>43</v>
      </c>
      <c r="C72" s="344"/>
      <c r="D72" s="344"/>
      <c r="E72" s="344"/>
      <c r="F72" s="310">
        <v>0.13</v>
      </c>
      <c r="G72" s="304"/>
      <c r="H72" s="311">
        <f>H71*F72</f>
        <v>5.541732358499999</v>
      </c>
      <c r="I72" s="312"/>
      <c r="J72" s="310">
        <v>0.13</v>
      </c>
      <c r="K72" s="313"/>
      <c r="L72" s="314">
        <f>L71*J72</f>
        <v>5.791952133500001</v>
      </c>
      <c r="M72" s="315"/>
      <c r="N72" s="404">
        <f>L72-H72</f>
        <v>0.2502197750000015</v>
      </c>
      <c r="O72" s="352">
        <f>IF((H72)=0,"",(N72/H72))</f>
        <v>0.04515190536334912</v>
      </c>
    </row>
    <row r="73" spans="2:15" s="347" customFormat="1" ht="15">
      <c r="B73" s="361" t="s">
        <v>126</v>
      </c>
      <c r="C73" s="344"/>
      <c r="D73" s="344"/>
      <c r="E73" s="344"/>
      <c r="F73" s="316"/>
      <c r="G73" s="315"/>
      <c r="H73" s="311">
        <f>H71+H72</f>
        <v>48.17044280849999</v>
      </c>
      <c r="I73" s="312"/>
      <c r="J73" s="312"/>
      <c r="K73" s="312"/>
      <c r="L73" s="314">
        <f>L71+L72</f>
        <v>50.345430083500005</v>
      </c>
      <c r="M73" s="315"/>
      <c r="N73" s="404">
        <f>L73-H73</f>
        <v>2.1749872750000137</v>
      </c>
      <c r="O73" s="352">
        <f>IF((H73)=0,"",(N73/H73))</f>
        <v>0.045151905363349135</v>
      </c>
    </row>
    <row r="74" spans="2:15" s="347" customFormat="1" ht="15.75" customHeight="1">
      <c r="B74" s="595" t="s">
        <v>127</v>
      </c>
      <c r="C74" s="595"/>
      <c r="D74" s="595"/>
      <c r="E74" s="344"/>
      <c r="F74" s="316"/>
      <c r="G74" s="315"/>
      <c r="H74" s="317">
        <f>ROUND(-H73*10%,2)</f>
        <v>-4.82</v>
      </c>
      <c r="I74" s="312"/>
      <c r="J74" s="312"/>
      <c r="K74" s="312"/>
      <c r="L74" s="409">
        <v>0</v>
      </c>
      <c r="M74" s="315"/>
      <c r="N74" s="390">
        <f>L74-H74</f>
        <v>4.82</v>
      </c>
      <c r="O74" s="352">
        <f>IF((H74)=0,"",(N74/H74))</f>
        <v>-1</v>
      </c>
    </row>
    <row r="75" spans="2:15" s="347" customFormat="1" ht="15.75" thickBot="1">
      <c r="B75" s="586" t="s">
        <v>48</v>
      </c>
      <c r="C75" s="586"/>
      <c r="D75" s="586"/>
      <c r="E75" s="362"/>
      <c r="F75" s="319"/>
      <c r="G75" s="320"/>
      <c r="H75" s="321">
        <f>SUM(H73:H74)</f>
        <v>43.35044280849999</v>
      </c>
      <c r="I75" s="322"/>
      <c r="J75" s="322"/>
      <c r="K75" s="322"/>
      <c r="L75" s="323">
        <f>SUM(L73:L74)</f>
        <v>50.345430083500005</v>
      </c>
      <c r="M75" s="324"/>
      <c r="N75" s="405">
        <f>L75-H75</f>
        <v>6.994987275000014</v>
      </c>
      <c r="O75" s="363">
        <f>IF((H75)=0,"",(N75/H75))</f>
        <v>0.161359073214091</v>
      </c>
    </row>
    <row r="76" spans="2:15" s="347" customFormat="1" ht="8.25" customHeight="1" thickBot="1">
      <c r="B76" s="356"/>
      <c r="C76" s="357"/>
      <c r="D76" s="358"/>
      <c r="E76" s="357"/>
      <c r="F76" s="325"/>
      <c r="G76" s="364"/>
      <c r="H76" s="326"/>
      <c r="I76" s="365"/>
      <c r="J76" s="325"/>
      <c r="K76" s="299"/>
      <c r="L76" s="327"/>
      <c r="M76" s="300"/>
      <c r="N76" s="366"/>
      <c r="O76" s="272"/>
    </row>
    <row r="77" s="210" customFormat="1" ht="10.5" customHeight="1">
      <c r="L77" s="261"/>
    </row>
    <row r="78" spans="2:10" s="210" customFormat="1" ht="15">
      <c r="B78" s="367" t="s">
        <v>49</v>
      </c>
      <c r="F78" s="328">
        <v>0.0495</v>
      </c>
      <c r="J78" s="328">
        <v>0.0495</v>
      </c>
    </row>
    <row r="79" s="210" customFormat="1" ht="10.5" customHeight="1"/>
    <row r="80" spans="2:15" s="210" customFormat="1" ht="15">
      <c r="B80" s="423" t="s">
        <v>147</v>
      </c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</row>
    <row r="81" spans="2:15" s="241" customFormat="1" ht="15">
      <c r="B81" s="423" t="s">
        <v>148</v>
      </c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</row>
    <row r="82" s="210" customFormat="1" ht="10.5" customHeight="1">
      <c r="A82" s="368" t="s">
        <v>128</v>
      </c>
    </row>
    <row r="83" s="210" customFormat="1" ht="15"/>
    <row r="84" s="210" customFormat="1" ht="15">
      <c r="A84" s="210" t="s">
        <v>51</v>
      </c>
    </row>
    <row r="85" s="210" customFormat="1" ht="15">
      <c r="A85" s="210" t="s">
        <v>52</v>
      </c>
    </row>
    <row r="86" s="210" customFormat="1" ht="15"/>
    <row r="87" s="210" customFormat="1" ht="15">
      <c r="A87" s="330" t="s">
        <v>53</v>
      </c>
    </row>
    <row r="88" s="210" customFormat="1" ht="15">
      <c r="A88" s="330" t="s">
        <v>54</v>
      </c>
    </row>
    <row r="89" s="210" customFormat="1" ht="15"/>
    <row r="90" s="210" customFormat="1" ht="15">
      <c r="A90" s="210" t="s">
        <v>55</v>
      </c>
    </row>
    <row r="91" s="210" customFormat="1" ht="15">
      <c r="A91" s="210" t="s">
        <v>56</v>
      </c>
    </row>
    <row r="92" s="210" customFormat="1" ht="15">
      <c r="A92" s="210" t="s">
        <v>57</v>
      </c>
    </row>
    <row r="93" s="210" customFormat="1" ht="15">
      <c r="A93" s="210" t="s">
        <v>58</v>
      </c>
    </row>
    <row r="94" s="210" customFormat="1" ht="15">
      <c r="A94" s="210" t="s">
        <v>59</v>
      </c>
    </row>
    <row r="95" s="210" customFormat="1" ht="15"/>
    <row r="96" spans="1:2" s="210" customFormat="1" ht="15">
      <c r="A96" s="329"/>
      <c r="B96" s="210" t="s">
        <v>60</v>
      </c>
    </row>
    <row r="97" spans="1:10" ht="15">
      <c r="A97" s="210"/>
      <c r="B97" s="210"/>
      <c r="C97" s="210"/>
      <c r="D97" s="210"/>
      <c r="E97" s="210"/>
      <c r="F97" s="210"/>
      <c r="G97" s="210"/>
      <c r="H97" s="210"/>
      <c r="I97" s="210"/>
      <c r="J97" s="210"/>
    </row>
  </sheetData>
  <sheetProtection/>
  <mergeCells count="21">
    <mergeCell ref="B69:D69"/>
    <mergeCell ref="B10:O10"/>
    <mergeCell ref="B11:O11"/>
    <mergeCell ref="B75:D75"/>
    <mergeCell ref="D21:D22"/>
    <mergeCell ref="N21:N22"/>
    <mergeCell ref="O21:O22"/>
    <mergeCell ref="B68:D68"/>
    <mergeCell ref="B9:O9"/>
    <mergeCell ref="N20:O20"/>
    <mergeCell ref="B74:D74"/>
    <mergeCell ref="F20:H20"/>
    <mergeCell ref="J20:L20"/>
    <mergeCell ref="N1:O1"/>
    <mergeCell ref="N2:O2"/>
    <mergeCell ref="N3:O3"/>
    <mergeCell ref="N4:O4"/>
    <mergeCell ref="N7:O7"/>
    <mergeCell ref="D14:O14"/>
    <mergeCell ref="A3:K3"/>
    <mergeCell ref="N5:O5"/>
  </mergeCells>
  <dataValidations count="4">
    <dataValidation type="list" allowBlank="1" showInputMessage="1" showErrorMessage="1" sqref="E51:E52 E54:E61 E64 E42:E49 E23:E40">
      <formula1>Sentinel!#REF!</formula1>
    </dataValidation>
    <dataValidation type="list" allowBlank="1" showInputMessage="1" showErrorMessage="1" prompt="Select Charge Unit - monthly, per kWh, per kW" sqref="D51:D52 D42:D49 D70 D54:D64 D76 D23:D40">
      <formula1>"Monthly, per kWh, per kW"</formula1>
    </dataValidation>
    <dataValidation type="list" allowBlank="1" showInputMessage="1" showErrorMessage="1" sqref="E76 E70 E62:E63">
      <formula1>Sentinel!#REF!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6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46.14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9.00390625" style="8" bestFit="1" customWidth="1"/>
    <col min="8" max="8" width="14.28125" style="8" bestFit="1" customWidth="1"/>
    <col min="9" max="9" width="2.8515625" style="8" customWidth="1"/>
    <col min="10" max="10" width="12.140625" style="8" customWidth="1"/>
    <col min="11" max="11" width="9.00390625" style="8" bestFit="1" customWidth="1"/>
    <col min="12" max="12" width="14.28125" style="8" bestFit="1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16</v>
      </c>
      <c r="O4" s="582"/>
      <c r="P4"/>
    </row>
    <row r="5" spans="3:16" s="2" customFormat="1" ht="15" customHeight="1">
      <c r="C5" s="7"/>
      <c r="D5" s="7"/>
      <c r="E5" s="7"/>
      <c r="L5" s="3" t="s">
        <v>76</v>
      </c>
      <c r="N5" s="584" t="s">
        <v>149</v>
      </c>
      <c r="O5" s="584"/>
      <c r="P5"/>
    </row>
    <row r="6" spans="12:16" s="2" customFormat="1" ht="9" customHeight="1">
      <c r="L6" s="3"/>
      <c r="N6" s="4"/>
      <c r="O6" s="17"/>
      <c r="P6"/>
    </row>
    <row r="7" spans="12:16" s="2" customFormat="1" ht="15">
      <c r="L7" s="3" t="s">
        <v>159</v>
      </c>
      <c r="N7" s="585">
        <v>42384</v>
      </c>
      <c r="O7" s="584"/>
      <c r="P7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73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800</v>
      </c>
      <c r="G18" s="14" t="s">
        <v>9</v>
      </c>
      <c r="H18" s="15">
        <v>1</v>
      </c>
      <c r="I18" s="14"/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214">
        <v>2.04</v>
      </c>
      <c r="G23" s="215">
        <v>1</v>
      </c>
      <c r="H23" s="216">
        <f>G23*F23</f>
        <v>2.04</v>
      </c>
      <c r="I23" s="217"/>
      <c r="J23" s="222">
        <f>F23</f>
        <v>2.04</v>
      </c>
      <c r="K23" s="215">
        <v>1</v>
      </c>
      <c r="L23" s="216">
        <f>K23*J23</f>
        <v>2.04</v>
      </c>
      <c r="M23" s="217"/>
      <c r="N23" s="230">
        <f>L23-H23</f>
        <v>0</v>
      </c>
      <c r="O23" s="220">
        <f>IF((H23)=0,"",(N23/H23))</f>
        <v>0</v>
      </c>
    </row>
    <row r="24" spans="2:15" s="210" customFormat="1" ht="22.5" customHeight="1" hidden="1">
      <c r="B24" s="211" t="s">
        <v>91</v>
      </c>
      <c r="C24" s="211"/>
      <c r="D24" s="212" t="s">
        <v>62</v>
      </c>
      <c r="E24" s="213"/>
      <c r="F24" s="221">
        <v>0</v>
      </c>
      <c r="G24" s="215">
        <v>1</v>
      </c>
      <c r="H24" s="216">
        <f>G24*F24</f>
        <v>0</v>
      </c>
      <c r="I24" s="217"/>
      <c r="J24" s="222">
        <v>0</v>
      </c>
      <c r="K24" s="215">
        <v>1</v>
      </c>
      <c r="L24" s="216">
        <f>K24*J24</f>
        <v>0</v>
      </c>
      <c r="M24" s="217"/>
      <c r="N24" s="230">
        <f>L24-H24</f>
        <v>0</v>
      </c>
      <c r="O24" s="220">
        <f>IF((H24)=0,"",(N24/H24))</f>
      </c>
    </row>
    <row r="25" spans="2:15" s="210" customFormat="1" ht="36.75" customHeight="1" hidden="1">
      <c r="B25" s="223" t="s">
        <v>109</v>
      </c>
      <c r="C25" s="211"/>
      <c r="D25" s="224" t="s">
        <v>62</v>
      </c>
      <c r="E25" s="213"/>
      <c r="F25" s="222">
        <v>0</v>
      </c>
      <c r="G25" s="215">
        <v>1</v>
      </c>
      <c r="H25" s="216">
        <f>G25*F25</f>
        <v>0</v>
      </c>
      <c r="I25" s="217"/>
      <c r="J25" s="225">
        <f>Sentinel!J25</f>
        <v>0</v>
      </c>
      <c r="K25" s="215">
        <v>1</v>
      </c>
      <c r="L25" s="216">
        <f>K25*J25</f>
        <v>0</v>
      </c>
      <c r="M25" s="217"/>
      <c r="N25" s="230">
        <f>L25-H25</f>
        <v>0</v>
      </c>
      <c r="O25" s="220">
        <f>IF((H25)=0,"",(N25/H25))</f>
      </c>
    </row>
    <row r="26" spans="2:15" s="210" customFormat="1" ht="15" hidden="1">
      <c r="B26" s="226"/>
      <c r="C26" s="211"/>
      <c r="D26" s="224" t="s">
        <v>62</v>
      </c>
      <c r="E26" s="227"/>
      <c r="F26" s="222"/>
      <c r="G26" s="215">
        <v>1</v>
      </c>
      <c r="H26" s="216">
        <f aca="true" t="shared" si="0" ref="H26:H40">G26*F26</f>
        <v>0</v>
      </c>
      <c r="I26" s="217"/>
      <c r="J26" s="225"/>
      <c r="K26" s="215">
        <v>1</v>
      </c>
      <c r="L26" s="216">
        <f aca="true" t="shared" si="1" ref="L26:L40">K26*J26</f>
        <v>0</v>
      </c>
      <c r="M26" s="217"/>
      <c r="N26" s="230">
        <f aca="true" t="shared" si="2" ref="N26:N41">L26-H26</f>
        <v>0</v>
      </c>
      <c r="O26" s="220">
        <f aca="true" t="shared" si="3" ref="O26:O41">IF((H26)=0,"",(N26/H26))</f>
      </c>
    </row>
    <row r="27" spans="2:15" s="210" customFormat="1" ht="15" hidden="1">
      <c r="B27" s="226"/>
      <c r="C27" s="211"/>
      <c r="D27" s="224" t="s">
        <v>62</v>
      </c>
      <c r="E27" s="213"/>
      <c r="F27" s="228"/>
      <c r="G27" s="215">
        <v>1</v>
      </c>
      <c r="H27" s="216">
        <f t="shared" si="0"/>
        <v>0</v>
      </c>
      <c r="I27" s="217"/>
      <c r="J27" s="222"/>
      <c r="K27" s="215">
        <v>1</v>
      </c>
      <c r="L27" s="216">
        <f t="shared" si="1"/>
        <v>0</v>
      </c>
      <c r="M27" s="217"/>
      <c r="N27" s="230">
        <f t="shared" si="2"/>
        <v>0</v>
      </c>
      <c r="O27" s="220">
        <f t="shared" si="3"/>
      </c>
    </row>
    <row r="28" spans="2:15" s="210" customFormat="1" ht="15" hidden="1">
      <c r="B28" s="338" t="s">
        <v>66</v>
      </c>
      <c r="C28" s="211"/>
      <c r="D28" s="212" t="s">
        <v>63</v>
      </c>
      <c r="E28" s="213"/>
      <c r="F28" s="228">
        <v>0</v>
      </c>
      <c r="G28" s="396">
        <f aca="true" t="shared" si="4" ref="G28:G33">$F$18</f>
        <v>800</v>
      </c>
      <c r="H28" s="216">
        <f t="shared" si="0"/>
        <v>0</v>
      </c>
      <c r="I28" s="217"/>
      <c r="J28" s="225">
        <v>0</v>
      </c>
      <c r="K28" s="396">
        <f>$F$18</f>
        <v>800</v>
      </c>
      <c r="L28" s="216">
        <f t="shared" si="1"/>
        <v>0</v>
      </c>
      <c r="M28" s="217"/>
      <c r="N28" s="230">
        <f t="shared" si="2"/>
        <v>0</v>
      </c>
      <c r="O28" s="220">
        <f t="shared" si="3"/>
      </c>
    </row>
    <row r="29" spans="2:15" s="210" customFormat="1" ht="15" hidden="1">
      <c r="B29" s="338" t="s">
        <v>67</v>
      </c>
      <c r="C29" s="211"/>
      <c r="D29" s="212" t="s">
        <v>63</v>
      </c>
      <c r="E29" s="213"/>
      <c r="F29" s="229">
        <v>0</v>
      </c>
      <c r="G29" s="396">
        <f t="shared" si="4"/>
        <v>800</v>
      </c>
      <c r="H29" s="216">
        <f t="shared" si="0"/>
        <v>0</v>
      </c>
      <c r="I29" s="217"/>
      <c r="J29" s="225">
        <v>0</v>
      </c>
      <c r="K29" s="396">
        <f>$F$18</f>
        <v>800</v>
      </c>
      <c r="L29" s="216">
        <f t="shared" si="1"/>
        <v>0</v>
      </c>
      <c r="M29" s="217"/>
      <c r="N29" s="230">
        <f t="shared" si="2"/>
        <v>0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29">
        <v>0</v>
      </c>
      <c r="G30" s="396">
        <f t="shared" si="4"/>
        <v>800</v>
      </c>
      <c r="H30" s="216">
        <f t="shared" si="0"/>
        <v>0</v>
      </c>
      <c r="I30" s="217"/>
      <c r="J30" s="225">
        <v>0</v>
      </c>
      <c r="K30" s="396">
        <f>F18</f>
        <v>800</v>
      </c>
      <c r="L30" s="216">
        <f t="shared" si="1"/>
        <v>0</v>
      </c>
      <c r="M30" s="217"/>
      <c r="N30" s="230">
        <f t="shared" si="2"/>
        <v>0</v>
      </c>
      <c r="O30" s="220"/>
    </row>
    <row r="31" spans="2:15" s="210" customFormat="1" ht="15">
      <c r="B31" s="211" t="s">
        <v>21</v>
      </c>
      <c r="C31" s="211"/>
      <c r="D31" s="212" t="s">
        <v>63</v>
      </c>
      <c r="E31" s="213"/>
      <c r="F31" s="228">
        <v>0.0233</v>
      </c>
      <c r="G31" s="215">
        <f t="shared" si="4"/>
        <v>800</v>
      </c>
      <c r="H31" s="216">
        <f t="shared" si="0"/>
        <v>18.64</v>
      </c>
      <c r="I31" s="217"/>
      <c r="J31" s="225">
        <f>F31</f>
        <v>0.0233</v>
      </c>
      <c r="K31" s="215">
        <f>$F$18</f>
        <v>800</v>
      </c>
      <c r="L31" s="216">
        <f t="shared" si="1"/>
        <v>18.64</v>
      </c>
      <c r="M31" s="217"/>
      <c r="N31" s="230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28"/>
      <c r="G32" s="215">
        <f t="shared" si="4"/>
        <v>800</v>
      </c>
      <c r="H32" s="216">
        <f t="shared" si="0"/>
        <v>0</v>
      </c>
      <c r="I32" s="217"/>
      <c r="J32" s="225"/>
      <c r="K32" s="215">
        <f aca="true" t="shared" si="5" ref="K32:K40">$F$18</f>
        <v>800</v>
      </c>
      <c r="L32" s="216">
        <f t="shared" si="1"/>
        <v>0</v>
      </c>
      <c r="M32" s="217"/>
      <c r="N32" s="230">
        <f t="shared" si="2"/>
        <v>0</v>
      </c>
      <c r="O32" s="220">
        <f t="shared" si="3"/>
      </c>
    </row>
    <row r="33" spans="2:15" s="210" customFormat="1" ht="15" hidden="1">
      <c r="B33" s="211" t="s">
        <v>23</v>
      </c>
      <c r="C33" s="211"/>
      <c r="D33" s="212"/>
      <c r="E33" s="213"/>
      <c r="F33" s="228"/>
      <c r="G33" s="215">
        <f t="shared" si="4"/>
        <v>800</v>
      </c>
      <c r="H33" s="216">
        <f t="shared" si="0"/>
        <v>0</v>
      </c>
      <c r="I33" s="217"/>
      <c r="J33" s="225"/>
      <c r="K33" s="215">
        <f t="shared" si="5"/>
        <v>800</v>
      </c>
      <c r="L33" s="216">
        <f t="shared" si="1"/>
        <v>0</v>
      </c>
      <c r="M33" s="217"/>
      <c r="N33" s="230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6" ref="G34:G40">$F$18</f>
        <v>800</v>
      </c>
      <c r="H34" s="216">
        <f t="shared" si="0"/>
        <v>0</v>
      </c>
      <c r="I34" s="217"/>
      <c r="J34" s="225"/>
      <c r="K34" s="215">
        <f t="shared" si="5"/>
        <v>800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6"/>
        <v>800</v>
      </c>
      <c r="H35" s="216">
        <f t="shared" si="0"/>
        <v>0</v>
      </c>
      <c r="I35" s="217"/>
      <c r="J35" s="225"/>
      <c r="K35" s="215">
        <f t="shared" si="5"/>
        <v>800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6"/>
        <v>800</v>
      </c>
      <c r="H36" s="216">
        <f t="shared" si="0"/>
        <v>0</v>
      </c>
      <c r="I36" s="217"/>
      <c r="J36" s="225"/>
      <c r="K36" s="215">
        <f t="shared" si="5"/>
        <v>800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6"/>
        <v>800</v>
      </c>
      <c r="H37" s="216">
        <f t="shared" si="0"/>
        <v>0</v>
      </c>
      <c r="I37" s="217"/>
      <c r="J37" s="225"/>
      <c r="K37" s="215">
        <f t="shared" si="5"/>
        <v>800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6"/>
        <v>800</v>
      </c>
      <c r="H38" s="216">
        <f t="shared" si="0"/>
        <v>0</v>
      </c>
      <c r="I38" s="217"/>
      <c r="J38" s="225"/>
      <c r="K38" s="215">
        <f t="shared" si="5"/>
        <v>800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6"/>
        <v>800</v>
      </c>
      <c r="H39" s="216">
        <f t="shared" si="0"/>
        <v>0</v>
      </c>
      <c r="I39" s="217"/>
      <c r="J39" s="225"/>
      <c r="K39" s="215">
        <f t="shared" si="5"/>
        <v>800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6"/>
        <v>800</v>
      </c>
      <c r="H40" s="216">
        <f t="shared" si="0"/>
        <v>0</v>
      </c>
      <c r="I40" s="217"/>
      <c r="J40" s="225"/>
      <c r="K40" s="215">
        <f t="shared" si="5"/>
        <v>800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20.68</v>
      </c>
      <c r="I41" s="237"/>
      <c r="J41" s="238"/>
      <c r="K41" s="235"/>
      <c r="L41" s="236">
        <f>SUM(L23:L40)</f>
        <v>20.68</v>
      </c>
      <c r="M41" s="237"/>
      <c r="N41" s="399">
        <f t="shared" si="2"/>
        <v>0</v>
      </c>
      <c r="O41" s="340">
        <f t="shared" si="3"/>
        <v>0</v>
      </c>
    </row>
    <row r="42" spans="2:15" s="210" customFormat="1" ht="30">
      <c r="B42" s="381" t="s">
        <v>25</v>
      </c>
      <c r="C42" s="211"/>
      <c r="D42" s="224" t="s">
        <v>63</v>
      </c>
      <c r="E42" s="227"/>
      <c r="F42" s="242">
        <v>-0.0071</v>
      </c>
      <c r="G42" s="215">
        <f>F18</f>
        <v>800</v>
      </c>
      <c r="H42" s="216">
        <f aca="true" t="shared" si="7" ref="H42:H48">G42*F42</f>
        <v>-5.680000000000001</v>
      </c>
      <c r="I42" s="217"/>
      <c r="J42" s="242">
        <v>0.0023</v>
      </c>
      <c r="K42" s="215">
        <f>F18</f>
        <v>800</v>
      </c>
      <c r="L42" s="216">
        <f aca="true" t="shared" si="8" ref="L42:L48">K42*J42</f>
        <v>1.8399999999999999</v>
      </c>
      <c r="M42" s="217"/>
      <c r="N42" s="219">
        <f aca="true" t="shared" si="9" ref="N42:N48">L42-H42</f>
        <v>7.5200000000000005</v>
      </c>
      <c r="O42" s="220">
        <f aca="true" t="shared" si="10" ref="O42:O47">IF((H42)=0,"",(N42/H42))</f>
        <v>-1.323943661971831</v>
      </c>
    </row>
    <row r="43" spans="2:15" s="210" customFormat="1" ht="0.75" customHeight="1">
      <c r="B43" s="381"/>
      <c r="C43" s="211"/>
      <c r="D43" s="212" t="s">
        <v>63</v>
      </c>
      <c r="E43" s="213"/>
      <c r="F43" s="228"/>
      <c r="G43" s="215">
        <f>F18</f>
        <v>800</v>
      </c>
      <c r="H43" s="216">
        <f t="shared" si="7"/>
        <v>0</v>
      </c>
      <c r="I43" s="243"/>
      <c r="J43" s="225"/>
      <c r="K43" s="215">
        <f>F18</f>
        <v>800</v>
      </c>
      <c r="L43" s="216">
        <f t="shared" si="8"/>
        <v>0</v>
      </c>
      <c r="M43" s="244"/>
      <c r="N43" s="219">
        <f t="shared" si="9"/>
        <v>0</v>
      </c>
      <c r="O43" s="220">
        <f t="shared" si="10"/>
      </c>
    </row>
    <row r="44" spans="2:15" s="210" customFormat="1" ht="15" hidden="1">
      <c r="B44" s="381"/>
      <c r="C44" s="211"/>
      <c r="D44" s="212" t="s">
        <v>63</v>
      </c>
      <c r="E44" s="213"/>
      <c r="F44" s="228"/>
      <c r="G44" s="215">
        <f>F18</f>
        <v>800</v>
      </c>
      <c r="H44" s="216">
        <f t="shared" si="7"/>
        <v>0</v>
      </c>
      <c r="I44" s="243"/>
      <c r="J44" s="225"/>
      <c r="K44" s="215">
        <f>F18</f>
        <v>800</v>
      </c>
      <c r="L44" s="216">
        <f t="shared" si="8"/>
        <v>0</v>
      </c>
      <c r="M44" s="244"/>
      <c r="N44" s="219">
        <f t="shared" si="9"/>
        <v>0</v>
      </c>
      <c r="O44" s="220">
        <f t="shared" si="10"/>
      </c>
    </row>
    <row r="45" spans="2:15" s="210" customFormat="1" ht="27.75" customHeight="1">
      <c r="B45" s="381" t="s">
        <v>75</v>
      </c>
      <c r="C45" s="211"/>
      <c r="D45" s="212" t="s">
        <v>63</v>
      </c>
      <c r="E45" s="213"/>
      <c r="F45" s="242">
        <v>0.0061</v>
      </c>
      <c r="G45" s="215">
        <f>$F$18</f>
        <v>800</v>
      </c>
      <c r="H45" s="216">
        <f t="shared" si="7"/>
        <v>4.88</v>
      </c>
      <c r="I45" s="243"/>
      <c r="J45" s="242">
        <v>0.0001</v>
      </c>
      <c r="K45" s="215">
        <f>$F$18</f>
        <v>800</v>
      </c>
      <c r="L45" s="216">
        <f t="shared" si="8"/>
        <v>0.08</v>
      </c>
      <c r="M45" s="244"/>
      <c r="N45" s="219">
        <f t="shared" si="9"/>
        <v>-4.8</v>
      </c>
      <c r="O45" s="220">
        <f t="shared" si="10"/>
        <v>-0.9836065573770492</v>
      </c>
    </row>
    <row r="46" spans="2:15" s="210" customFormat="1" ht="15">
      <c r="B46" s="341" t="s">
        <v>26</v>
      </c>
      <c r="C46" s="211"/>
      <c r="D46" s="212" t="s">
        <v>63</v>
      </c>
      <c r="E46" s="213"/>
      <c r="F46" s="228">
        <v>0.0024</v>
      </c>
      <c r="G46" s="215">
        <f>F18</f>
        <v>800</v>
      </c>
      <c r="H46" s="216">
        <f t="shared" si="7"/>
        <v>1.92</v>
      </c>
      <c r="I46" s="217"/>
      <c r="J46" s="225">
        <v>0.0024</v>
      </c>
      <c r="K46" s="215">
        <f>F18</f>
        <v>800</v>
      </c>
      <c r="L46" s="216">
        <f t="shared" si="8"/>
        <v>1.92</v>
      </c>
      <c r="M46" s="217"/>
      <c r="N46" s="219">
        <f t="shared" si="9"/>
        <v>0</v>
      </c>
      <c r="O46" s="220">
        <f t="shared" si="10"/>
        <v>0</v>
      </c>
    </row>
    <row r="47" spans="2:15" s="241" customFormat="1" ht="15">
      <c r="B47" s="342" t="s">
        <v>27</v>
      </c>
      <c r="C47" s="213"/>
      <c r="D47" s="224" t="s">
        <v>63</v>
      </c>
      <c r="E47" s="213"/>
      <c r="F47" s="246">
        <f>IF(ISBLANK(D16)=TRUE,0,IF(D16="TOU",0.64*$F$58+0.18*$F$59+0.18*$F$60,IF(AND(D16="non-TOU",G62&gt;0),F62,F61)))</f>
        <v>0.088</v>
      </c>
      <c r="G47" s="215">
        <f>$F$18*(1+$F$77)-$F$18</f>
        <v>39.600000000000136</v>
      </c>
      <c r="H47" s="247">
        <f t="shared" si="7"/>
        <v>3.484800000000012</v>
      </c>
      <c r="I47" s="227"/>
      <c r="J47" s="245">
        <f>IF(ISBLANK(D16)=TRUE,0,IF(D16="TOU",0.64*$F$58+0.18*$F$59+0.18*$F$60,IF(AND(D16="non-TOU",K62&gt;0),J62,J61)))</f>
        <v>0.088</v>
      </c>
      <c r="K47" s="215">
        <f>$F$18*(1+$J$77)-$F$18</f>
        <v>39.600000000000136</v>
      </c>
      <c r="L47" s="247">
        <f t="shared" si="8"/>
        <v>3.484800000000012</v>
      </c>
      <c r="M47" s="227"/>
      <c r="N47" s="219">
        <f t="shared" si="9"/>
        <v>0</v>
      </c>
      <c r="O47" s="248">
        <f t="shared" si="10"/>
        <v>0</v>
      </c>
    </row>
    <row r="48" spans="2:15" s="210" customFormat="1" ht="15" hidden="1">
      <c r="B48" s="341" t="s">
        <v>28</v>
      </c>
      <c r="C48" s="211"/>
      <c r="D48" s="212" t="s">
        <v>62</v>
      </c>
      <c r="E48" s="213"/>
      <c r="F48" s="249">
        <v>0</v>
      </c>
      <c r="G48" s="215">
        <v>0</v>
      </c>
      <c r="H48" s="216">
        <f t="shared" si="7"/>
        <v>0</v>
      </c>
      <c r="I48" s="217"/>
      <c r="J48" s="249">
        <v>0</v>
      </c>
      <c r="K48" s="215">
        <v>0</v>
      </c>
      <c r="L48" s="216">
        <f t="shared" si="8"/>
        <v>0</v>
      </c>
      <c r="M48" s="217"/>
      <c r="N48" s="230">
        <f t="shared" si="9"/>
        <v>0</v>
      </c>
      <c r="O48" s="220"/>
    </row>
    <row r="49" spans="2:15" s="210" customFormat="1" ht="30">
      <c r="B49" s="343" t="s">
        <v>29</v>
      </c>
      <c r="C49" s="250"/>
      <c r="D49" s="250"/>
      <c r="E49" s="250"/>
      <c r="F49" s="43"/>
      <c r="G49" s="251"/>
      <c r="H49" s="252">
        <f>SUM(H42:H48)+H41</f>
        <v>25.28480000000001</v>
      </c>
      <c r="I49" s="237"/>
      <c r="J49" s="251"/>
      <c r="K49" s="253"/>
      <c r="L49" s="252">
        <f>SUM(L42:L48)+L41</f>
        <v>28.00480000000001</v>
      </c>
      <c r="M49" s="237"/>
      <c r="N49" s="399">
        <f aca="true" t="shared" si="11" ref="N49:N68">L49-H49</f>
        <v>2.719999999999999</v>
      </c>
      <c r="O49" s="340">
        <f aca="true" t="shared" si="12" ref="O49:O68">IF((H49)=0,"",(N49/H49))</f>
        <v>0.10757451116876533</v>
      </c>
    </row>
    <row r="50" spans="2:15" s="210" customFormat="1" ht="15">
      <c r="B50" s="217" t="s">
        <v>30</v>
      </c>
      <c r="C50" s="217"/>
      <c r="D50" s="224" t="s">
        <v>63</v>
      </c>
      <c r="E50" s="227"/>
      <c r="F50" s="225">
        <v>0.0044</v>
      </c>
      <c r="G50" s="254">
        <f>F18*(1+F77)</f>
        <v>839.6000000000001</v>
      </c>
      <c r="H50" s="216">
        <f>G50*F50</f>
        <v>3.6942400000000006</v>
      </c>
      <c r="I50" s="217"/>
      <c r="J50" s="225">
        <v>0.0058</v>
      </c>
      <c r="K50" s="473">
        <f>F18*(1+J77)</f>
        <v>839.6000000000001</v>
      </c>
      <c r="L50" s="216">
        <f>K50*J50</f>
        <v>4.869680000000001</v>
      </c>
      <c r="M50" s="217"/>
      <c r="N50" s="230">
        <f t="shared" si="11"/>
        <v>1.17544</v>
      </c>
      <c r="O50" s="220">
        <f t="shared" si="12"/>
        <v>0.3181818181818181</v>
      </c>
    </row>
    <row r="51" spans="2:15" s="210" customFormat="1" ht="30">
      <c r="B51" s="255" t="s">
        <v>31</v>
      </c>
      <c r="C51" s="217"/>
      <c r="D51" s="224" t="s">
        <v>63</v>
      </c>
      <c r="E51" s="227"/>
      <c r="F51" s="225">
        <v>0.0017</v>
      </c>
      <c r="G51" s="254">
        <f>G50</f>
        <v>839.6000000000001</v>
      </c>
      <c r="H51" s="216">
        <f>G51*F51</f>
        <v>1.4273200000000001</v>
      </c>
      <c r="I51" s="217"/>
      <c r="J51" s="225">
        <v>0.0027</v>
      </c>
      <c r="K51" s="473">
        <f>K50</f>
        <v>839.6000000000001</v>
      </c>
      <c r="L51" s="216">
        <f>K51*J51</f>
        <v>2.2669200000000003</v>
      </c>
      <c r="M51" s="217"/>
      <c r="N51" s="230">
        <f t="shared" si="11"/>
        <v>0.8396000000000001</v>
      </c>
      <c r="O51" s="220">
        <f t="shared" si="12"/>
        <v>0.5882352941176471</v>
      </c>
    </row>
    <row r="52" spans="2:15" s="210" customFormat="1" ht="30">
      <c r="B52" s="343" t="s">
        <v>32</v>
      </c>
      <c r="C52" s="232"/>
      <c r="D52" s="232"/>
      <c r="E52" s="232"/>
      <c r="F52" s="44"/>
      <c r="G52" s="251"/>
      <c r="H52" s="252">
        <f>SUM(H49:H51)</f>
        <v>30.406360000000014</v>
      </c>
      <c r="I52" s="256"/>
      <c r="J52" s="257"/>
      <c r="K52" s="258"/>
      <c r="L52" s="252">
        <f>SUM(L49:L51)</f>
        <v>35.14140000000001</v>
      </c>
      <c r="M52" s="256"/>
      <c r="N52" s="399">
        <f t="shared" si="11"/>
        <v>4.735039999999998</v>
      </c>
      <c r="O52" s="340">
        <f t="shared" si="12"/>
        <v>0.15572531536165446</v>
      </c>
    </row>
    <row r="53" spans="2:15" s="210" customFormat="1" ht="30">
      <c r="B53" s="223" t="s">
        <v>33</v>
      </c>
      <c r="C53" s="211"/>
      <c r="D53" s="212" t="s">
        <v>63</v>
      </c>
      <c r="E53" s="213"/>
      <c r="F53" s="228">
        <v>0.0044</v>
      </c>
      <c r="G53" s="254">
        <f>F18*(1+F77)</f>
        <v>839.6000000000001</v>
      </c>
      <c r="H53" s="216">
        <f aca="true" t="shared" si="13" ref="H53:H60">G53*F53</f>
        <v>3.6942400000000006</v>
      </c>
      <c r="I53" s="217"/>
      <c r="J53" s="424">
        <v>0.0036</v>
      </c>
      <c r="K53" s="473">
        <f>F18*(1+J77)</f>
        <v>839.6000000000001</v>
      </c>
      <c r="L53" s="216">
        <f aca="true" t="shared" si="14" ref="L53:L60">K53*J53</f>
        <v>3.0225600000000004</v>
      </c>
      <c r="M53" s="217"/>
      <c r="N53" s="219">
        <f t="shared" si="11"/>
        <v>-0.6716800000000003</v>
      </c>
      <c r="O53" s="220">
        <f t="shared" si="12"/>
        <v>-0.18181818181818185</v>
      </c>
    </row>
    <row r="54" spans="2:15" s="210" customFormat="1" ht="15">
      <c r="B54" s="223" t="s">
        <v>34</v>
      </c>
      <c r="C54" s="211"/>
      <c r="D54" s="212" t="s">
        <v>63</v>
      </c>
      <c r="E54" s="213"/>
      <c r="F54" s="228">
        <v>0.0013</v>
      </c>
      <c r="G54" s="254">
        <f>G53</f>
        <v>839.6000000000001</v>
      </c>
      <c r="H54" s="216">
        <f t="shared" si="13"/>
        <v>1.0914800000000002</v>
      </c>
      <c r="I54" s="217"/>
      <c r="J54" s="225">
        <v>0.0013</v>
      </c>
      <c r="K54" s="473">
        <f>K53</f>
        <v>839.6000000000001</v>
      </c>
      <c r="L54" s="216">
        <f t="shared" si="14"/>
        <v>1.0914800000000002</v>
      </c>
      <c r="M54" s="217"/>
      <c r="N54" s="219">
        <f t="shared" si="11"/>
        <v>0</v>
      </c>
      <c r="O54" s="220">
        <f t="shared" si="12"/>
        <v>0</v>
      </c>
    </row>
    <row r="55" spans="2:15" s="210" customFormat="1" ht="30">
      <c r="B55" s="223" t="s">
        <v>121</v>
      </c>
      <c r="C55" s="211"/>
      <c r="D55" s="212" t="s">
        <v>63</v>
      </c>
      <c r="E55" s="213"/>
      <c r="F55" s="228">
        <v>0</v>
      </c>
      <c r="G55" s="254">
        <f>G51</f>
        <v>839.6000000000001</v>
      </c>
      <c r="H55" s="216">
        <f t="shared" si="13"/>
        <v>0</v>
      </c>
      <c r="I55" s="217"/>
      <c r="J55" s="424">
        <v>0.0011</v>
      </c>
      <c r="K55" s="473">
        <f>K51</f>
        <v>839.6000000000001</v>
      </c>
      <c r="L55" s="216">
        <f t="shared" si="14"/>
        <v>0.9235600000000002</v>
      </c>
      <c r="M55" s="217"/>
      <c r="N55" s="219">
        <f t="shared" si="11"/>
        <v>0.9235600000000002</v>
      </c>
      <c r="O55" s="220">
        <f t="shared" si="12"/>
      </c>
    </row>
    <row r="56" spans="2:15" s="210" customFormat="1" ht="15">
      <c r="B56" s="211" t="s">
        <v>35</v>
      </c>
      <c r="C56" s="211"/>
      <c r="D56" s="212" t="s">
        <v>62</v>
      </c>
      <c r="E56" s="213"/>
      <c r="F56" s="214">
        <v>0.25</v>
      </c>
      <c r="G56" s="215">
        <v>1</v>
      </c>
      <c r="H56" s="216">
        <f t="shared" si="13"/>
        <v>0.25</v>
      </c>
      <c r="I56" s="217"/>
      <c r="J56" s="222">
        <v>0.25</v>
      </c>
      <c r="K56" s="218">
        <v>1</v>
      </c>
      <c r="L56" s="216">
        <f t="shared" si="14"/>
        <v>0.25</v>
      </c>
      <c r="M56" s="217"/>
      <c r="N56" s="219">
        <f t="shared" si="11"/>
        <v>0</v>
      </c>
      <c r="O56" s="220">
        <f t="shared" si="12"/>
        <v>0</v>
      </c>
    </row>
    <row r="57" spans="2:15" s="210" customFormat="1" ht="15">
      <c r="B57" s="211" t="s">
        <v>36</v>
      </c>
      <c r="C57" s="211"/>
      <c r="D57" s="212" t="s">
        <v>63</v>
      </c>
      <c r="E57" s="213"/>
      <c r="F57" s="228">
        <v>0.007</v>
      </c>
      <c r="G57" s="259">
        <f>F18</f>
        <v>800</v>
      </c>
      <c r="H57" s="216">
        <f t="shared" si="13"/>
        <v>5.6000000000000005</v>
      </c>
      <c r="I57" s="217"/>
      <c r="J57" s="225">
        <f>0.007</f>
        <v>0.007</v>
      </c>
      <c r="K57" s="260">
        <f>F18</f>
        <v>800</v>
      </c>
      <c r="L57" s="216">
        <f t="shared" si="14"/>
        <v>5.6000000000000005</v>
      </c>
      <c r="M57" s="217"/>
      <c r="N57" s="219">
        <f t="shared" si="11"/>
        <v>0</v>
      </c>
      <c r="O57" s="220">
        <f t="shared" si="12"/>
        <v>0</v>
      </c>
    </row>
    <row r="58" spans="2:19" s="210" customFormat="1" ht="15.75" thickBot="1">
      <c r="B58" s="341" t="s">
        <v>74</v>
      </c>
      <c r="C58" s="211"/>
      <c r="D58" s="212" t="s">
        <v>63</v>
      </c>
      <c r="E58" s="213"/>
      <c r="F58" s="228">
        <v>0.1</v>
      </c>
      <c r="G58" s="259">
        <f>F18</f>
        <v>800</v>
      </c>
      <c r="H58" s="216">
        <f t="shared" si="13"/>
        <v>80</v>
      </c>
      <c r="I58" s="217"/>
      <c r="J58" s="228">
        <f>F58</f>
        <v>0.1</v>
      </c>
      <c r="K58" s="259">
        <f>F18</f>
        <v>800</v>
      </c>
      <c r="L58" s="216">
        <f t="shared" si="14"/>
        <v>80</v>
      </c>
      <c r="M58" s="217"/>
      <c r="N58" s="219">
        <f t="shared" si="11"/>
        <v>0</v>
      </c>
      <c r="O58" s="220">
        <f t="shared" si="12"/>
        <v>0</v>
      </c>
      <c r="S58" s="261"/>
    </row>
    <row r="59" spans="2:19" s="210" customFormat="1" ht="15" hidden="1">
      <c r="B59" s="341" t="s">
        <v>38</v>
      </c>
      <c r="C59" s="211"/>
      <c r="D59" s="212"/>
      <c r="E59" s="213"/>
      <c r="F59" s="246">
        <v>0.104</v>
      </c>
      <c r="G59" s="254">
        <v>0</v>
      </c>
      <c r="H59" s="216">
        <f t="shared" si="13"/>
        <v>0</v>
      </c>
      <c r="I59" s="217"/>
      <c r="J59" s="228">
        <v>0.104</v>
      </c>
      <c r="K59" s="254">
        <v>0</v>
      </c>
      <c r="L59" s="216">
        <f t="shared" si="14"/>
        <v>0</v>
      </c>
      <c r="M59" s="217"/>
      <c r="N59" s="230">
        <f t="shared" si="11"/>
        <v>0</v>
      </c>
      <c r="O59" s="220">
        <f t="shared" si="12"/>
      </c>
      <c r="S59" s="261"/>
    </row>
    <row r="60" spans="2:19" s="210" customFormat="1" ht="15" hidden="1">
      <c r="B60" s="330" t="s">
        <v>39</v>
      </c>
      <c r="C60" s="211"/>
      <c r="D60" s="212"/>
      <c r="E60" s="213"/>
      <c r="F60" s="246">
        <v>0.124</v>
      </c>
      <c r="G60" s="254">
        <v>0</v>
      </c>
      <c r="H60" s="216">
        <f t="shared" si="13"/>
        <v>0</v>
      </c>
      <c r="I60" s="217"/>
      <c r="J60" s="228">
        <v>0.124</v>
      </c>
      <c r="K60" s="254">
        <v>0</v>
      </c>
      <c r="L60" s="216">
        <f t="shared" si="14"/>
        <v>0</v>
      </c>
      <c r="M60" s="217"/>
      <c r="N60" s="230">
        <f t="shared" si="11"/>
        <v>0</v>
      </c>
      <c r="O60" s="220">
        <f t="shared" si="12"/>
      </c>
      <c r="S60" s="261"/>
    </row>
    <row r="61" spans="2:15" s="347" customFormat="1" ht="15" hidden="1">
      <c r="B61" s="406" t="s">
        <v>40</v>
      </c>
      <c r="C61" s="344"/>
      <c r="D61" s="345"/>
      <c r="E61" s="346"/>
      <c r="F61" s="246">
        <v>0.075</v>
      </c>
      <c r="G61" s="262">
        <f>IF(AND($T$1=1,F18&gt;=600),600,IF(AND($T$1=1,AND(F18&lt;600,F18&gt;=0)),F18,IF(AND($T$1=2,F18&gt;=1000),1000,IF(AND($T$1=2,AND(F18&lt;1000,F18&gt;=0)),F18))))</f>
        <v>600</v>
      </c>
      <c r="H61" s="216">
        <f>G61*F61</f>
        <v>45</v>
      </c>
      <c r="I61" s="263"/>
      <c r="J61" s="228">
        <v>0.075</v>
      </c>
      <c r="K61" s="262">
        <f>G61</f>
        <v>600</v>
      </c>
      <c r="L61" s="216">
        <f>K61*J61</f>
        <v>45</v>
      </c>
      <c r="M61" s="263"/>
      <c r="N61" s="383">
        <f t="shared" si="11"/>
        <v>0</v>
      </c>
      <c r="O61" s="220">
        <f t="shared" si="12"/>
        <v>0</v>
      </c>
    </row>
    <row r="62" spans="2:15" s="347" customFormat="1" ht="15.75" hidden="1" thickBot="1">
      <c r="B62" s="406" t="s">
        <v>41</v>
      </c>
      <c r="C62" s="344"/>
      <c r="D62" s="345"/>
      <c r="E62" s="346"/>
      <c r="F62" s="246">
        <v>0.088</v>
      </c>
      <c r="G62" s="262">
        <f>IF(AND($T$1=1,F18&gt;=600),F18-600,IF(AND($T$1=1,AND(F18&lt;600,F18&gt;=0)),0,IF(AND($T$1=2,F18&gt;=1000),F18-1000,IF(AND($T$1=2,AND(F18&lt;1000,F18&gt;=0)),0))))</f>
        <v>200</v>
      </c>
      <c r="H62" s="216">
        <f>G62*F62</f>
        <v>17.599999999999998</v>
      </c>
      <c r="I62" s="263"/>
      <c r="J62" s="228">
        <v>0.088</v>
      </c>
      <c r="K62" s="262">
        <f>G62</f>
        <v>200</v>
      </c>
      <c r="L62" s="216">
        <f>K62*J62</f>
        <v>17.599999999999998</v>
      </c>
      <c r="M62" s="263"/>
      <c r="N62" s="383">
        <f t="shared" si="11"/>
        <v>0</v>
      </c>
      <c r="O62" s="220">
        <f t="shared" si="12"/>
        <v>0</v>
      </c>
    </row>
    <row r="63" spans="2:15" s="210" customFormat="1" ht="8.25" customHeight="1" thickBot="1">
      <c r="B63" s="348"/>
      <c r="C63" s="264"/>
      <c r="D63" s="265"/>
      <c r="E63" s="264"/>
      <c r="F63" s="266"/>
      <c r="G63" s="267"/>
      <c r="H63" s="268"/>
      <c r="I63" s="269"/>
      <c r="J63" s="266"/>
      <c r="K63" s="270"/>
      <c r="L63" s="268"/>
      <c r="M63" s="269"/>
      <c r="N63" s="271"/>
      <c r="O63" s="272"/>
    </row>
    <row r="64" spans="2:19" s="210" customFormat="1" ht="15" hidden="1">
      <c r="B64" s="349" t="s">
        <v>42</v>
      </c>
      <c r="C64" s="211"/>
      <c r="D64" s="211"/>
      <c r="E64" s="211"/>
      <c r="F64" s="273"/>
      <c r="G64" s="274"/>
      <c r="H64" s="275">
        <f>SUM(H53:H60,H52)</f>
        <v>121.04208000000003</v>
      </c>
      <c r="I64" s="276"/>
      <c r="J64" s="277"/>
      <c r="K64" s="277"/>
      <c r="L64" s="275">
        <f>SUM(L53:L60,L52)</f>
        <v>126.02900000000002</v>
      </c>
      <c r="M64" s="279"/>
      <c r="N64" s="400">
        <f>L64-H64</f>
        <v>4.986919999999998</v>
      </c>
      <c r="O64" s="350">
        <f>IF((H64)=0,"",(N64/H64))</f>
        <v>0.0411998868492676</v>
      </c>
      <c r="S64" s="261"/>
    </row>
    <row r="65" spans="2:19" s="210" customFormat="1" ht="15" hidden="1">
      <c r="B65" s="351" t="s">
        <v>43</v>
      </c>
      <c r="C65" s="211"/>
      <c r="D65" s="211"/>
      <c r="E65" s="211"/>
      <c r="F65" s="281">
        <v>0.13</v>
      </c>
      <c r="G65" s="282"/>
      <c r="H65" s="283">
        <f>H64*F65</f>
        <v>15.735470400000004</v>
      </c>
      <c r="I65" s="284"/>
      <c r="J65" s="285">
        <v>0.13</v>
      </c>
      <c r="K65" s="284"/>
      <c r="L65" s="286">
        <f>L64*J65</f>
        <v>16.383770000000005</v>
      </c>
      <c r="M65" s="287"/>
      <c r="N65" s="401">
        <f t="shared" si="11"/>
        <v>0.6482996000000014</v>
      </c>
      <c r="O65" s="352">
        <f t="shared" si="12"/>
        <v>0.0411998868492677</v>
      </c>
      <c r="S65" s="261"/>
    </row>
    <row r="66" spans="2:19" s="210" customFormat="1" ht="15" hidden="1">
      <c r="B66" s="353" t="s">
        <v>126</v>
      </c>
      <c r="C66" s="211"/>
      <c r="D66" s="211"/>
      <c r="E66" s="211"/>
      <c r="F66" s="288"/>
      <c r="G66" s="282"/>
      <c r="H66" s="283">
        <f>H64+H65</f>
        <v>136.77755040000002</v>
      </c>
      <c r="I66" s="284"/>
      <c r="J66" s="284"/>
      <c r="K66" s="284"/>
      <c r="L66" s="286">
        <f>L64+L65</f>
        <v>142.41277000000002</v>
      </c>
      <c r="M66" s="287"/>
      <c r="N66" s="401">
        <f t="shared" si="11"/>
        <v>5.635219599999999</v>
      </c>
      <c r="O66" s="352">
        <f t="shared" si="12"/>
        <v>0.04119988684926761</v>
      </c>
      <c r="S66" s="261"/>
    </row>
    <row r="67" spans="2:15" s="210" customFormat="1" ht="15.75" customHeight="1" hidden="1">
      <c r="B67" s="593" t="s">
        <v>127</v>
      </c>
      <c r="C67" s="593"/>
      <c r="D67" s="593"/>
      <c r="E67" s="211"/>
      <c r="F67" s="288"/>
      <c r="G67" s="282"/>
      <c r="H67" s="407">
        <f>ROUND(-H66*10%,2)</f>
        <v>-13.68</v>
      </c>
      <c r="I67" s="284"/>
      <c r="J67" s="284"/>
      <c r="K67" s="284"/>
      <c r="L67" s="408">
        <f>ROUND(-L66*10%,2)</f>
        <v>-14.24</v>
      </c>
      <c r="M67" s="287"/>
      <c r="N67" s="387">
        <f t="shared" si="11"/>
        <v>-0.5600000000000005</v>
      </c>
      <c r="O67" s="354">
        <f t="shared" si="12"/>
        <v>0.04093567251461992</v>
      </c>
    </row>
    <row r="68" spans="2:15" s="210" customFormat="1" ht="15" hidden="1">
      <c r="B68" s="594" t="s">
        <v>46</v>
      </c>
      <c r="C68" s="594"/>
      <c r="D68" s="594"/>
      <c r="E68" s="291"/>
      <c r="F68" s="292"/>
      <c r="G68" s="293"/>
      <c r="H68" s="294">
        <f>H66+H67</f>
        <v>123.09755040000002</v>
      </c>
      <c r="I68" s="295"/>
      <c r="J68" s="295"/>
      <c r="K68" s="295"/>
      <c r="L68" s="296">
        <f>L66+L67</f>
        <v>128.17277</v>
      </c>
      <c r="M68" s="297"/>
      <c r="N68" s="402">
        <f t="shared" si="11"/>
        <v>5.075219599999997</v>
      </c>
      <c r="O68" s="355">
        <f t="shared" si="12"/>
        <v>0.041229249351496404</v>
      </c>
    </row>
    <row r="69" spans="2:15" s="347" customFormat="1" ht="8.25" customHeight="1" hidden="1">
      <c r="B69" s="356"/>
      <c r="C69" s="357"/>
      <c r="D69" s="358"/>
      <c r="E69" s="357"/>
      <c r="F69" s="266"/>
      <c r="G69" s="299"/>
      <c r="H69" s="268"/>
      <c r="I69" s="300"/>
      <c r="J69" s="266"/>
      <c r="K69" s="301"/>
      <c r="L69" s="268"/>
      <c r="M69" s="300"/>
      <c r="N69" s="302"/>
      <c r="O69" s="272"/>
    </row>
    <row r="70" spans="2:15" s="347" customFormat="1" ht="15">
      <c r="B70" s="359" t="s">
        <v>47</v>
      </c>
      <c r="C70" s="344"/>
      <c r="D70" s="344"/>
      <c r="E70" s="344"/>
      <c r="F70" s="303"/>
      <c r="G70" s="304"/>
      <c r="H70" s="305">
        <f>SUM(H58,H52,H53:H57)</f>
        <v>121.04208000000001</v>
      </c>
      <c r="I70" s="306"/>
      <c r="J70" s="307"/>
      <c r="K70" s="307"/>
      <c r="L70" s="308">
        <f>SUM(L58,L52,L53:L57)</f>
        <v>126.029</v>
      </c>
      <c r="M70" s="309"/>
      <c r="N70" s="403">
        <f>L70-H70</f>
        <v>4.986919999999984</v>
      </c>
      <c r="O70" s="350">
        <f>IF((H70)=0,"",(N70/H70))</f>
        <v>0.04119988684926749</v>
      </c>
    </row>
    <row r="71" spans="2:15" s="347" customFormat="1" ht="15">
      <c r="B71" s="360" t="s">
        <v>43</v>
      </c>
      <c r="C71" s="344"/>
      <c r="D71" s="344"/>
      <c r="E71" s="344"/>
      <c r="F71" s="310">
        <v>0.13</v>
      </c>
      <c r="G71" s="304"/>
      <c r="H71" s="311">
        <f>H70*F71</f>
        <v>15.735470400000002</v>
      </c>
      <c r="I71" s="312"/>
      <c r="J71" s="310">
        <v>0.13</v>
      </c>
      <c r="K71" s="313"/>
      <c r="L71" s="314">
        <f>L70*J71</f>
        <v>16.38377</v>
      </c>
      <c r="M71" s="315"/>
      <c r="N71" s="404">
        <f>L71-H71</f>
        <v>0.6482995999999961</v>
      </c>
      <c r="O71" s="352">
        <f>IF((H71)=0,"",(N71/H71))</f>
        <v>0.04119988684926737</v>
      </c>
    </row>
    <row r="72" spans="2:15" s="347" customFormat="1" ht="15">
      <c r="B72" s="361" t="s">
        <v>126</v>
      </c>
      <c r="C72" s="344"/>
      <c r="D72" s="344"/>
      <c r="E72" s="344"/>
      <c r="F72" s="316"/>
      <c r="G72" s="315"/>
      <c r="H72" s="311">
        <f>H70+H71</f>
        <v>136.77755040000002</v>
      </c>
      <c r="I72" s="312"/>
      <c r="J72" s="312"/>
      <c r="K72" s="312"/>
      <c r="L72" s="314">
        <f>L70+L71</f>
        <v>142.41277</v>
      </c>
      <c r="M72" s="315"/>
      <c r="N72" s="404">
        <f>L72-H72</f>
        <v>5.635219599999971</v>
      </c>
      <c r="O72" s="352">
        <f>IF((H72)=0,"",(N72/H72))</f>
        <v>0.041199886849267404</v>
      </c>
    </row>
    <row r="73" spans="2:15" s="347" customFormat="1" ht="15.75" customHeight="1">
      <c r="B73" s="595" t="s">
        <v>127</v>
      </c>
      <c r="C73" s="595"/>
      <c r="D73" s="595"/>
      <c r="E73" s="344"/>
      <c r="F73" s="316"/>
      <c r="G73" s="315"/>
      <c r="H73" s="425">
        <v>0</v>
      </c>
      <c r="I73" s="312"/>
      <c r="J73" s="312"/>
      <c r="K73" s="312"/>
      <c r="L73" s="409">
        <v>0</v>
      </c>
      <c r="M73" s="315"/>
      <c r="N73" s="390">
        <f>L73-H73</f>
        <v>0</v>
      </c>
      <c r="O73" s="220">
        <f>IF((H73)=0,"",(N73/H73))</f>
      </c>
    </row>
    <row r="74" spans="2:15" s="347" customFormat="1" ht="15.75" thickBot="1">
      <c r="B74" s="586" t="s">
        <v>48</v>
      </c>
      <c r="C74" s="586"/>
      <c r="D74" s="586"/>
      <c r="E74" s="362"/>
      <c r="F74" s="319"/>
      <c r="G74" s="320"/>
      <c r="H74" s="321">
        <f>SUM(H72:H73)</f>
        <v>136.77755040000002</v>
      </c>
      <c r="I74" s="322"/>
      <c r="J74" s="322"/>
      <c r="K74" s="322"/>
      <c r="L74" s="323">
        <f>SUM(L72:L73)</f>
        <v>142.41277</v>
      </c>
      <c r="M74" s="324"/>
      <c r="N74" s="405">
        <f>L74-H74</f>
        <v>5.635219599999971</v>
      </c>
      <c r="O74" s="363">
        <f>IF((H74)=0,"",(N74/H74))</f>
        <v>0.041199886849267404</v>
      </c>
    </row>
    <row r="75" spans="2:15" s="347" customFormat="1" ht="8.25" customHeight="1" thickBot="1">
      <c r="B75" s="356"/>
      <c r="C75" s="357"/>
      <c r="D75" s="358"/>
      <c r="E75" s="357"/>
      <c r="F75" s="325"/>
      <c r="G75" s="364"/>
      <c r="H75" s="326"/>
      <c r="I75" s="365"/>
      <c r="J75" s="325"/>
      <c r="K75" s="299"/>
      <c r="L75" s="327"/>
      <c r="M75" s="300"/>
      <c r="N75" s="366"/>
      <c r="O75" s="272"/>
    </row>
    <row r="76" s="210" customFormat="1" ht="10.5" customHeight="1">
      <c r="L76" s="261"/>
    </row>
    <row r="77" spans="2:10" s="210" customFormat="1" ht="15">
      <c r="B77" s="367" t="s">
        <v>49</v>
      </c>
      <c r="F77" s="328">
        <v>0.0495</v>
      </c>
      <c r="J77" s="328">
        <v>0.0495</v>
      </c>
    </row>
    <row r="78" s="210" customFormat="1" ht="15"/>
    <row r="79" spans="2:15" s="210" customFormat="1" ht="15">
      <c r="B79" s="423" t="s">
        <v>131</v>
      </c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</row>
    <row r="80" s="241" customFormat="1" ht="15"/>
    <row r="81" s="210" customFormat="1" ht="10.5" customHeight="1">
      <c r="A81" s="368" t="s">
        <v>128</v>
      </c>
    </row>
    <row r="82" s="210" customFormat="1" ht="15"/>
    <row r="83" s="210" customFormat="1" ht="15">
      <c r="A83" s="210" t="s">
        <v>51</v>
      </c>
    </row>
    <row r="84" s="210" customFormat="1" ht="15">
      <c r="A84" s="210" t="s">
        <v>52</v>
      </c>
    </row>
    <row r="85" s="210" customFormat="1" ht="15"/>
    <row r="86" s="210" customFormat="1" ht="15">
      <c r="A86" s="330" t="s">
        <v>53</v>
      </c>
    </row>
    <row r="87" s="210" customFormat="1" ht="15">
      <c r="A87" s="330" t="s">
        <v>54</v>
      </c>
    </row>
    <row r="88" s="210" customFormat="1" ht="15"/>
    <row r="89" s="210" customFormat="1" ht="15">
      <c r="A89" s="210" t="s">
        <v>55</v>
      </c>
    </row>
    <row r="90" s="210" customFormat="1" ht="15">
      <c r="A90" s="210" t="s">
        <v>56</v>
      </c>
    </row>
    <row r="91" s="210" customFormat="1" ht="15">
      <c r="A91" s="210" t="s">
        <v>57</v>
      </c>
    </row>
    <row r="92" s="210" customFormat="1" ht="15">
      <c r="A92" s="210" t="s">
        <v>58</v>
      </c>
    </row>
    <row r="93" s="210" customFormat="1" ht="15">
      <c r="A93" s="210" t="s">
        <v>59</v>
      </c>
    </row>
    <row r="94" s="210" customFormat="1" ht="15"/>
    <row r="95" spans="1:2" s="210" customFormat="1" ht="15">
      <c r="A95" s="329"/>
      <c r="B95" s="210" t="s">
        <v>60</v>
      </c>
    </row>
    <row r="96" spans="1:14" ht="15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</row>
  </sheetData>
  <sheetProtection/>
  <mergeCells count="21">
    <mergeCell ref="A3:K3"/>
    <mergeCell ref="B10:O10"/>
    <mergeCell ref="B11:O11"/>
    <mergeCell ref="D14:O14"/>
    <mergeCell ref="F20:H20"/>
    <mergeCell ref="J20:L20"/>
    <mergeCell ref="N20:O20"/>
    <mergeCell ref="B9:O9"/>
    <mergeCell ref="B74:D74"/>
    <mergeCell ref="D21:D22"/>
    <mergeCell ref="N21:N22"/>
    <mergeCell ref="O21:O22"/>
    <mergeCell ref="B67:D67"/>
    <mergeCell ref="B68:D68"/>
    <mergeCell ref="B73:D73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E50:E51 E42:E48 E63 E23:E40 E53:E60">
      <formula1>'USL (800kWh)'!#REF!</formula1>
    </dataValidation>
    <dataValidation type="list" allowBlank="1" showInputMessage="1" showErrorMessage="1" prompt="Select Charge Unit - monthly, per kWh, per kW" sqref="D50:D51 D53:D63 D69 D23:D40 D75 D42:D48">
      <formula1>"Monthly, per kWh, per kW"</formula1>
    </dataValidation>
    <dataValidation type="list" allowBlank="1" showInputMessage="1" showErrorMessage="1" sqref="E75 E69 E61:E62">
      <formula1>'USL (800kWh)'!#REF!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5"/>
  <sheetViews>
    <sheetView showGridLines="0" zoomScalePageLayoutView="0" workbookViewId="0" topLeftCell="A1">
      <selection activeCell="N3" sqref="N3:O3"/>
    </sheetView>
  </sheetViews>
  <sheetFormatPr defaultColWidth="9.140625" defaultRowHeight="15"/>
  <cols>
    <col min="1" max="1" width="2.140625" style="8" customWidth="1"/>
    <col min="2" max="2" width="48.0039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10.00390625" style="8" bestFit="1" customWidth="1"/>
    <col min="7" max="8" width="8.00390625" style="8" bestFit="1" customWidth="1"/>
    <col min="9" max="9" width="2.8515625" style="8" customWidth="1"/>
    <col min="10" max="10" width="10.00390625" style="8" bestFit="1" customWidth="1"/>
    <col min="11" max="11" width="8.00390625" style="8" bestFit="1" customWidth="1"/>
    <col min="12" max="12" width="12.7109375" style="8" bestFit="1" customWidth="1"/>
    <col min="13" max="13" width="2.8515625" style="8" customWidth="1"/>
    <col min="14" max="14" width="9.00390625" style="8" bestFit="1" customWidth="1"/>
    <col min="15" max="15" width="9.57421875" style="8" bestFit="1" customWidth="1"/>
    <col min="16" max="16" width="3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17</v>
      </c>
      <c r="O4" s="582"/>
      <c r="P4"/>
    </row>
    <row r="5" spans="3:16" s="2" customFormat="1" ht="15" customHeight="1">
      <c r="C5" s="7"/>
      <c r="D5" s="7"/>
      <c r="E5" s="7"/>
      <c r="L5" s="3" t="s">
        <v>76</v>
      </c>
      <c r="N5" s="584" t="s">
        <v>150</v>
      </c>
      <c r="O5" s="584"/>
      <c r="P5"/>
    </row>
    <row r="6" spans="12:16" s="2" customFormat="1" ht="9" customHeight="1">
      <c r="L6" s="3"/>
      <c r="N6" s="4"/>
      <c r="O6" s="17"/>
      <c r="P6"/>
    </row>
    <row r="7" spans="12:16" s="2" customFormat="1" ht="15">
      <c r="L7" s="3" t="s">
        <v>159</v>
      </c>
      <c r="N7" s="585">
        <v>42384</v>
      </c>
      <c r="O7" s="584"/>
      <c r="P7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4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72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69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9" ht="15">
      <c r="B18" s="13"/>
      <c r="D18" s="14" t="s">
        <v>8</v>
      </c>
      <c r="E18" s="14"/>
      <c r="F18" s="15">
        <v>150</v>
      </c>
      <c r="G18" s="14" t="s">
        <v>9</v>
      </c>
      <c r="H18" s="15">
        <v>1</v>
      </c>
      <c r="I18" s="14" t="s">
        <v>70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211" t="s">
        <v>20</v>
      </c>
      <c r="C23" s="211"/>
      <c r="D23" s="212" t="s">
        <v>62</v>
      </c>
      <c r="E23" s="213"/>
      <c r="F23" s="214">
        <v>1.53</v>
      </c>
      <c r="G23" s="396">
        <v>1</v>
      </c>
      <c r="H23" s="216">
        <f>G23*F23</f>
        <v>1.53</v>
      </c>
      <c r="I23" s="217"/>
      <c r="J23" s="222">
        <v>1.53</v>
      </c>
      <c r="K23" s="396">
        <v>1</v>
      </c>
      <c r="L23" s="216">
        <f>K23*J23</f>
        <v>1.53</v>
      </c>
      <c r="M23" s="217"/>
      <c r="N23" s="219">
        <f>L23-H23</f>
        <v>0</v>
      </c>
      <c r="O23" s="220">
        <f>IF((H23)=0,"",(N23/H23))</f>
        <v>0</v>
      </c>
    </row>
    <row r="24" spans="2:15" s="210" customFormat="1" ht="22.5" customHeight="1" hidden="1">
      <c r="B24" s="211" t="s">
        <v>91</v>
      </c>
      <c r="C24" s="211"/>
      <c r="D24" s="212" t="s">
        <v>62</v>
      </c>
      <c r="E24" s="213"/>
      <c r="F24" s="214">
        <v>0</v>
      </c>
      <c r="G24" s="215">
        <v>1</v>
      </c>
      <c r="H24" s="216">
        <f>G24*F24</f>
        <v>0</v>
      </c>
      <c r="I24" s="217"/>
      <c r="J24" s="222">
        <v>0</v>
      </c>
      <c r="K24" s="218">
        <v>1</v>
      </c>
      <c r="L24" s="216">
        <f>K24*J24</f>
        <v>0</v>
      </c>
      <c r="M24" s="217"/>
      <c r="N24" s="219">
        <f>L24-H24</f>
        <v>0</v>
      </c>
      <c r="O24" s="220">
        <f>IF((H24)=0,"",(N24/H24))</f>
      </c>
    </row>
    <row r="25" spans="2:15" s="210" customFormat="1" ht="36.75" customHeight="1" hidden="1">
      <c r="B25" s="223" t="s">
        <v>109</v>
      </c>
      <c r="C25" s="211"/>
      <c r="D25" s="224" t="s">
        <v>62</v>
      </c>
      <c r="E25" s="213"/>
      <c r="F25" s="222">
        <v>0</v>
      </c>
      <c r="G25" s="215">
        <v>1</v>
      </c>
      <c r="H25" s="216">
        <f>G25*F25</f>
        <v>0</v>
      </c>
      <c r="I25" s="217"/>
      <c r="J25" s="225">
        <f>Sentinel!J25</f>
        <v>0</v>
      </c>
      <c r="K25" s="218">
        <v>1</v>
      </c>
      <c r="L25" s="216">
        <f>K25*J25</f>
        <v>0</v>
      </c>
      <c r="M25" s="217"/>
      <c r="N25" s="219">
        <f>L25-H25</f>
        <v>0</v>
      </c>
      <c r="O25" s="220">
        <f>IF((H25)=0,"",(N25/H25))</f>
      </c>
    </row>
    <row r="26" spans="2:15" s="210" customFormat="1" ht="15" hidden="1">
      <c r="B26" s="226"/>
      <c r="C26" s="211"/>
      <c r="D26" s="224" t="s">
        <v>62</v>
      </c>
      <c r="E26" s="227"/>
      <c r="F26" s="222"/>
      <c r="G26" s="215">
        <v>1</v>
      </c>
      <c r="H26" s="216">
        <f aca="true" t="shared" si="0" ref="H26:H40">G26*F26</f>
        <v>0</v>
      </c>
      <c r="I26" s="217"/>
      <c r="J26" s="225"/>
      <c r="K26" s="218">
        <v>1</v>
      </c>
      <c r="L26" s="216">
        <f aca="true" t="shared" si="1" ref="L26:L40">K26*J26</f>
        <v>0</v>
      </c>
      <c r="M26" s="217"/>
      <c r="N26" s="219">
        <f aca="true" t="shared" si="2" ref="N26:N41">L26-H26</f>
        <v>0</v>
      </c>
      <c r="O26" s="220">
        <f aca="true" t="shared" si="3" ref="O26:O41">IF((H26)=0,"",(N26/H26))</f>
      </c>
    </row>
    <row r="27" spans="2:15" s="210" customFormat="1" ht="15" hidden="1">
      <c r="B27" s="226"/>
      <c r="C27" s="211"/>
      <c r="D27" s="224" t="s">
        <v>62</v>
      </c>
      <c r="E27" s="213"/>
      <c r="F27" s="228"/>
      <c r="G27" s="215">
        <v>1</v>
      </c>
      <c r="H27" s="216">
        <f t="shared" si="0"/>
        <v>0</v>
      </c>
      <c r="I27" s="217"/>
      <c r="J27" s="222"/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>
      <c r="B28" s="381" t="s">
        <v>66</v>
      </c>
      <c r="C28" s="211"/>
      <c r="D28" s="212" t="s">
        <v>71</v>
      </c>
      <c r="E28" s="213"/>
      <c r="F28" s="228">
        <v>0</v>
      </c>
      <c r="G28" s="396">
        <f>$H$18</f>
        <v>1</v>
      </c>
      <c r="H28" s="216">
        <f t="shared" si="0"/>
        <v>0</v>
      </c>
      <c r="I28" s="217"/>
      <c r="J28" s="418">
        <v>-0.0696</v>
      </c>
      <c r="K28" s="396">
        <f>$H$18</f>
        <v>1</v>
      </c>
      <c r="L28" s="216">
        <f t="shared" si="1"/>
        <v>-0.0696</v>
      </c>
      <c r="M28" s="217"/>
      <c r="N28" s="219">
        <f t="shared" si="2"/>
        <v>-0.0696</v>
      </c>
      <c r="O28" s="220">
        <f t="shared" si="3"/>
      </c>
    </row>
    <row r="29" spans="2:15" s="210" customFormat="1" ht="15" hidden="1">
      <c r="B29" s="338" t="s">
        <v>67</v>
      </c>
      <c r="C29" s="211"/>
      <c r="D29" s="212" t="s">
        <v>71</v>
      </c>
      <c r="E29" s="213"/>
      <c r="F29" s="229">
        <v>0</v>
      </c>
      <c r="G29" s="396">
        <f>$H$18</f>
        <v>1</v>
      </c>
      <c r="H29" s="216">
        <f t="shared" si="0"/>
        <v>0</v>
      </c>
      <c r="I29" s="217"/>
      <c r="J29" s="225">
        <v>0</v>
      </c>
      <c r="K29" s="396">
        <f>$H$18</f>
        <v>1</v>
      </c>
      <c r="L29" s="216">
        <f t="shared" si="1"/>
        <v>0</v>
      </c>
      <c r="M29" s="217"/>
      <c r="N29" s="219">
        <f t="shared" si="2"/>
        <v>0</v>
      </c>
      <c r="O29" s="220">
        <f t="shared" si="3"/>
      </c>
    </row>
    <row r="30" spans="2:15" s="210" customFormat="1" ht="15" hidden="1">
      <c r="B30" s="338" t="s">
        <v>92</v>
      </c>
      <c r="C30" s="211"/>
      <c r="D30" s="212" t="s">
        <v>63</v>
      </c>
      <c r="E30" s="213"/>
      <c r="F30" s="228">
        <v>0</v>
      </c>
      <c r="G30" s="396">
        <f>$H$18</f>
        <v>1</v>
      </c>
      <c r="H30" s="216">
        <f t="shared" si="0"/>
        <v>0</v>
      </c>
      <c r="I30" s="217"/>
      <c r="J30" s="225">
        <v>0</v>
      </c>
      <c r="K30" s="396">
        <f>H18</f>
        <v>1</v>
      </c>
      <c r="L30" s="216">
        <f t="shared" si="1"/>
        <v>0</v>
      </c>
      <c r="M30" s="217"/>
      <c r="N30" s="219">
        <f t="shared" si="2"/>
        <v>0</v>
      </c>
      <c r="O30" s="220"/>
    </row>
    <row r="31" spans="2:15" s="210" customFormat="1" ht="15">
      <c r="B31" s="211" t="s">
        <v>21</v>
      </c>
      <c r="C31" s="211"/>
      <c r="D31" s="212" t="s">
        <v>71</v>
      </c>
      <c r="E31" s="213"/>
      <c r="F31" s="228">
        <v>44.8917</v>
      </c>
      <c r="G31" s="396">
        <f>$H$18</f>
        <v>1</v>
      </c>
      <c r="H31" s="216">
        <f t="shared" si="0"/>
        <v>44.8917</v>
      </c>
      <c r="I31" s="217"/>
      <c r="J31" s="225">
        <v>44.8917</v>
      </c>
      <c r="K31" s="396">
        <f>$H$18</f>
        <v>1</v>
      </c>
      <c r="L31" s="216">
        <f t="shared" si="1"/>
        <v>44.8917</v>
      </c>
      <c r="M31" s="217"/>
      <c r="N31" s="219">
        <f t="shared" si="2"/>
        <v>0</v>
      </c>
      <c r="O31" s="220">
        <f t="shared" si="3"/>
        <v>0</v>
      </c>
    </row>
    <row r="32" spans="2:15" s="210" customFormat="1" ht="15" hidden="1">
      <c r="B32" s="211" t="s">
        <v>22</v>
      </c>
      <c r="C32" s="211"/>
      <c r="D32" s="212"/>
      <c r="E32" s="213"/>
      <c r="F32" s="228"/>
      <c r="G32" s="215">
        <f>$F$18</f>
        <v>150</v>
      </c>
      <c r="H32" s="216">
        <f t="shared" si="0"/>
        <v>0</v>
      </c>
      <c r="I32" s="217"/>
      <c r="J32" s="225"/>
      <c r="K32" s="215">
        <f aca="true" t="shared" si="4" ref="K32:K40">$F$18</f>
        <v>150</v>
      </c>
      <c r="L32" s="216">
        <f t="shared" si="1"/>
        <v>0</v>
      </c>
      <c r="M32" s="217"/>
      <c r="N32" s="219">
        <f t="shared" si="2"/>
        <v>0</v>
      </c>
      <c r="O32" s="220">
        <f t="shared" si="3"/>
      </c>
    </row>
    <row r="33" spans="2:15" s="210" customFormat="1" ht="15" hidden="1">
      <c r="B33" s="211" t="s">
        <v>23</v>
      </c>
      <c r="C33" s="211"/>
      <c r="D33" s="212"/>
      <c r="E33" s="213"/>
      <c r="F33" s="228"/>
      <c r="G33" s="215">
        <f>$F$18</f>
        <v>150</v>
      </c>
      <c r="H33" s="216">
        <f t="shared" si="0"/>
        <v>0</v>
      </c>
      <c r="I33" s="217"/>
      <c r="J33" s="225"/>
      <c r="K33" s="215">
        <f t="shared" si="4"/>
        <v>150</v>
      </c>
      <c r="L33" s="216">
        <f t="shared" si="1"/>
        <v>0</v>
      </c>
      <c r="M33" s="217"/>
      <c r="N33" s="219">
        <f t="shared" si="2"/>
        <v>0</v>
      </c>
      <c r="O33" s="220">
        <f t="shared" si="3"/>
      </c>
    </row>
    <row r="34" spans="2:15" s="210" customFormat="1" ht="15" hidden="1">
      <c r="B34" s="231"/>
      <c r="C34" s="211"/>
      <c r="D34" s="212"/>
      <c r="E34" s="213"/>
      <c r="F34" s="228"/>
      <c r="G34" s="215">
        <f aca="true" t="shared" si="5" ref="G34:G40">$F$18</f>
        <v>150</v>
      </c>
      <c r="H34" s="216">
        <f t="shared" si="0"/>
        <v>0</v>
      </c>
      <c r="I34" s="217"/>
      <c r="J34" s="225"/>
      <c r="K34" s="215">
        <f t="shared" si="4"/>
        <v>150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231"/>
      <c r="C35" s="211"/>
      <c r="D35" s="212"/>
      <c r="E35" s="213"/>
      <c r="F35" s="228"/>
      <c r="G35" s="215">
        <f t="shared" si="5"/>
        <v>150</v>
      </c>
      <c r="H35" s="216">
        <f t="shared" si="0"/>
        <v>0</v>
      </c>
      <c r="I35" s="217"/>
      <c r="J35" s="225"/>
      <c r="K35" s="215">
        <f t="shared" si="4"/>
        <v>150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231"/>
      <c r="C36" s="211"/>
      <c r="D36" s="212"/>
      <c r="E36" s="213"/>
      <c r="F36" s="228"/>
      <c r="G36" s="215">
        <f t="shared" si="5"/>
        <v>150</v>
      </c>
      <c r="H36" s="216">
        <f t="shared" si="0"/>
        <v>0</v>
      </c>
      <c r="I36" s="217"/>
      <c r="J36" s="225"/>
      <c r="K36" s="215">
        <f t="shared" si="4"/>
        <v>150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231"/>
      <c r="C37" s="211"/>
      <c r="D37" s="212"/>
      <c r="E37" s="213"/>
      <c r="F37" s="228"/>
      <c r="G37" s="215">
        <f t="shared" si="5"/>
        <v>150</v>
      </c>
      <c r="H37" s="216">
        <f t="shared" si="0"/>
        <v>0</v>
      </c>
      <c r="I37" s="217"/>
      <c r="J37" s="225"/>
      <c r="K37" s="215">
        <f t="shared" si="4"/>
        <v>150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231"/>
      <c r="C38" s="211"/>
      <c r="D38" s="212"/>
      <c r="E38" s="213"/>
      <c r="F38" s="228"/>
      <c r="G38" s="215">
        <f t="shared" si="5"/>
        <v>150</v>
      </c>
      <c r="H38" s="216">
        <f t="shared" si="0"/>
        <v>0</v>
      </c>
      <c r="I38" s="217"/>
      <c r="J38" s="225"/>
      <c r="K38" s="215">
        <f t="shared" si="4"/>
        <v>150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231"/>
      <c r="C39" s="211"/>
      <c r="D39" s="212"/>
      <c r="E39" s="213"/>
      <c r="F39" s="228"/>
      <c r="G39" s="215">
        <f t="shared" si="5"/>
        <v>150</v>
      </c>
      <c r="H39" s="216">
        <f t="shared" si="0"/>
        <v>0</v>
      </c>
      <c r="I39" s="217"/>
      <c r="J39" s="225"/>
      <c r="K39" s="215">
        <f t="shared" si="4"/>
        <v>150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231"/>
      <c r="C40" s="211"/>
      <c r="D40" s="212"/>
      <c r="E40" s="213"/>
      <c r="F40" s="228"/>
      <c r="G40" s="215">
        <f t="shared" si="5"/>
        <v>150</v>
      </c>
      <c r="H40" s="216">
        <f t="shared" si="0"/>
        <v>0</v>
      </c>
      <c r="I40" s="217"/>
      <c r="J40" s="225"/>
      <c r="K40" s="215">
        <f t="shared" si="4"/>
        <v>150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339" t="s">
        <v>24</v>
      </c>
      <c r="C41" s="232"/>
      <c r="D41" s="233"/>
      <c r="E41" s="232"/>
      <c r="F41" s="234"/>
      <c r="G41" s="235"/>
      <c r="H41" s="236">
        <f>SUM(H23:H40)</f>
        <v>46.4217</v>
      </c>
      <c r="I41" s="237"/>
      <c r="J41" s="238"/>
      <c r="K41" s="239"/>
      <c r="L41" s="236">
        <f>SUM(L23:L40)</f>
        <v>46.3521</v>
      </c>
      <c r="M41" s="237"/>
      <c r="N41" s="240">
        <f t="shared" si="2"/>
        <v>-0.06960000000000122</v>
      </c>
      <c r="O41" s="340">
        <f t="shared" si="3"/>
        <v>-0.001499298819302206</v>
      </c>
    </row>
    <row r="42" spans="2:15" s="210" customFormat="1" ht="30">
      <c r="B42" s="381" t="s">
        <v>25</v>
      </c>
      <c r="C42" s="211"/>
      <c r="D42" s="224" t="s">
        <v>71</v>
      </c>
      <c r="E42" s="227"/>
      <c r="F42" s="242">
        <v>-2.1744</v>
      </c>
      <c r="G42" s="396">
        <f>G31</f>
        <v>1</v>
      </c>
      <c r="H42" s="216">
        <f aca="true" t="shared" si="6" ref="H42:H48">G42*F42</f>
        <v>-2.1744</v>
      </c>
      <c r="I42" s="217"/>
      <c r="J42" s="242">
        <v>-0.6472</v>
      </c>
      <c r="K42" s="396">
        <f>H18</f>
        <v>1</v>
      </c>
      <c r="L42" s="216">
        <f aca="true" t="shared" si="7" ref="L42:L48">K42*J42</f>
        <v>-0.6472</v>
      </c>
      <c r="M42" s="217"/>
      <c r="N42" s="219">
        <f aca="true" t="shared" si="8" ref="N42:N48">L42-H42</f>
        <v>1.5272</v>
      </c>
      <c r="O42" s="220">
        <f aca="true" t="shared" si="9" ref="O42:O47">IF((H42)=0,"",(N42/H42))</f>
        <v>-0.702354672553348</v>
      </c>
    </row>
    <row r="43" spans="2:15" s="210" customFormat="1" ht="15" hidden="1">
      <c r="B43" s="381"/>
      <c r="C43" s="211"/>
      <c r="D43" s="212" t="s">
        <v>71</v>
      </c>
      <c r="E43" s="213"/>
      <c r="F43" s="228"/>
      <c r="G43" s="396">
        <f>H18</f>
        <v>1</v>
      </c>
      <c r="H43" s="216">
        <f t="shared" si="6"/>
        <v>0</v>
      </c>
      <c r="I43" s="243"/>
      <c r="J43" s="225"/>
      <c r="K43" s="396">
        <f>H18</f>
        <v>1</v>
      </c>
      <c r="L43" s="216">
        <f t="shared" si="7"/>
        <v>0</v>
      </c>
      <c r="M43" s="244"/>
      <c r="N43" s="219">
        <f t="shared" si="8"/>
        <v>0</v>
      </c>
      <c r="O43" s="220">
        <f t="shared" si="9"/>
      </c>
    </row>
    <row r="44" spans="2:15" s="210" customFormat="1" ht="15" hidden="1">
      <c r="B44" s="381"/>
      <c r="C44" s="211"/>
      <c r="D44" s="212" t="s">
        <v>71</v>
      </c>
      <c r="E44" s="213"/>
      <c r="F44" s="228"/>
      <c r="G44" s="396">
        <f>H18</f>
        <v>1</v>
      </c>
      <c r="H44" s="216">
        <f t="shared" si="6"/>
        <v>0</v>
      </c>
      <c r="I44" s="243"/>
      <c r="J44" s="225"/>
      <c r="K44" s="396">
        <f>H18</f>
        <v>1</v>
      </c>
      <c r="L44" s="216">
        <f t="shared" si="7"/>
        <v>0</v>
      </c>
      <c r="M44" s="244"/>
      <c r="N44" s="219">
        <f t="shared" si="8"/>
        <v>0</v>
      </c>
      <c r="O44" s="220">
        <f t="shared" si="9"/>
      </c>
    </row>
    <row r="45" spans="2:15" s="210" customFormat="1" ht="45">
      <c r="B45" s="381" t="s">
        <v>75</v>
      </c>
      <c r="C45" s="211"/>
      <c r="D45" s="212" t="s">
        <v>71</v>
      </c>
      <c r="E45" s="213"/>
      <c r="F45" s="242">
        <v>2.1719</v>
      </c>
      <c r="G45" s="396">
        <f>H18</f>
        <v>1</v>
      </c>
      <c r="H45" s="216">
        <f t="shared" si="6"/>
        <v>2.1719</v>
      </c>
      <c r="I45" s="243"/>
      <c r="J45" s="242">
        <v>1.3053</v>
      </c>
      <c r="K45" s="396">
        <f>H18</f>
        <v>1</v>
      </c>
      <c r="L45" s="216">
        <f t="shared" si="7"/>
        <v>1.3053</v>
      </c>
      <c r="M45" s="244"/>
      <c r="N45" s="219">
        <f t="shared" si="8"/>
        <v>-0.8666</v>
      </c>
      <c r="O45" s="220">
        <f t="shared" si="9"/>
        <v>-0.3990054790736222</v>
      </c>
    </row>
    <row r="46" spans="2:15" s="210" customFormat="1" ht="15">
      <c r="B46" s="342" t="s">
        <v>26</v>
      </c>
      <c r="C46" s="211"/>
      <c r="D46" s="212" t="s">
        <v>71</v>
      </c>
      <c r="E46" s="213"/>
      <c r="F46" s="228"/>
      <c r="G46" s="396">
        <f>H18</f>
        <v>1</v>
      </c>
      <c r="H46" s="216">
        <f t="shared" si="6"/>
        <v>0</v>
      </c>
      <c r="I46" s="217"/>
      <c r="J46" s="225">
        <v>0.027</v>
      </c>
      <c r="K46" s="396">
        <f>H18</f>
        <v>1</v>
      </c>
      <c r="L46" s="216">
        <f t="shared" si="7"/>
        <v>0.027</v>
      </c>
      <c r="M46" s="217"/>
      <c r="N46" s="219">
        <f t="shared" si="8"/>
        <v>0.027</v>
      </c>
      <c r="O46" s="220">
        <f t="shared" si="9"/>
      </c>
    </row>
    <row r="47" spans="2:15" s="241" customFormat="1" ht="15">
      <c r="B47" s="342" t="s">
        <v>27</v>
      </c>
      <c r="C47" s="213"/>
      <c r="D47" s="224" t="s">
        <v>71</v>
      </c>
      <c r="E47" s="213"/>
      <c r="F47" s="246">
        <f>IF(ISBLANK(D16)=TRUE,0,IF(D16="TOU",0.64*$F$58+0.18*$F$59+0.18*$F$60,IF(AND(D16="non-TOU",G62&gt;0),F62,F61)))</f>
        <v>0.075</v>
      </c>
      <c r="G47" s="215">
        <f>$F$18*(1+$F$77)-$F$18</f>
        <v>7.425000000000011</v>
      </c>
      <c r="H47" s="247">
        <f t="shared" si="6"/>
        <v>0.5568750000000008</v>
      </c>
      <c r="I47" s="227"/>
      <c r="J47" s="245">
        <f>IF(ISBLANK(D16)=TRUE,0,IF(D16="TOU",0.64*$F$58+0.18*$F$59+0.18*$F$60,IF(AND(D16="non-TOU",K62&gt;0),J62,J61)))</f>
        <v>0.075</v>
      </c>
      <c r="K47" s="215">
        <f>$F$18*(1+$J$77)-$F$18</f>
        <v>7.425000000000011</v>
      </c>
      <c r="L47" s="247">
        <f t="shared" si="7"/>
        <v>0.5568750000000008</v>
      </c>
      <c r="M47" s="227"/>
      <c r="N47" s="219">
        <f t="shared" si="8"/>
        <v>0</v>
      </c>
      <c r="O47" s="248">
        <f t="shared" si="9"/>
        <v>0</v>
      </c>
    </row>
    <row r="48" spans="2:15" s="210" customFormat="1" ht="15" hidden="1">
      <c r="B48" s="341" t="s">
        <v>28</v>
      </c>
      <c r="C48" s="211"/>
      <c r="D48" s="212" t="s">
        <v>62</v>
      </c>
      <c r="E48" s="213"/>
      <c r="F48" s="249">
        <v>0</v>
      </c>
      <c r="G48" s="215">
        <v>0</v>
      </c>
      <c r="H48" s="216">
        <f t="shared" si="6"/>
        <v>0</v>
      </c>
      <c r="I48" s="217"/>
      <c r="J48" s="249">
        <v>0</v>
      </c>
      <c r="K48" s="215">
        <v>0</v>
      </c>
      <c r="L48" s="216">
        <f t="shared" si="7"/>
        <v>0</v>
      </c>
      <c r="M48" s="217"/>
      <c r="N48" s="219">
        <f t="shared" si="8"/>
        <v>0</v>
      </c>
      <c r="O48" s="220"/>
    </row>
    <row r="49" spans="2:15" s="210" customFormat="1" ht="30">
      <c r="B49" s="343" t="s">
        <v>29</v>
      </c>
      <c r="C49" s="250"/>
      <c r="D49" s="250"/>
      <c r="E49" s="250"/>
      <c r="F49" s="43"/>
      <c r="G49" s="251"/>
      <c r="H49" s="252">
        <f>SUM(H42:H48)+H41</f>
        <v>46.976075</v>
      </c>
      <c r="I49" s="237"/>
      <c r="J49" s="251"/>
      <c r="K49" s="253"/>
      <c r="L49" s="252">
        <f>SUM(L42:L48)+L41</f>
        <v>47.594075000000004</v>
      </c>
      <c r="M49" s="237"/>
      <c r="N49" s="399">
        <f aca="true" t="shared" si="10" ref="N49:N68">L49-H49</f>
        <v>0.6180000000000021</v>
      </c>
      <c r="O49" s="340">
        <f aca="true" t="shared" si="11" ref="O49:O68">IF((H49)=0,"",(N49/H49))</f>
        <v>0.0131556329471971</v>
      </c>
    </row>
    <row r="50" spans="2:15" s="210" customFormat="1" ht="15">
      <c r="B50" s="217" t="s">
        <v>30</v>
      </c>
      <c r="C50" s="217"/>
      <c r="D50" s="224" t="s">
        <v>71</v>
      </c>
      <c r="E50" s="227"/>
      <c r="F50" s="225">
        <v>1.3177</v>
      </c>
      <c r="G50" s="259">
        <f>H18*(1+F77)</f>
        <v>1.0495</v>
      </c>
      <c r="H50" s="216">
        <f>G50*F50</f>
        <v>1.3829261500000003</v>
      </c>
      <c r="I50" s="217"/>
      <c r="J50" s="225">
        <v>1.9593</v>
      </c>
      <c r="K50" s="260">
        <f>H18*(1+J77)</f>
        <v>1.0495</v>
      </c>
      <c r="L50" s="216">
        <f>K50*J50</f>
        <v>2.0562853500000005</v>
      </c>
      <c r="M50" s="217"/>
      <c r="N50" s="219">
        <f t="shared" si="10"/>
        <v>0.6733592000000002</v>
      </c>
      <c r="O50" s="220">
        <f t="shared" si="11"/>
        <v>0.4869090081202095</v>
      </c>
    </row>
    <row r="51" spans="2:15" s="210" customFormat="1" ht="30">
      <c r="B51" s="255" t="s">
        <v>31</v>
      </c>
      <c r="C51" s="217"/>
      <c r="D51" s="224" t="s">
        <v>71</v>
      </c>
      <c r="E51" s="227"/>
      <c r="F51" s="225">
        <v>0.5317</v>
      </c>
      <c r="G51" s="259">
        <f>G50</f>
        <v>1.0495</v>
      </c>
      <c r="H51" s="216">
        <f>G51*F51</f>
        <v>0.55801915</v>
      </c>
      <c r="I51" s="217"/>
      <c r="J51" s="225">
        <v>1.222</v>
      </c>
      <c r="K51" s="260">
        <f>K50</f>
        <v>1.0495</v>
      </c>
      <c r="L51" s="216">
        <f>K51*J51</f>
        <v>1.282489</v>
      </c>
      <c r="M51" s="217"/>
      <c r="N51" s="219">
        <f t="shared" si="10"/>
        <v>0.72446985</v>
      </c>
      <c r="O51" s="220">
        <f t="shared" si="11"/>
        <v>1.2982885085574571</v>
      </c>
    </row>
    <row r="52" spans="2:15" s="210" customFormat="1" ht="30">
      <c r="B52" s="343" t="s">
        <v>32</v>
      </c>
      <c r="C52" s="232"/>
      <c r="D52" s="232"/>
      <c r="E52" s="232"/>
      <c r="F52" s="44"/>
      <c r="G52" s="251"/>
      <c r="H52" s="252">
        <f>SUM(H49:H51)</f>
        <v>48.917020300000004</v>
      </c>
      <c r="I52" s="256"/>
      <c r="J52" s="257"/>
      <c r="K52" s="258"/>
      <c r="L52" s="252">
        <f>SUM(L49:L51)</f>
        <v>50.932849350000005</v>
      </c>
      <c r="M52" s="256"/>
      <c r="N52" s="399">
        <f t="shared" si="10"/>
        <v>2.0158290500000007</v>
      </c>
      <c r="O52" s="340">
        <f t="shared" si="11"/>
        <v>0.04120915455678319</v>
      </c>
    </row>
    <row r="53" spans="2:15" s="210" customFormat="1" ht="15">
      <c r="B53" s="223" t="s">
        <v>33</v>
      </c>
      <c r="C53" s="211"/>
      <c r="D53" s="212" t="s">
        <v>63</v>
      </c>
      <c r="E53" s="213"/>
      <c r="F53" s="228">
        <v>0.0044</v>
      </c>
      <c r="G53" s="259">
        <f>F18*(1+F77)</f>
        <v>157.425</v>
      </c>
      <c r="H53" s="216">
        <f aca="true" t="shared" si="12" ref="H53:H60">G53*F53</f>
        <v>0.6926700000000001</v>
      </c>
      <c r="I53" s="217"/>
      <c r="J53" s="424">
        <v>0.0036</v>
      </c>
      <c r="K53" s="260">
        <f>F18*(1+J77)</f>
        <v>157.425</v>
      </c>
      <c r="L53" s="216">
        <f aca="true" t="shared" si="13" ref="L53:L60">K53*J53</f>
        <v>0.5667300000000001</v>
      </c>
      <c r="M53" s="217"/>
      <c r="N53" s="219">
        <f t="shared" si="10"/>
        <v>-0.12594000000000005</v>
      </c>
      <c r="O53" s="220">
        <f t="shared" si="11"/>
        <v>-0.18181818181818185</v>
      </c>
    </row>
    <row r="54" spans="2:15" s="210" customFormat="1" ht="15">
      <c r="B54" s="223" t="s">
        <v>34</v>
      </c>
      <c r="C54" s="211"/>
      <c r="D54" s="212" t="s">
        <v>63</v>
      </c>
      <c r="E54" s="213"/>
      <c r="F54" s="228">
        <v>0.0013</v>
      </c>
      <c r="G54" s="259">
        <f>G53</f>
        <v>157.425</v>
      </c>
      <c r="H54" s="216">
        <f t="shared" si="12"/>
        <v>0.20465250000000001</v>
      </c>
      <c r="I54" s="217"/>
      <c r="J54" s="225">
        <v>0.0013</v>
      </c>
      <c r="K54" s="260">
        <f>K53</f>
        <v>157.425</v>
      </c>
      <c r="L54" s="216">
        <f t="shared" si="13"/>
        <v>0.20465250000000001</v>
      </c>
      <c r="M54" s="217"/>
      <c r="N54" s="219">
        <f t="shared" si="10"/>
        <v>0</v>
      </c>
      <c r="O54" s="220">
        <f t="shared" si="11"/>
        <v>0</v>
      </c>
    </row>
    <row r="55" spans="2:15" s="210" customFormat="1" ht="15">
      <c r="B55" s="223" t="s">
        <v>121</v>
      </c>
      <c r="C55" s="211"/>
      <c r="D55" s="212" t="s">
        <v>63</v>
      </c>
      <c r="E55" s="213"/>
      <c r="F55" s="228">
        <v>0</v>
      </c>
      <c r="G55" s="259">
        <f>G53</f>
        <v>157.425</v>
      </c>
      <c r="H55" s="216">
        <f t="shared" si="12"/>
        <v>0</v>
      </c>
      <c r="I55" s="217"/>
      <c r="J55" s="424">
        <v>0.0011</v>
      </c>
      <c r="K55" s="260">
        <f>G53</f>
        <v>157.425</v>
      </c>
      <c r="L55" s="216">
        <f t="shared" si="13"/>
        <v>0.17316750000000003</v>
      </c>
      <c r="M55" s="217"/>
      <c r="N55" s="219">
        <f t="shared" si="10"/>
        <v>0.17316750000000003</v>
      </c>
      <c r="O55" s="220">
        <f t="shared" si="11"/>
      </c>
    </row>
    <row r="56" spans="2:15" s="210" customFormat="1" ht="15">
      <c r="B56" s="211" t="s">
        <v>35</v>
      </c>
      <c r="C56" s="211"/>
      <c r="D56" s="212" t="s">
        <v>62</v>
      </c>
      <c r="E56" s="213"/>
      <c r="F56" s="214">
        <v>0.25</v>
      </c>
      <c r="G56" s="215">
        <v>1</v>
      </c>
      <c r="H56" s="216">
        <f t="shared" si="12"/>
        <v>0.25</v>
      </c>
      <c r="I56" s="217"/>
      <c r="J56" s="222">
        <v>0.25</v>
      </c>
      <c r="K56" s="218">
        <v>1</v>
      </c>
      <c r="L56" s="216">
        <f t="shared" si="13"/>
        <v>0.25</v>
      </c>
      <c r="M56" s="217"/>
      <c r="N56" s="219">
        <f t="shared" si="10"/>
        <v>0</v>
      </c>
      <c r="O56" s="220">
        <f t="shared" si="11"/>
        <v>0</v>
      </c>
    </row>
    <row r="57" spans="2:15" s="210" customFormat="1" ht="15">
      <c r="B57" s="211" t="s">
        <v>36</v>
      </c>
      <c r="C57" s="211"/>
      <c r="D57" s="212" t="s">
        <v>63</v>
      </c>
      <c r="E57" s="213"/>
      <c r="F57" s="228">
        <v>0.007</v>
      </c>
      <c r="G57" s="259">
        <f>F18</f>
        <v>150</v>
      </c>
      <c r="H57" s="216">
        <f t="shared" si="12"/>
        <v>1.05</v>
      </c>
      <c r="I57" s="217"/>
      <c r="J57" s="225">
        <f>0.007</f>
        <v>0.007</v>
      </c>
      <c r="K57" s="260">
        <f>F18</f>
        <v>150</v>
      </c>
      <c r="L57" s="216">
        <f t="shared" si="13"/>
        <v>1.05</v>
      </c>
      <c r="M57" s="217"/>
      <c r="N57" s="219">
        <f t="shared" si="10"/>
        <v>0</v>
      </c>
      <c r="O57" s="220">
        <f t="shared" si="11"/>
        <v>0</v>
      </c>
    </row>
    <row r="58" spans="2:19" s="210" customFormat="1" ht="15.75" thickBot="1">
      <c r="B58" s="341" t="s">
        <v>74</v>
      </c>
      <c r="C58" s="211"/>
      <c r="D58" s="212" t="s">
        <v>63</v>
      </c>
      <c r="E58" s="213"/>
      <c r="F58" s="228">
        <v>0.1</v>
      </c>
      <c r="G58" s="259">
        <f>F18</f>
        <v>150</v>
      </c>
      <c r="H58" s="216">
        <f t="shared" si="12"/>
        <v>15</v>
      </c>
      <c r="I58" s="217"/>
      <c r="J58" s="228">
        <f>F58</f>
        <v>0.1</v>
      </c>
      <c r="K58" s="259">
        <f>F18</f>
        <v>150</v>
      </c>
      <c r="L58" s="216">
        <f t="shared" si="13"/>
        <v>15</v>
      </c>
      <c r="M58" s="217"/>
      <c r="N58" s="219">
        <f t="shared" si="10"/>
        <v>0</v>
      </c>
      <c r="O58" s="220">
        <f t="shared" si="11"/>
        <v>0</v>
      </c>
      <c r="S58" s="261"/>
    </row>
    <row r="59" spans="2:19" s="210" customFormat="1" ht="15" hidden="1">
      <c r="B59" s="341" t="s">
        <v>38</v>
      </c>
      <c r="C59" s="211"/>
      <c r="D59" s="212"/>
      <c r="E59" s="213"/>
      <c r="F59" s="246">
        <v>0.104</v>
      </c>
      <c r="G59" s="259">
        <v>0</v>
      </c>
      <c r="H59" s="216">
        <f t="shared" si="12"/>
        <v>0</v>
      </c>
      <c r="I59" s="217"/>
      <c r="J59" s="228">
        <v>0.104</v>
      </c>
      <c r="K59" s="259">
        <v>0</v>
      </c>
      <c r="L59" s="216">
        <f t="shared" si="13"/>
        <v>0</v>
      </c>
      <c r="M59" s="217"/>
      <c r="N59" s="230">
        <f t="shared" si="10"/>
        <v>0</v>
      </c>
      <c r="O59" s="220">
        <f t="shared" si="11"/>
      </c>
      <c r="S59" s="261"/>
    </row>
    <row r="60" spans="2:19" s="210" customFormat="1" ht="15" hidden="1">
      <c r="B60" s="330" t="s">
        <v>39</v>
      </c>
      <c r="C60" s="211"/>
      <c r="D60" s="212"/>
      <c r="E60" s="213"/>
      <c r="F60" s="246">
        <v>0.124</v>
      </c>
      <c r="G60" s="259">
        <v>0</v>
      </c>
      <c r="H60" s="216">
        <f t="shared" si="12"/>
        <v>0</v>
      </c>
      <c r="I60" s="217"/>
      <c r="J60" s="228">
        <v>0.124</v>
      </c>
      <c r="K60" s="259">
        <v>0</v>
      </c>
      <c r="L60" s="216">
        <f t="shared" si="13"/>
        <v>0</v>
      </c>
      <c r="M60" s="217"/>
      <c r="N60" s="230">
        <f t="shared" si="10"/>
        <v>0</v>
      </c>
      <c r="O60" s="220">
        <f t="shared" si="11"/>
      </c>
      <c r="S60" s="261"/>
    </row>
    <row r="61" spans="2:15" s="347" customFormat="1" ht="15" hidden="1">
      <c r="B61" s="406" t="s">
        <v>40</v>
      </c>
      <c r="C61" s="344"/>
      <c r="D61" s="345"/>
      <c r="E61" s="346"/>
      <c r="F61" s="246">
        <v>0.075</v>
      </c>
      <c r="G61" s="262">
        <f>IF(AND($T$1=1,F18&gt;=600),600,IF(AND($T$1=1,AND(F18&lt;600,F18&gt;=0)),F18,IF(AND($T$1=2,F18&gt;=1000),1000,IF(AND($T$1=2,AND(F18&lt;1000,F18&gt;=0)),F18))))</f>
        <v>150</v>
      </c>
      <c r="H61" s="216">
        <f>G61*F61</f>
        <v>11.25</v>
      </c>
      <c r="I61" s="263"/>
      <c r="J61" s="228">
        <v>0.075</v>
      </c>
      <c r="K61" s="262">
        <f>G61</f>
        <v>150</v>
      </c>
      <c r="L61" s="216">
        <f>K61*J61</f>
        <v>11.25</v>
      </c>
      <c r="M61" s="263"/>
      <c r="N61" s="383">
        <f t="shared" si="10"/>
        <v>0</v>
      </c>
      <c r="O61" s="220">
        <f t="shared" si="11"/>
        <v>0</v>
      </c>
    </row>
    <row r="62" spans="2:15" s="347" customFormat="1" ht="15.75" hidden="1" thickBot="1">
      <c r="B62" s="406" t="s">
        <v>41</v>
      </c>
      <c r="C62" s="344"/>
      <c r="D62" s="345"/>
      <c r="E62" s="346"/>
      <c r="F62" s="246">
        <v>0.088</v>
      </c>
      <c r="G62" s="262">
        <f>IF(AND($T$1=1,F18&gt;=600),F18-600,IF(AND($T$1=1,AND(F18&lt;600,F18&gt;=0)),0,IF(AND($T$1=2,F18&gt;=1000),F18-1000,IF(AND($T$1=2,AND(F18&lt;1000,F18&gt;=0)),0))))</f>
        <v>0</v>
      </c>
      <c r="H62" s="216">
        <f>G62*F62</f>
        <v>0</v>
      </c>
      <c r="I62" s="263"/>
      <c r="J62" s="228">
        <v>0.088</v>
      </c>
      <c r="K62" s="262">
        <f>G62</f>
        <v>0</v>
      </c>
      <c r="L62" s="216">
        <f>K62*J62</f>
        <v>0</v>
      </c>
      <c r="M62" s="263"/>
      <c r="N62" s="383">
        <f t="shared" si="10"/>
        <v>0</v>
      </c>
      <c r="O62" s="220">
        <f t="shared" si="11"/>
      </c>
    </row>
    <row r="63" spans="2:15" s="210" customFormat="1" ht="8.25" customHeight="1" thickBot="1">
      <c r="B63" s="348"/>
      <c r="C63" s="264"/>
      <c r="D63" s="265"/>
      <c r="E63" s="264"/>
      <c r="F63" s="266"/>
      <c r="G63" s="267"/>
      <c r="H63" s="268"/>
      <c r="I63" s="269"/>
      <c r="J63" s="266"/>
      <c r="K63" s="270"/>
      <c r="L63" s="268"/>
      <c r="M63" s="269"/>
      <c r="N63" s="271"/>
      <c r="O63" s="272"/>
    </row>
    <row r="64" spans="2:19" s="210" customFormat="1" ht="15" hidden="1">
      <c r="B64" s="349" t="s">
        <v>42</v>
      </c>
      <c r="C64" s="211"/>
      <c r="D64" s="211"/>
      <c r="E64" s="211"/>
      <c r="F64" s="273"/>
      <c r="G64" s="274"/>
      <c r="H64" s="275">
        <f>SUM(H53:H60,H52)</f>
        <v>66.1143428</v>
      </c>
      <c r="I64" s="276"/>
      <c r="J64" s="277"/>
      <c r="K64" s="277"/>
      <c r="L64" s="275">
        <f>SUM(L53:L60,L52)</f>
        <v>68.17739935</v>
      </c>
      <c r="M64" s="279"/>
      <c r="N64" s="400">
        <f>L64-H64</f>
        <v>2.063056549999999</v>
      </c>
      <c r="O64" s="350">
        <f>IF((H64)=0,"",(N64/H64))</f>
        <v>0.031204372041341667</v>
      </c>
      <c r="S64" s="261"/>
    </row>
    <row r="65" spans="2:19" s="210" customFormat="1" ht="15" hidden="1">
      <c r="B65" s="351" t="s">
        <v>43</v>
      </c>
      <c r="C65" s="211"/>
      <c r="D65" s="211"/>
      <c r="E65" s="211"/>
      <c r="F65" s="281">
        <v>0.13</v>
      </c>
      <c r="G65" s="282"/>
      <c r="H65" s="283">
        <f>H64*F65</f>
        <v>8.594864564</v>
      </c>
      <c r="I65" s="284"/>
      <c r="J65" s="285">
        <v>0.13</v>
      </c>
      <c r="K65" s="284"/>
      <c r="L65" s="286">
        <f>L64*J65</f>
        <v>8.863061915500001</v>
      </c>
      <c r="M65" s="287"/>
      <c r="N65" s="401">
        <f t="shared" si="10"/>
        <v>0.26819735150000135</v>
      </c>
      <c r="O65" s="352">
        <f t="shared" si="11"/>
        <v>0.031204372041341844</v>
      </c>
      <c r="S65" s="261"/>
    </row>
    <row r="66" spans="2:19" s="210" customFormat="1" ht="15" hidden="1">
      <c r="B66" s="353" t="s">
        <v>126</v>
      </c>
      <c r="C66" s="211"/>
      <c r="D66" s="211"/>
      <c r="E66" s="211"/>
      <c r="F66" s="288"/>
      <c r="G66" s="282"/>
      <c r="H66" s="283">
        <f>H64+H65</f>
        <v>74.70920736400001</v>
      </c>
      <c r="I66" s="284"/>
      <c r="J66" s="284"/>
      <c r="K66" s="284"/>
      <c r="L66" s="286">
        <f>L64+L65</f>
        <v>77.0404612655</v>
      </c>
      <c r="M66" s="287"/>
      <c r="N66" s="401">
        <f t="shared" si="10"/>
        <v>2.3312539014999913</v>
      </c>
      <c r="O66" s="352">
        <f t="shared" si="11"/>
        <v>0.031204372041341567</v>
      </c>
      <c r="S66" s="261"/>
    </row>
    <row r="67" spans="2:15" s="210" customFormat="1" ht="15.75" customHeight="1" hidden="1">
      <c r="B67" s="593" t="s">
        <v>127</v>
      </c>
      <c r="C67" s="593"/>
      <c r="D67" s="593"/>
      <c r="E67" s="211"/>
      <c r="F67" s="288"/>
      <c r="G67" s="282"/>
      <c r="H67" s="407">
        <f>ROUND(-H66*10%,2)</f>
        <v>-7.47</v>
      </c>
      <c r="I67" s="284"/>
      <c r="J67" s="284"/>
      <c r="K67" s="284"/>
      <c r="L67" s="408">
        <f>ROUND(-L66*10%,2)</f>
        <v>-7.7</v>
      </c>
      <c r="M67" s="287"/>
      <c r="N67" s="387">
        <f t="shared" si="10"/>
        <v>-0.23000000000000043</v>
      </c>
      <c r="O67" s="354">
        <f t="shared" si="11"/>
        <v>0.03078982597054892</v>
      </c>
    </row>
    <row r="68" spans="2:15" s="210" customFormat="1" ht="15" hidden="1">
      <c r="B68" s="594" t="s">
        <v>46</v>
      </c>
      <c r="C68" s="594"/>
      <c r="D68" s="594"/>
      <c r="E68" s="291"/>
      <c r="F68" s="292"/>
      <c r="G68" s="293"/>
      <c r="H68" s="294">
        <f>H66+H67</f>
        <v>67.23920736400001</v>
      </c>
      <c r="I68" s="295"/>
      <c r="J68" s="295"/>
      <c r="K68" s="295"/>
      <c r="L68" s="296">
        <f>L66+L67</f>
        <v>69.3404612655</v>
      </c>
      <c r="M68" s="297"/>
      <c r="N68" s="402">
        <f t="shared" si="10"/>
        <v>2.1012539014999874</v>
      </c>
      <c r="O68" s="355">
        <f t="shared" si="11"/>
        <v>0.03125042640858081</v>
      </c>
    </row>
    <row r="69" spans="2:15" s="347" customFormat="1" ht="8.25" customHeight="1" hidden="1">
      <c r="B69" s="356"/>
      <c r="C69" s="357"/>
      <c r="D69" s="358"/>
      <c r="E69" s="357"/>
      <c r="F69" s="266"/>
      <c r="G69" s="299"/>
      <c r="H69" s="268"/>
      <c r="I69" s="300"/>
      <c r="J69" s="266"/>
      <c r="K69" s="301"/>
      <c r="L69" s="268"/>
      <c r="M69" s="300"/>
      <c r="N69" s="302"/>
      <c r="O69" s="272"/>
    </row>
    <row r="70" spans="2:15" s="347" customFormat="1" ht="15">
      <c r="B70" s="359" t="s">
        <v>47</v>
      </c>
      <c r="C70" s="344"/>
      <c r="D70" s="344"/>
      <c r="E70" s="344"/>
      <c r="F70" s="303"/>
      <c r="G70" s="304"/>
      <c r="H70" s="305">
        <f>SUM(H58,H52,H53:H57)</f>
        <v>66.1143428</v>
      </c>
      <c r="I70" s="306"/>
      <c r="J70" s="307"/>
      <c r="K70" s="307"/>
      <c r="L70" s="308">
        <f>SUM(L58,L52,L53:L57)</f>
        <v>68.17739935</v>
      </c>
      <c r="M70" s="309"/>
      <c r="N70" s="219">
        <f>L70-H70</f>
        <v>2.063056549999999</v>
      </c>
      <c r="O70" s="350">
        <f>IF((H70)=0,"",(N70/H70))</f>
        <v>0.031204372041341667</v>
      </c>
    </row>
    <row r="71" spans="2:15" s="347" customFormat="1" ht="15">
      <c r="B71" s="360" t="s">
        <v>43</v>
      </c>
      <c r="C71" s="344"/>
      <c r="D71" s="344"/>
      <c r="E71" s="344"/>
      <c r="F71" s="310">
        <v>0.13</v>
      </c>
      <c r="G71" s="304"/>
      <c r="H71" s="311">
        <f>H70*F71</f>
        <v>8.594864564</v>
      </c>
      <c r="I71" s="312"/>
      <c r="J71" s="310">
        <v>0.13</v>
      </c>
      <c r="K71" s="313"/>
      <c r="L71" s="314">
        <f>L70*J71</f>
        <v>8.863061915500001</v>
      </c>
      <c r="M71" s="315"/>
      <c r="N71" s="219">
        <f>L71-H71</f>
        <v>0.26819735150000135</v>
      </c>
      <c r="O71" s="352">
        <f>IF((H71)=0,"",(N71/H71))</f>
        <v>0.031204372041341844</v>
      </c>
    </row>
    <row r="72" spans="2:15" s="347" customFormat="1" ht="15">
      <c r="B72" s="361" t="s">
        <v>126</v>
      </c>
      <c r="C72" s="344"/>
      <c r="D72" s="344"/>
      <c r="E72" s="344"/>
      <c r="F72" s="316"/>
      <c r="G72" s="315"/>
      <c r="H72" s="311">
        <f>H70+H71</f>
        <v>74.70920736400001</v>
      </c>
      <c r="I72" s="312"/>
      <c r="J72" s="312"/>
      <c r="K72" s="312"/>
      <c r="L72" s="314">
        <f>L70+L71</f>
        <v>77.0404612655</v>
      </c>
      <c r="M72" s="315"/>
      <c r="N72" s="219">
        <f>L72-H72</f>
        <v>2.3312539014999913</v>
      </c>
      <c r="O72" s="352">
        <f>IF((H72)=0,"",(N72/H72))</f>
        <v>0.031204372041341567</v>
      </c>
    </row>
    <row r="73" spans="2:15" s="347" customFormat="1" ht="15.75" customHeight="1">
      <c r="B73" s="595" t="s">
        <v>127</v>
      </c>
      <c r="C73" s="595"/>
      <c r="D73" s="595"/>
      <c r="E73" s="344"/>
      <c r="F73" s="316"/>
      <c r="G73" s="315"/>
      <c r="H73" s="425">
        <v>0</v>
      </c>
      <c r="I73" s="312"/>
      <c r="J73" s="312"/>
      <c r="K73" s="312"/>
      <c r="L73" s="409">
        <v>0</v>
      </c>
      <c r="M73" s="315"/>
      <c r="N73" s="219">
        <f>L73-H73</f>
        <v>0</v>
      </c>
      <c r="O73" s="352">
        <f>IF((H73)=0,"",(N73/H73))</f>
      </c>
    </row>
    <row r="74" spans="2:15" s="347" customFormat="1" ht="15.75" thickBot="1">
      <c r="B74" s="586" t="s">
        <v>48</v>
      </c>
      <c r="C74" s="586"/>
      <c r="D74" s="586"/>
      <c r="E74" s="362"/>
      <c r="F74" s="319"/>
      <c r="G74" s="320"/>
      <c r="H74" s="321">
        <f>SUM(H72:H73)</f>
        <v>74.70920736400001</v>
      </c>
      <c r="I74" s="322"/>
      <c r="J74" s="322"/>
      <c r="K74" s="322"/>
      <c r="L74" s="323">
        <f>SUM(L72:L73)</f>
        <v>77.0404612655</v>
      </c>
      <c r="M74" s="324"/>
      <c r="N74" s="405">
        <f>L74-H74</f>
        <v>2.3312539014999913</v>
      </c>
      <c r="O74" s="363">
        <f>IF((H74)=0,"",(N74/H74))</f>
        <v>0.031204372041341567</v>
      </c>
    </row>
    <row r="75" spans="2:15" s="347" customFormat="1" ht="8.25" customHeight="1" thickBot="1">
      <c r="B75" s="356"/>
      <c r="C75" s="357"/>
      <c r="D75" s="358"/>
      <c r="E75" s="357"/>
      <c r="F75" s="325"/>
      <c r="G75" s="364"/>
      <c r="H75" s="326"/>
      <c r="I75" s="365"/>
      <c r="J75" s="325"/>
      <c r="K75" s="299"/>
      <c r="L75" s="327"/>
      <c r="M75" s="300"/>
      <c r="N75" s="366"/>
      <c r="O75" s="272"/>
    </row>
    <row r="76" s="210" customFormat="1" ht="10.5" customHeight="1">
      <c r="L76" s="261"/>
    </row>
    <row r="77" spans="2:10" s="210" customFormat="1" ht="15">
      <c r="B77" s="367" t="s">
        <v>49</v>
      </c>
      <c r="F77" s="328">
        <v>0.0495</v>
      </c>
      <c r="J77" s="328">
        <v>0.0495</v>
      </c>
    </row>
    <row r="78" s="210" customFormat="1" ht="10.5" customHeight="1"/>
    <row r="79" spans="2:15" s="210" customFormat="1" ht="12.75" customHeight="1">
      <c r="B79" s="423" t="s">
        <v>130</v>
      </c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</row>
    <row r="80" s="210" customFormat="1" ht="15"/>
    <row r="81" s="210" customFormat="1" ht="17.25">
      <c r="A81" s="368" t="s">
        <v>128</v>
      </c>
    </row>
    <row r="82" s="210" customFormat="1" ht="10.5" customHeight="1"/>
    <row r="83" s="210" customFormat="1" ht="15">
      <c r="A83" s="210" t="s">
        <v>51</v>
      </c>
    </row>
    <row r="84" s="210" customFormat="1" ht="15">
      <c r="A84" s="210" t="s">
        <v>52</v>
      </c>
    </row>
    <row r="85" s="210" customFormat="1" ht="15"/>
    <row r="86" s="210" customFormat="1" ht="15">
      <c r="A86" s="330" t="s">
        <v>53</v>
      </c>
    </row>
    <row r="87" s="210" customFormat="1" ht="15">
      <c r="A87" s="330" t="s">
        <v>54</v>
      </c>
    </row>
    <row r="88" s="210" customFormat="1" ht="15"/>
    <row r="89" s="210" customFormat="1" ht="15">
      <c r="A89" s="210" t="s">
        <v>55</v>
      </c>
    </row>
    <row r="90" s="210" customFormat="1" ht="15">
      <c r="A90" s="210" t="s">
        <v>56</v>
      </c>
    </row>
    <row r="91" s="210" customFormat="1" ht="15">
      <c r="A91" s="210" t="s">
        <v>57</v>
      </c>
    </row>
    <row r="92" s="210" customFormat="1" ht="15">
      <c r="A92" s="210" t="s">
        <v>58</v>
      </c>
    </row>
    <row r="93" s="210" customFormat="1" ht="15">
      <c r="A93" s="210" t="s">
        <v>59</v>
      </c>
    </row>
    <row r="94" s="210" customFormat="1" ht="15"/>
    <row r="95" spans="1:2" s="210" customFormat="1" ht="15">
      <c r="A95" s="329"/>
      <c r="B95" s="210" t="s">
        <v>60</v>
      </c>
    </row>
  </sheetData>
  <sheetProtection/>
  <mergeCells count="21">
    <mergeCell ref="A3:K3"/>
    <mergeCell ref="B10:O10"/>
    <mergeCell ref="B11:O11"/>
    <mergeCell ref="D14:O14"/>
    <mergeCell ref="F20:H20"/>
    <mergeCell ref="J20:L20"/>
    <mergeCell ref="N20:O20"/>
    <mergeCell ref="B9:O9"/>
    <mergeCell ref="B74:D74"/>
    <mergeCell ref="D21:D22"/>
    <mergeCell ref="N21:N22"/>
    <mergeCell ref="O21:O22"/>
    <mergeCell ref="B67:D67"/>
    <mergeCell ref="B68:D68"/>
    <mergeCell ref="B73:D73"/>
    <mergeCell ref="N1:O1"/>
    <mergeCell ref="N2:O2"/>
    <mergeCell ref="N3:O3"/>
    <mergeCell ref="N4:O4"/>
    <mergeCell ref="N5:O5"/>
    <mergeCell ref="N7:O7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5 E69 E61:E62">
      <formula1>'ST (1kW)'!#REF!</formula1>
    </dataValidation>
    <dataValidation type="list" allowBlank="1" showInputMessage="1" showErrorMessage="1" prompt="Select Charge Unit - monthly, per kWh, per kW" sqref="D50:D51 D53:D63 D69 D23:D40 D75 D42:D48">
      <formula1>"Monthly, per kWh, per kW"</formula1>
    </dataValidation>
    <dataValidation type="list" allowBlank="1" showInputMessage="1" showErrorMessage="1" sqref="E50:E51 E42:E48 E63 E23:E40 E53:E60">
      <formula1>'ST (1kW)'!#REF!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8"/>
  <sheetViews>
    <sheetView showGridLines="0" zoomScalePageLayoutView="0" workbookViewId="0" topLeftCell="A1">
      <selection activeCell="M20" sqref="M20"/>
    </sheetView>
  </sheetViews>
  <sheetFormatPr defaultColWidth="9.140625" defaultRowHeight="15"/>
  <cols>
    <col min="1" max="1" width="1.421875" style="474" customWidth="1"/>
    <col min="2" max="2" width="14.00390625" style="474" customWidth="1"/>
    <col min="3" max="3" width="9.140625" style="474" customWidth="1"/>
    <col min="4" max="4" width="12.8515625" style="474" bestFit="1" customWidth="1"/>
    <col min="5" max="5" width="6.7109375" style="474" bestFit="1" customWidth="1"/>
    <col min="6" max="6" width="11.421875" style="474" customWidth="1"/>
    <col min="7" max="7" width="8.7109375" style="474" bestFit="1" customWidth="1"/>
    <col min="8" max="8" width="7.28125" style="474" bestFit="1" customWidth="1"/>
    <col min="9" max="9" width="8.7109375" style="474" bestFit="1" customWidth="1"/>
    <col min="10" max="10" width="7.28125" style="474" bestFit="1" customWidth="1"/>
    <col min="11" max="16384" width="9.140625" style="474" customWidth="1"/>
  </cols>
  <sheetData>
    <row r="1" ht="6.75" customHeight="1"/>
    <row r="2" spans="2:10" ht="12.75">
      <c r="B2" s="475" t="s">
        <v>157</v>
      </c>
      <c r="C2" s="476"/>
      <c r="D2" s="476"/>
      <c r="E2" s="476"/>
      <c r="F2" s="476"/>
      <c r="G2" s="476"/>
      <c r="H2" s="477"/>
      <c r="I2" s="476"/>
      <c r="J2" s="477"/>
    </row>
    <row r="3" spans="2:10" ht="48.75" customHeight="1">
      <c r="B3" s="552" t="s">
        <v>93</v>
      </c>
      <c r="C3" s="553"/>
      <c r="D3" s="556" t="s">
        <v>8</v>
      </c>
      <c r="E3" s="560" t="s">
        <v>164</v>
      </c>
      <c r="F3" s="553"/>
      <c r="G3" s="552" t="s">
        <v>165</v>
      </c>
      <c r="H3" s="553"/>
      <c r="I3" s="552" t="s">
        <v>118</v>
      </c>
      <c r="J3" s="553"/>
    </row>
    <row r="4" spans="2:10" ht="13.5" thickBot="1">
      <c r="B4" s="554"/>
      <c r="C4" s="555"/>
      <c r="D4" s="557"/>
      <c r="E4" s="478" t="s">
        <v>94</v>
      </c>
      <c r="F4" s="479" t="s">
        <v>95</v>
      </c>
      <c r="G4" s="480" t="s">
        <v>94</v>
      </c>
      <c r="H4" s="481" t="s">
        <v>95</v>
      </c>
      <c r="I4" s="480" t="s">
        <v>94</v>
      </c>
      <c r="J4" s="481" t="s">
        <v>95</v>
      </c>
    </row>
    <row r="5" spans="2:13" ht="12.75">
      <c r="B5" s="561" t="s">
        <v>61</v>
      </c>
      <c r="C5" s="562"/>
      <c r="D5" s="482" t="s">
        <v>116</v>
      </c>
      <c r="E5" s="483">
        <f>'Res (350kWh)'!N23+'Res (350kWh)'!N31</f>
        <v>2.0199999999999987</v>
      </c>
      <c r="F5" s="484">
        <f>'Res (350kWh)'!R41</f>
        <v>0.09923851633505287</v>
      </c>
      <c r="G5" s="483">
        <f>'Res (350kWh)'!N71</f>
        <v>11.860031750000005</v>
      </c>
      <c r="H5" s="485">
        <f>'Res (350kWh)'!O71</f>
        <v>0.18135021558155215</v>
      </c>
      <c r="I5" s="483">
        <f>'Res (350kWh)'!N69</f>
        <v>4.5900317500000085</v>
      </c>
      <c r="J5" s="485">
        <f>'Res (350kWh)'!O69</f>
        <v>0.06316398250614388</v>
      </c>
      <c r="M5" s="508"/>
    </row>
    <row r="6" spans="2:13" ht="12.75">
      <c r="B6" s="561" t="s">
        <v>61</v>
      </c>
      <c r="C6" s="562"/>
      <c r="D6" s="482" t="s">
        <v>96</v>
      </c>
      <c r="E6" s="493">
        <f>'Res (800kWh)'!N23+'Res (800kWh)'!N31</f>
        <v>0.13000000000000078</v>
      </c>
      <c r="F6" s="494">
        <f>'Res (800kWh)'!R41</f>
        <v>0.004355108877721836</v>
      </c>
      <c r="G6" s="493">
        <f>'Res (800kWh)'!N71</f>
        <v>20.049144000000013</v>
      </c>
      <c r="H6" s="495">
        <f>'Res (800kWh)'!O71</f>
        <v>0.1528428428273916</v>
      </c>
      <c r="I6" s="493">
        <f>'Res (800kWh)'!N69</f>
        <v>5.479144000000019</v>
      </c>
      <c r="J6" s="495">
        <f>'Res (800kWh)'!O69</f>
        <v>0.037594071239431565</v>
      </c>
      <c r="M6" s="509"/>
    </row>
    <row r="7" spans="2:10" ht="13.5" thickBot="1">
      <c r="B7" s="563" t="s">
        <v>68</v>
      </c>
      <c r="C7" s="564"/>
      <c r="D7" s="486" t="s">
        <v>97</v>
      </c>
      <c r="E7" s="487">
        <f>'GS&lt;50 (2,000kWh)'!N23+'GS&lt;50 (2,000kWh)'!N31</f>
        <v>0</v>
      </c>
      <c r="F7" s="488">
        <v>0</v>
      </c>
      <c r="G7" s="489">
        <f>'GS&lt;50 (2,000kWh)'!N71</f>
        <v>63.750178999999946</v>
      </c>
      <c r="H7" s="490">
        <f>'GS&lt;50 (2,000kWh)'!O71</f>
        <v>0.20722750774695656</v>
      </c>
      <c r="I7" s="489">
        <f>'GS&lt;50 (2,000kWh)'!N69</f>
        <v>29.57017899999994</v>
      </c>
      <c r="J7" s="490">
        <f>'GS&lt;50 (2,000kWh)'!O69</f>
        <v>0.08650961952270413</v>
      </c>
    </row>
    <row r="8" spans="2:10" ht="12.75">
      <c r="B8" s="491"/>
      <c r="C8" s="492"/>
      <c r="D8" s="482"/>
      <c r="E8" s="493"/>
      <c r="F8" s="494"/>
      <c r="G8" s="493"/>
      <c r="H8" s="495"/>
      <c r="I8" s="493"/>
      <c r="J8" s="495"/>
    </row>
    <row r="9" spans="2:10" ht="12.75">
      <c r="B9" s="558" t="s">
        <v>119</v>
      </c>
      <c r="C9" s="559"/>
      <c r="D9" s="496" t="s">
        <v>98</v>
      </c>
      <c r="E9" s="493">
        <f>'GS 50-4999 (60kW)'!N23+'GS 50-4999 (60kW)'!N31</f>
        <v>0</v>
      </c>
      <c r="F9" s="494">
        <v>0</v>
      </c>
      <c r="G9" s="497">
        <f>'GS 50-4999 (60kW)'!N75</f>
        <v>156.75995285999943</v>
      </c>
      <c r="H9" s="498">
        <f>'GS 50-4999 (60kW)'!O75</f>
        <v>0.04811664854265983</v>
      </c>
      <c r="I9" s="497">
        <f>'GS 50-4999 (60kW)'!N73</f>
        <v>156.75995285999943</v>
      </c>
      <c r="J9" s="498">
        <f>'GS 50-4999 (60kW)'!O73</f>
        <v>0.04811664854265983</v>
      </c>
    </row>
    <row r="10" spans="2:10" ht="12.75">
      <c r="B10" s="558" t="s">
        <v>113</v>
      </c>
      <c r="C10" s="559"/>
      <c r="D10" s="496" t="s">
        <v>120</v>
      </c>
      <c r="E10" s="493">
        <f>Sentinel!N23+Sentinel!N31</f>
        <v>0</v>
      </c>
      <c r="F10" s="494">
        <v>0</v>
      </c>
      <c r="G10" s="497">
        <f>Sentinel!N75</f>
        <v>6.994987275000014</v>
      </c>
      <c r="H10" s="498">
        <f>Sentinel!O75</f>
        <v>0.161359073214091</v>
      </c>
      <c r="I10" s="497">
        <f>Sentinel!N73</f>
        <v>2.1749872750000137</v>
      </c>
      <c r="J10" s="498">
        <f>Sentinel!O73</f>
        <v>0.045151905363349135</v>
      </c>
    </row>
    <row r="11" spans="2:10" ht="12.75">
      <c r="B11" s="558" t="s">
        <v>99</v>
      </c>
      <c r="C11" s="559"/>
      <c r="D11" s="496" t="s">
        <v>100</v>
      </c>
      <c r="E11" s="493">
        <f>'USL (800kWh)'!N41</f>
        <v>0</v>
      </c>
      <c r="F11" s="494">
        <v>0</v>
      </c>
      <c r="G11" s="497">
        <f>'USL (800kWh)'!N74</f>
        <v>5.635219599999971</v>
      </c>
      <c r="H11" s="498">
        <f>'USL (800kWh)'!O74</f>
        <v>0.041199886849267404</v>
      </c>
      <c r="I11" s="497">
        <f>'USL (800kWh)'!N72</f>
        <v>5.635219599999971</v>
      </c>
      <c r="J11" s="498">
        <f>'USL (800kWh)'!O72</f>
        <v>0.041199886849267404</v>
      </c>
    </row>
    <row r="12" spans="2:10" ht="13.5" thickBot="1">
      <c r="B12" s="550" t="s">
        <v>110</v>
      </c>
      <c r="C12" s="551"/>
      <c r="D12" s="499" t="s">
        <v>101</v>
      </c>
      <c r="E12" s="500">
        <f>'ST (1kW)'!N23+'ST (1kW)'!N31</f>
        <v>0</v>
      </c>
      <c r="F12" s="501">
        <v>0</v>
      </c>
      <c r="G12" s="502">
        <f>'ST (1kW)'!N74</f>
        <v>2.3312539014999913</v>
      </c>
      <c r="H12" s="503">
        <f>'ST (1kW)'!O74</f>
        <v>0.031204372041341567</v>
      </c>
      <c r="I12" s="502">
        <f>'ST (1kW)'!N72</f>
        <v>2.3312539014999913</v>
      </c>
      <c r="J12" s="503">
        <f>'ST (1kW)'!O72</f>
        <v>0.031204372041341567</v>
      </c>
    </row>
    <row r="13" spans="2:10" ht="12.75">
      <c r="B13" s="504"/>
      <c r="C13" s="504"/>
      <c r="D13" s="505"/>
      <c r="E13" s="505"/>
      <c r="F13" s="505"/>
      <c r="G13" s="506"/>
      <c r="H13" s="507"/>
      <c r="I13" s="506"/>
      <c r="J13" s="507"/>
    </row>
    <row r="14" ht="7.5" customHeight="1"/>
    <row r="15" spans="2:10" ht="12.75">
      <c r="B15" s="475" t="s">
        <v>158</v>
      </c>
      <c r="C15" s="476"/>
      <c r="D15" s="476"/>
      <c r="E15" s="476"/>
      <c r="F15" s="476"/>
      <c r="G15" s="476"/>
      <c r="H15" s="476"/>
      <c r="I15" s="476"/>
      <c r="J15" s="477"/>
    </row>
    <row r="16" spans="2:10" ht="39" customHeight="1">
      <c r="B16" s="552" t="s">
        <v>93</v>
      </c>
      <c r="C16" s="553"/>
      <c r="D16" s="556" t="s">
        <v>8</v>
      </c>
      <c r="E16" s="560" t="s">
        <v>164</v>
      </c>
      <c r="F16" s="553"/>
      <c r="G16" s="552" t="s">
        <v>165</v>
      </c>
      <c r="H16" s="553"/>
      <c r="I16" s="552" t="s">
        <v>118</v>
      </c>
      <c r="J16" s="553"/>
    </row>
    <row r="17" spans="2:10" ht="13.5" thickBot="1">
      <c r="B17" s="554"/>
      <c r="C17" s="555"/>
      <c r="D17" s="557"/>
      <c r="E17" s="478" t="s">
        <v>94</v>
      </c>
      <c r="F17" s="479" t="s">
        <v>95</v>
      </c>
      <c r="G17" s="480" t="s">
        <v>94</v>
      </c>
      <c r="H17" s="481" t="s">
        <v>95</v>
      </c>
      <c r="I17" s="480" t="s">
        <v>94</v>
      </c>
      <c r="J17" s="481" t="s">
        <v>95</v>
      </c>
    </row>
    <row r="18" spans="2:10" ht="12.75">
      <c r="B18" s="561" t="s">
        <v>61</v>
      </c>
      <c r="C18" s="562"/>
      <c r="D18" s="482" t="s">
        <v>116</v>
      </c>
      <c r="E18" s="483">
        <v>2.5150000000000023</v>
      </c>
      <c r="F18" s="484">
        <v>0.12355686563497925</v>
      </c>
      <c r="G18" s="483">
        <v>12.419381750000014</v>
      </c>
      <c r="H18" s="485">
        <v>0.18990316427711892</v>
      </c>
      <c r="I18" s="483">
        <v>5.149381750000018</v>
      </c>
      <c r="J18" s="485">
        <v>0.07086126556193367</v>
      </c>
    </row>
    <row r="19" spans="2:10" ht="12.75">
      <c r="B19" s="561" t="s">
        <v>61</v>
      </c>
      <c r="C19" s="562"/>
      <c r="D19" s="482" t="s">
        <v>96</v>
      </c>
      <c r="E19" s="493">
        <v>0.12999999999999867</v>
      </c>
      <c r="F19" s="494">
        <v>0.00462633451957295</v>
      </c>
      <c r="G19" s="493">
        <v>20.049144000000013</v>
      </c>
      <c r="H19" s="495">
        <v>0.1528428428273916</v>
      </c>
      <c r="I19" s="493">
        <v>5.479144000000019</v>
      </c>
      <c r="J19" s="495">
        <v>0.037594071239431565</v>
      </c>
    </row>
    <row r="20" spans="2:10" ht="13.5" thickBot="1">
      <c r="B20" s="563" t="s">
        <v>68</v>
      </c>
      <c r="C20" s="564"/>
      <c r="D20" s="486" t="s">
        <v>97</v>
      </c>
      <c r="E20" s="487">
        <v>0</v>
      </c>
      <c r="F20" s="488">
        <v>0</v>
      </c>
      <c r="G20" s="489">
        <v>63.750178999999946</v>
      </c>
      <c r="H20" s="490">
        <v>0.20722750774695656</v>
      </c>
      <c r="I20" s="489">
        <v>29.57017899999994</v>
      </c>
      <c r="J20" s="490">
        <v>0.08650961952270413</v>
      </c>
    </row>
    <row r="21" spans="2:10" ht="12.75">
      <c r="B21" s="491"/>
      <c r="C21" s="492"/>
      <c r="D21" s="482"/>
      <c r="E21" s="493"/>
      <c r="F21" s="494"/>
      <c r="G21" s="493"/>
      <c r="H21" s="495"/>
      <c r="I21" s="493"/>
      <c r="J21" s="495"/>
    </row>
    <row r="22" spans="2:10" ht="12.75">
      <c r="B22" s="558" t="s">
        <v>119</v>
      </c>
      <c r="C22" s="559"/>
      <c r="D22" s="496" t="s">
        <v>98</v>
      </c>
      <c r="E22" s="493">
        <v>0</v>
      </c>
      <c r="F22" s="494">
        <v>0</v>
      </c>
      <c r="G22" s="497">
        <v>156.75995285999943</v>
      </c>
      <c r="H22" s="498">
        <v>0.04811664854265983</v>
      </c>
      <c r="I22" s="497">
        <v>156.75995285999943</v>
      </c>
      <c r="J22" s="498">
        <v>0.04811664854265983</v>
      </c>
    </row>
    <row r="23" spans="2:10" ht="12.75">
      <c r="B23" s="558" t="s">
        <v>113</v>
      </c>
      <c r="C23" s="559"/>
      <c r="D23" s="496" t="s">
        <v>120</v>
      </c>
      <c r="E23" s="493">
        <v>0</v>
      </c>
      <c r="F23" s="494">
        <v>0</v>
      </c>
      <c r="G23" s="497">
        <v>6.994987275000014</v>
      </c>
      <c r="H23" s="498">
        <v>0.161359073214091</v>
      </c>
      <c r="I23" s="497">
        <v>2.1749872750000137</v>
      </c>
      <c r="J23" s="498">
        <v>0.045151905363349135</v>
      </c>
    </row>
    <row r="24" spans="2:10" ht="12.75">
      <c r="B24" s="558" t="s">
        <v>99</v>
      </c>
      <c r="C24" s="559"/>
      <c r="D24" s="496" t="s">
        <v>100</v>
      </c>
      <c r="E24" s="493">
        <v>0</v>
      </c>
      <c r="F24" s="494">
        <v>0</v>
      </c>
      <c r="G24" s="497">
        <v>5.635219599999971</v>
      </c>
      <c r="H24" s="498">
        <v>0.041199886849267404</v>
      </c>
      <c r="I24" s="497">
        <v>5.635219599999971</v>
      </c>
      <c r="J24" s="498">
        <v>0.041199886849267404</v>
      </c>
    </row>
    <row r="25" spans="2:10" ht="13.5" thickBot="1">
      <c r="B25" s="550" t="s">
        <v>110</v>
      </c>
      <c r="C25" s="551"/>
      <c r="D25" s="499" t="s">
        <v>101</v>
      </c>
      <c r="E25" s="500">
        <v>0</v>
      </c>
      <c r="F25" s="501">
        <v>0</v>
      </c>
      <c r="G25" s="502">
        <v>2.3312539014999913</v>
      </c>
      <c r="H25" s="503">
        <v>0.031204372041341567</v>
      </c>
      <c r="I25" s="502">
        <v>2.3312539014999913</v>
      </c>
      <c r="J25" s="503">
        <v>0.031204372041341567</v>
      </c>
    </row>
    <row r="28" spans="2:10" ht="12.75">
      <c r="B28" s="475" t="s">
        <v>137</v>
      </c>
      <c r="C28" s="476"/>
      <c r="D28" s="476"/>
      <c r="E28" s="476"/>
      <c r="F28" s="476"/>
      <c r="G28" s="476"/>
      <c r="H28" s="476"/>
      <c r="I28" s="476"/>
      <c r="J28" s="477"/>
    </row>
    <row r="29" spans="2:10" ht="49.5" customHeight="1">
      <c r="B29" s="552" t="s">
        <v>93</v>
      </c>
      <c r="C29" s="553"/>
      <c r="D29" s="556" t="s">
        <v>8</v>
      </c>
      <c r="E29" s="560" t="s">
        <v>111</v>
      </c>
      <c r="F29" s="553"/>
      <c r="G29" s="552" t="s">
        <v>117</v>
      </c>
      <c r="H29" s="553"/>
      <c r="I29" s="552" t="s">
        <v>118</v>
      </c>
      <c r="J29" s="553"/>
    </row>
    <row r="30" spans="2:10" ht="13.5" thickBot="1">
      <c r="B30" s="554"/>
      <c r="C30" s="555"/>
      <c r="D30" s="557"/>
      <c r="E30" s="478" t="s">
        <v>94</v>
      </c>
      <c r="F30" s="479" t="s">
        <v>95</v>
      </c>
      <c r="G30" s="480" t="s">
        <v>94</v>
      </c>
      <c r="H30" s="481" t="s">
        <v>95</v>
      </c>
      <c r="I30" s="480" t="s">
        <v>94</v>
      </c>
      <c r="J30" s="481" t="s">
        <v>95</v>
      </c>
    </row>
    <row r="31" spans="2:10" ht="12.75">
      <c r="B31" s="561" t="s">
        <v>61</v>
      </c>
      <c r="C31" s="562"/>
      <c r="D31" s="482" t="s">
        <v>116</v>
      </c>
      <c r="E31" s="483">
        <v>2.5150000000000006</v>
      </c>
      <c r="F31" s="484">
        <v>0.12355686563497914</v>
      </c>
      <c r="G31" s="483">
        <v>12.29485857500002</v>
      </c>
      <c r="H31" s="485">
        <v>0.18799909647130145</v>
      </c>
      <c r="I31" s="483">
        <v>5.02</v>
      </c>
      <c r="J31" s="485">
        <v>0.0768</v>
      </c>
    </row>
    <row r="32" spans="2:10" ht="12.75">
      <c r="B32" s="561" t="s">
        <v>61</v>
      </c>
      <c r="C32" s="562"/>
      <c r="D32" s="482" t="s">
        <v>96</v>
      </c>
      <c r="E32" s="493">
        <v>0.129999999999999</v>
      </c>
      <c r="F32" s="494">
        <v>0.00435510887772191</v>
      </c>
      <c r="G32" s="493">
        <v>19.7645196</v>
      </c>
      <c r="H32" s="495">
        <v>0.15067303435905785</v>
      </c>
      <c r="I32" s="493">
        <v>5.19</v>
      </c>
      <c r="J32" s="495">
        <v>0.0396</v>
      </c>
    </row>
    <row r="33" spans="2:10" ht="13.5" thickBot="1">
      <c r="B33" s="563" t="s">
        <v>68</v>
      </c>
      <c r="C33" s="564"/>
      <c r="D33" s="486" t="s">
        <v>97</v>
      </c>
      <c r="E33" s="487">
        <v>0</v>
      </c>
      <c r="F33" s="488">
        <v>0</v>
      </c>
      <c r="G33" s="489">
        <v>63.03861800000004</v>
      </c>
      <c r="H33" s="490">
        <v>0.20491449443541884</v>
      </c>
      <c r="I33" s="489">
        <v>28.86</v>
      </c>
      <c r="J33" s="490">
        <v>0.0938</v>
      </c>
    </row>
    <row r="34" spans="2:10" ht="12.75">
      <c r="B34" s="491"/>
      <c r="C34" s="492"/>
      <c r="D34" s="482"/>
      <c r="E34" s="493"/>
      <c r="F34" s="494"/>
      <c r="G34" s="493"/>
      <c r="H34" s="495"/>
      <c r="I34" s="493"/>
      <c r="J34" s="495"/>
    </row>
    <row r="35" spans="2:10" ht="12.75">
      <c r="B35" s="558" t="s">
        <v>119</v>
      </c>
      <c r="C35" s="559"/>
      <c r="D35" s="496" t="s">
        <v>98</v>
      </c>
      <c r="E35" s="493">
        <v>0</v>
      </c>
      <c r="F35" s="494">
        <v>0</v>
      </c>
      <c r="G35" s="497">
        <v>475.8275828599999</v>
      </c>
      <c r="H35" s="498">
        <v>0.16228079522911898</v>
      </c>
      <c r="I35" s="497">
        <v>0</v>
      </c>
      <c r="J35" s="498">
        <v>0</v>
      </c>
    </row>
    <row r="36" spans="2:10" ht="12.75">
      <c r="B36" s="558" t="s">
        <v>113</v>
      </c>
      <c r="C36" s="559"/>
      <c r="D36" s="496" t="s">
        <v>120</v>
      </c>
      <c r="E36" s="493">
        <v>0</v>
      </c>
      <c r="F36" s="494">
        <v>0</v>
      </c>
      <c r="G36" s="497">
        <v>7.0241825425</v>
      </c>
      <c r="H36" s="498">
        <v>0.16346036633165753</v>
      </c>
      <c r="I36" s="497">
        <v>0</v>
      </c>
      <c r="J36" s="498">
        <v>0</v>
      </c>
    </row>
    <row r="37" spans="2:10" ht="12.75">
      <c r="B37" s="558" t="s">
        <v>99</v>
      </c>
      <c r="C37" s="559"/>
      <c r="D37" s="496" t="s">
        <v>100</v>
      </c>
      <c r="E37" s="493">
        <v>0</v>
      </c>
      <c r="F37" s="494">
        <v>0</v>
      </c>
      <c r="G37" s="497">
        <v>19.030595199999993</v>
      </c>
      <c r="H37" s="498">
        <v>0.15459767589331325</v>
      </c>
      <c r="I37" s="497">
        <v>0</v>
      </c>
      <c r="J37" s="498">
        <v>0</v>
      </c>
    </row>
    <row r="38" spans="2:10" ht="13.5" thickBot="1">
      <c r="B38" s="550" t="s">
        <v>110</v>
      </c>
      <c r="C38" s="551"/>
      <c r="D38" s="499" t="s">
        <v>101</v>
      </c>
      <c r="E38" s="500">
        <v>0</v>
      </c>
      <c r="F38" s="501">
        <v>0</v>
      </c>
      <c r="G38" s="502">
        <v>9.826534826499994</v>
      </c>
      <c r="H38" s="503">
        <v>0.14614293076514073</v>
      </c>
      <c r="I38" s="502">
        <v>0</v>
      </c>
      <c r="J38" s="503">
        <v>0</v>
      </c>
    </row>
  </sheetData>
  <sheetProtection/>
  <mergeCells count="36">
    <mergeCell ref="G3:H3"/>
    <mergeCell ref="B3:C4"/>
    <mergeCell ref="D3:D4"/>
    <mergeCell ref="B6:C6"/>
    <mergeCell ref="B7:C7"/>
    <mergeCell ref="B5:C5"/>
    <mergeCell ref="I3:J3"/>
    <mergeCell ref="B9:C9"/>
    <mergeCell ref="B10:C10"/>
    <mergeCell ref="B11:C11"/>
    <mergeCell ref="B29:C30"/>
    <mergeCell ref="D29:D30"/>
    <mergeCell ref="E29:F29"/>
    <mergeCell ref="G29:H29"/>
    <mergeCell ref="I29:J29"/>
    <mergeCell ref="B12:C12"/>
    <mergeCell ref="I16:J16"/>
    <mergeCell ref="B31:C31"/>
    <mergeCell ref="B32:C32"/>
    <mergeCell ref="B33:C33"/>
    <mergeCell ref="B35:C35"/>
    <mergeCell ref="B36:C36"/>
    <mergeCell ref="B25:C25"/>
    <mergeCell ref="B23:C23"/>
    <mergeCell ref="B24:C24"/>
    <mergeCell ref="B22:C22"/>
    <mergeCell ref="B38:C38"/>
    <mergeCell ref="B16:C17"/>
    <mergeCell ref="D16:D17"/>
    <mergeCell ref="G16:H16"/>
    <mergeCell ref="B37:C37"/>
    <mergeCell ref="E3:F3"/>
    <mergeCell ref="E16:F16"/>
    <mergeCell ref="B18:C18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8"/>
  <sheetViews>
    <sheetView showGridLines="0" zoomScalePageLayoutView="0" workbookViewId="0" topLeftCell="A1">
      <selection activeCell="N4" sqref="N4:O4"/>
    </sheetView>
  </sheetViews>
  <sheetFormatPr defaultColWidth="9.140625" defaultRowHeight="15"/>
  <cols>
    <col min="1" max="1" width="2.140625" style="8" customWidth="1"/>
    <col min="2" max="2" width="65.00390625" style="49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8" width="8.00390625" style="8" bestFit="1" customWidth="1"/>
    <col min="9" max="9" width="2.8515625" style="8" customWidth="1"/>
    <col min="10" max="10" width="9.710937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57421875" style="8" bestFit="1" customWidth="1"/>
    <col min="15" max="15" width="10.00390625" style="8" bestFit="1" customWidth="1"/>
    <col min="16" max="16" width="6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46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T1" s="45">
        <v>1</v>
      </c>
    </row>
    <row r="2" spans="1:15" s="2" customFormat="1" ht="15" customHeight="1" hidden="1">
      <c r="A2" s="5"/>
      <c r="B2" s="47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</row>
    <row r="3" spans="1:15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</row>
    <row r="4" spans="1:15" s="2" customFormat="1" ht="15" customHeight="1">
      <c r="A4" s="5"/>
      <c r="B4" s="47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18</v>
      </c>
      <c r="O4" s="582"/>
    </row>
    <row r="5" spans="2:15" s="2" customFormat="1" ht="15" customHeight="1">
      <c r="B5" s="48"/>
      <c r="C5" s="7"/>
      <c r="D5" s="7"/>
      <c r="E5" s="7"/>
      <c r="L5" s="3" t="s">
        <v>76</v>
      </c>
      <c r="N5" s="584" t="s">
        <v>79</v>
      </c>
      <c r="O5" s="584"/>
    </row>
    <row r="6" spans="2:15" s="2" customFormat="1" ht="9" customHeight="1">
      <c r="B6" s="48"/>
      <c r="L6" s="3"/>
      <c r="N6" s="4"/>
      <c r="O6"/>
    </row>
    <row r="7" spans="2:15" s="2" customFormat="1" ht="15">
      <c r="B7" s="48"/>
      <c r="L7" s="3" t="s">
        <v>159</v>
      </c>
      <c r="N7" s="585">
        <v>42384</v>
      </c>
      <c r="O7" s="584"/>
    </row>
    <row r="8" spans="2:16" s="2" customFormat="1" ht="15" customHeight="1">
      <c r="B8" s="576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50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5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50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51"/>
      <c r="D17" s="11"/>
      <c r="E17" s="11"/>
      <c r="F17" s="11"/>
      <c r="G17" s="11"/>
      <c r="H17" s="11"/>
      <c r="I17" s="11"/>
      <c r="J17" s="42"/>
      <c r="K17" s="11"/>
      <c r="L17" s="11"/>
      <c r="M17" s="11"/>
      <c r="N17" s="11"/>
      <c r="O17" s="11"/>
    </row>
    <row r="18" spans="2:7" ht="15">
      <c r="B18" s="52"/>
      <c r="D18" s="14" t="s">
        <v>8</v>
      </c>
      <c r="E18" s="14"/>
      <c r="F18" s="15">
        <v>100</v>
      </c>
      <c r="G18" s="14" t="s">
        <v>9</v>
      </c>
    </row>
    <row r="19" ht="15">
      <c r="B19" s="52"/>
    </row>
    <row r="20" spans="2:15" s="49" customFormat="1" ht="15">
      <c r="B20" s="52"/>
      <c r="D20" s="136"/>
      <c r="E20" s="136"/>
      <c r="F20" s="578" t="s">
        <v>10</v>
      </c>
      <c r="G20" s="579"/>
      <c r="H20" s="580"/>
      <c r="J20" s="578" t="s">
        <v>11</v>
      </c>
      <c r="K20" s="579"/>
      <c r="L20" s="580"/>
      <c r="N20" s="578" t="s">
        <v>12</v>
      </c>
      <c r="O20" s="580"/>
    </row>
    <row r="21" spans="2:15" s="49" customFormat="1" ht="15">
      <c r="B21" s="52"/>
      <c r="D21" s="566" t="s">
        <v>13</v>
      </c>
      <c r="E21" s="135"/>
      <c r="F21" s="137" t="s">
        <v>14</v>
      </c>
      <c r="G21" s="137" t="s">
        <v>15</v>
      </c>
      <c r="H21" s="138" t="s">
        <v>16</v>
      </c>
      <c r="J21" s="137" t="s">
        <v>14</v>
      </c>
      <c r="K21" s="139" t="s">
        <v>15</v>
      </c>
      <c r="L21" s="138" t="s">
        <v>16</v>
      </c>
      <c r="N21" s="568" t="s">
        <v>17</v>
      </c>
      <c r="O21" s="570" t="s">
        <v>18</v>
      </c>
    </row>
    <row r="22" spans="2:15" s="49" customFormat="1" ht="15">
      <c r="B22" s="52"/>
      <c r="D22" s="567"/>
      <c r="E22" s="135"/>
      <c r="F22" s="140" t="s">
        <v>19</v>
      </c>
      <c r="G22" s="140"/>
      <c r="H22" s="141" t="s">
        <v>19</v>
      </c>
      <c r="J22" s="140" t="s">
        <v>19</v>
      </c>
      <c r="K22" s="141"/>
      <c r="L22" s="141" t="s">
        <v>19</v>
      </c>
      <c r="N22" s="569"/>
      <c r="O22" s="571"/>
    </row>
    <row r="23" spans="2:15" s="49" customFormat="1" ht="15">
      <c r="B23" s="53" t="s">
        <v>20</v>
      </c>
      <c r="C23" s="53"/>
      <c r="D23" s="76" t="s">
        <v>62</v>
      </c>
      <c r="E23" s="77"/>
      <c r="F23" s="78">
        <v>11.22</v>
      </c>
      <c r="G23" s="79">
        <v>1</v>
      </c>
      <c r="H23" s="80">
        <f>G23*F23</f>
        <v>11.22</v>
      </c>
      <c r="I23" s="62"/>
      <c r="J23" s="430">
        <f>11.22+3.49</f>
        <v>14.71</v>
      </c>
      <c r="K23" s="81">
        <v>1</v>
      </c>
      <c r="L23" s="80">
        <f>K23*J23</f>
        <v>14.71</v>
      </c>
      <c r="M23" s="62"/>
      <c r="N23" s="207">
        <f>L23-H23</f>
        <v>3.49</v>
      </c>
      <c r="O23" s="83">
        <f>IF((H23)=0,"",(N23/H23))</f>
        <v>0.31105169340463457</v>
      </c>
    </row>
    <row r="24" spans="2:15" s="49" customFormat="1" ht="30">
      <c r="B24" s="375" t="s">
        <v>64</v>
      </c>
      <c r="C24" s="53"/>
      <c r="D24" s="76" t="s">
        <v>62</v>
      </c>
      <c r="E24" s="77"/>
      <c r="F24" s="84">
        <v>1.75</v>
      </c>
      <c r="G24" s="79">
        <v>1</v>
      </c>
      <c r="H24" s="80">
        <f>G24*F24</f>
        <v>1.75</v>
      </c>
      <c r="I24" s="62"/>
      <c r="J24" s="85">
        <v>1.75</v>
      </c>
      <c r="K24" s="81">
        <v>1</v>
      </c>
      <c r="L24" s="80">
        <f>K24*J24</f>
        <v>1.75</v>
      </c>
      <c r="M24" s="62"/>
      <c r="N24" s="207">
        <f>L24-H24</f>
        <v>0</v>
      </c>
      <c r="O24" s="83">
        <f>IF((H24)=0,"",(N24/H24))</f>
        <v>0</v>
      </c>
    </row>
    <row r="25" spans="2:15" s="49" customFormat="1" ht="15" customHeight="1">
      <c r="B25" s="376" t="s">
        <v>66</v>
      </c>
      <c r="C25" s="53"/>
      <c r="D25" s="76" t="s">
        <v>62</v>
      </c>
      <c r="E25" s="77"/>
      <c r="F25" s="89">
        <v>0</v>
      </c>
      <c r="G25" s="79">
        <f>G24</f>
        <v>1</v>
      </c>
      <c r="H25" s="80">
        <f>G25*F25</f>
        <v>0</v>
      </c>
      <c r="I25" s="62"/>
      <c r="J25" s="467">
        <v>-0.04</v>
      </c>
      <c r="K25" s="79">
        <f>K24</f>
        <v>1</v>
      </c>
      <c r="L25" s="80">
        <f>K25*J25</f>
        <v>-0.04</v>
      </c>
      <c r="M25" s="62"/>
      <c r="N25" s="207">
        <f>L25-H25</f>
        <v>-0.04</v>
      </c>
      <c r="O25" s="83">
        <f>IF((H25)=0,"",(N25/H25))</f>
      </c>
    </row>
    <row r="26" spans="2:15" s="49" customFormat="1" ht="15" hidden="1">
      <c r="B26" s="375"/>
      <c r="C26" s="53"/>
      <c r="D26" s="86" t="s">
        <v>62</v>
      </c>
      <c r="E26" s="88"/>
      <c r="F26" s="85"/>
      <c r="G26" s="79">
        <v>1</v>
      </c>
      <c r="H26" s="80">
        <f aca="true" t="shared" si="0" ref="H26:H40">G26*F26</f>
        <v>0</v>
      </c>
      <c r="I26" s="62"/>
      <c r="J26" s="85"/>
      <c r="K26" s="81">
        <v>1</v>
      </c>
      <c r="L26" s="80">
        <f aca="true" t="shared" si="1" ref="L26:L40">K26*J26</f>
        <v>0</v>
      </c>
      <c r="M26" s="62"/>
      <c r="N26" s="207">
        <f aca="true" t="shared" si="2" ref="N26:N40">L26-H26</f>
        <v>0</v>
      </c>
      <c r="O26" s="83">
        <f aca="true" t="shared" si="3" ref="O26:O41">IF((H26)=0,"",(N26/H26))</f>
      </c>
    </row>
    <row r="27" spans="2:15" s="49" customFormat="1" ht="15" hidden="1">
      <c r="B27" s="375" t="s">
        <v>65</v>
      </c>
      <c r="C27" s="53"/>
      <c r="D27" s="76" t="s">
        <v>62</v>
      </c>
      <c r="E27" s="77"/>
      <c r="F27" s="89">
        <v>0</v>
      </c>
      <c r="G27" s="79">
        <v>1</v>
      </c>
      <c r="H27" s="80">
        <f t="shared" si="0"/>
        <v>0</v>
      </c>
      <c r="I27" s="62"/>
      <c r="J27" s="85">
        <v>0</v>
      </c>
      <c r="K27" s="81">
        <v>1</v>
      </c>
      <c r="L27" s="80">
        <f t="shared" si="1"/>
        <v>0</v>
      </c>
      <c r="M27" s="62"/>
      <c r="N27" s="207">
        <f t="shared" si="2"/>
        <v>0</v>
      </c>
      <c r="O27" s="83">
        <f t="shared" si="3"/>
      </c>
    </row>
    <row r="28" spans="2:15" s="49" customFormat="1" ht="15" hidden="1">
      <c r="B28" s="376"/>
      <c r="C28" s="53"/>
      <c r="D28" s="76" t="s">
        <v>62</v>
      </c>
      <c r="E28" s="77"/>
      <c r="F28" s="89">
        <v>0</v>
      </c>
      <c r="G28" s="79">
        <f>G27</f>
        <v>1</v>
      </c>
      <c r="H28" s="80">
        <f t="shared" si="0"/>
        <v>0</v>
      </c>
      <c r="I28" s="62"/>
      <c r="J28" s="85"/>
      <c r="K28" s="79">
        <f>K27</f>
        <v>1</v>
      </c>
      <c r="L28" s="80">
        <f t="shared" si="1"/>
        <v>0</v>
      </c>
      <c r="M28" s="62"/>
      <c r="N28" s="207">
        <f t="shared" si="2"/>
        <v>0</v>
      </c>
      <c r="O28" s="83">
        <f t="shared" si="3"/>
      </c>
    </row>
    <row r="29" spans="2:15" s="49" customFormat="1" ht="15">
      <c r="B29" s="53" t="s">
        <v>108</v>
      </c>
      <c r="C29" s="53"/>
      <c r="D29" s="76" t="s">
        <v>63</v>
      </c>
      <c r="E29" s="77"/>
      <c r="F29" s="89">
        <v>0</v>
      </c>
      <c r="G29" s="79">
        <f>$F$18</f>
        <v>100</v>
      </c>
      <c r="H29" s="80">
        <f t="shared" si="0"/>
        <v>0</v>
      </c>
      <c r="I29" s="62"/>
      <c r="J29" s="432">
        <v>0.0007</v>
      </c>
      <c r="K29" s="79">
        <f>$F$18</f>
        <v>100</v>
      </c>
      <c r="L29" s="80">
        <f t="shared" si="1"/>
        <v>0.06999999999999999</v>
      </c>
      <c r="M29" s="62"/>
      <c r="N29" s="207">
        <f t="shared" si="2"/>
        <v>0.06999999999999999</v>
      </c>
      <c r="O29" s="83">
        <f t="shared" si="3"/>
      </c>
    </row>
    <row r="30" spans="2:15" s="49" customFormat="1" ht="15" hidden="1">
      <c r="B30" s="56" t="s">
        <v>92</v>
      </c>
      <c r="C30" s="53"/>
      <c r="D30" s="76" t="s">
        <v>63</v>
      </c>
      <c r="E30" s="77"/>
      <c r="F30" s="89">
        <v>0</v>
      </c>
      <c r="G30" s="79">
        <f>$F$18</f>
        <v>100</v>
      </c>
      <c r="H30" s="80">
        <f t="shared" si="0"/>
        <v>0</v>
      </c>
      <c r="I30" s="62"/>
      <c r="J30" s="89">
        <v>0</v>
      </c>
      <c r="K30" s="79">
        <f>$F$18</f>
        <v>100</v>
      </c>
      <c r="L30" s="80">
        <f>K30*J30</f>
        <v>0</v>
      </c>
      <c r="M30" s="62"/>
      <c r="N30" s="207">
        <f>L30-H30</f>
        <v>0</v>
      </c>
      <c r="O30" s="83">
        <f>IF((H30)=0,"",(N30/H30))</f>
      </c>
    </row>
    <row r="31" spans="2:15" s="49" customFormat="1" ht="15">
      <c r="B31" s="53" t="s">
        <v>21</v>
      </c>
      <c r="C31" s="53"/>
      <c r="D31" s="76" t="s">
        <v>63</v>
      </c>
      <c r="E31" s="77"/>
      <c r="F31" s="89">
        <v>0.0211</v>
      </c>
      <c r="G31" s="79">
        <f>$F$18</f>
        <v>100</v>
      </c>
      <c r="H31" s="80">
        <f t="shared" si="0"/>
        <v>2.11</v>
      </c>
      <c r="I31" s="62"/>
      <c r="J31" s="431">
        <v>0.0169</v>
      </c>
      <c r="K31" s="79">
        <f>$F$18</f>
        <v>100</v>
      </c>
      <c r="L31" s="80">
        <f t="shared" si="1"/>
        <v>1.69</v>
      </c>
      <c r="M31" s="62"/>
      <c r="N31" s="207">
        <f t="shared" si="2"/>
        <v>-0.41999999999999993</v>
      </c>
      <c r="O31" s="83">
        <f t="shared" si="3"/>
        <v>-0.19905213270142177</v>
      </c>
    </row>
    <row r="32" spans="2:15" s="49" customFormat="1" ht="14.25" customHeight="1" hidden="1">
      <c r="B32" s="53" t="s">
        <v>22</v>
      </c>
      <c r="C32" s="53"/>
      <c r="D32" s="76"/>
      <c r="E32" s="77"/>
      <c r="F32" s="89"/>
      <c r="G32" s="79">
        <f>$F$18</f>
        <v>100</v>
      </c>
      <c r="H32" s="80">
        <f t="shared" si="0"/>
        <v>0</v>
      </c>
      <c r="I32" s="62"/>
      <c r="J32" s="87"/>
      <c r="K32" s="79">
        <f aca="true" t="shared" si="4" ref="K32:K40">$F$18</f>
        <v>100</v>
      </c>
      <c r="L32" s="80">
        <f t="shared" si="1"/>
        <v>0</v>
      </c>
      <c r="M32" s="62"/>
      <c r="N32" s="82">
        <f t="shared" si="2"/>
        <v>0</v>
      </c>
      <c r="O32" s="83">
        <f t="shared" si="3"/>
      </c>
    </row>
    <row r="33" spans="2:15" s="49" customFormat="1" ht="15" hidden="1">
      <c r="B33" s="53" t="s">
        <v>108</v>
      </c>
      <c r="C33" s="53"/>
      <c r="D33" s="76"/>
      <c r="E33" s="77"/>
      <c r="F33" s="89">
        <v>0</v>
      </c>
      <c r="G33" s="79">
        <f>$F$18</f>
        <v>100</v>
      </c>
      <c r="H33" s="80">
        <f t="shared" si="0"/>
        <v>0</v>
      </c>
      <c r="I33" s="62"/>
      <c r="J33" s="87">
        <v>0</v>
      </c>
      <c r="K33" s="79">
        <f t="shared" si="4"/>
        <v>100</v>
      </c>
      <c r="L33" s="80">
        <f t="shared" si="1"/>
        <v>0</v>
      </c>
      <c r="M33" s="62"/>
      <c r="N33" s="82">
        <f t="shared" si="2"/>
        <v>0</v>
      </c>
      <c r="O33" s="83">
        <f t="shared" si="3"/>
      </c>
    </row>
    <row r="34" spans="2:15" s="49" customFormat="1" ht="15" hidden="1">
      <c r="B34" s="57"/>
      <c r="C34" s="53"/>
      <c r="D34" s="76"/>
      <c r="E34" s="77"/>
      <c r="F34" s="89"/>
      <c r="G34" s="79">
        <f aca="true" t="shared" si="5" ref="G34:G40">$F$18</f>
        <v>100</v>
      </c>
      <c r="H34" s="80">
        <f t="shared" si="0"/>
        <v>0</v>
      </c>
      <c r="I34" s="62"/>
      <c r="J34" s="87"/>
      <c r="K34" s="79">
        <f t="shared" si="4"/>
        <v>100</v>
      </c>
      <c r="L34" s="80">
        <f t="shared" si="1"/>
        <v>0</v>
      </c>
      <c r="M34" s="62"/>
      <c r="N34" s="82">
        <f t="shared" si="2"/>
        <v>0</v>
      </c>
      <c r="O34" s="83">
        <f t="shared" si="3"/>
      </c>
    </row>
    <row r="35" spans="2:15" s="49" customFormat="1" ht="15" hidden="1">
      <c r="B35" s="57"/>
      <c r="C35" s="53"/>
      <c r="D35" s="76"/>
      <c r="E35" s="77"/>
      <c r="F35" s="89"/>
      <c r="G35" s="79">
        <f t="shared" si="5"/>
        <v>100</v>
      </c>
      <c r="H35" s="80">
        <f t="shared" si="0"/>
        <v>0</v>
      </c>
      <c r="I35" s="62"/>
      <c r="J35" s="87"/>
      <c r="K35" s="79">
        <f t="shared" si="4"/>
        <v>100</v>
      </c>
      <c r="L35" s="80">
        <f t="shared" si="1"/>
        <v>0</v>
      </c>
      <c r="M35" s="62"/>
      <c r="N35" s="82">
        <f t="shared" si="2"/>
        <v>0</v>
      </c>
      <c r="O35" s="83">
        <f t="shared" si="3"/>
      </c>
    </row>
    <row r="36" spans="2:15" s="49" customFormat="1" ht="15" hidden="1">
      <c r="B36" s="57"/>
      <c r="C36" s="53"/>
      <c r="D36" s="76"/>
      <c r="E36" s="77"/>
      <c r="F36" s="89"/>
      <c r="G36" s="79">
        <f t="shared" si="5"/>
        <v>100</v>
      </c>
      <c r="H36" s="80">
        <f t="shared" si="0"/>
        <v>0</v>
      </c>
      <c r="I36" s="62"/>
      <c r="J36" s="87"/>
      <c r="K36" s="79">
        <f t="shared" si="4"/>
        <v>100</v>
      </c>
      <c r="L36" s="80">
        <f t="shared" si="1"/>
        <v>0</v>
      </c>
      <c r="M36" s="62"/>
      <c r="N36" s="82">
        <f t="shared" si="2"/>
        <v>0</v>
      </c>
      <c r="O36" s="83">
        <f t="shared" si="3"/>
      </c>
    </row>
    <row r="37" spans="2:15" s="49" customFormat="1" ht="15" hidden="1">
      <c r="B37" s="57"/>
      <c r="C37" s="53"/>
      <c r="D37" s="76"/>
      <c r="E37" s="77"/>
      <c r="F37" s="89"/>
      <c r="G37" s="79">
        <f t="shared" si="5"/>
        <v>100</v>
      </c>
      <c r="H37" s="80">
        <f t="shared" si="0"/>
        <v>0</v>
      </c>
      <c r="I37" s="62"/>
      <c r="J37" s="87"/>
      <c r="K37" s="79">
        <f t="shared" si="4"/>
        <v>100</v>
      </c>
      <c r="L37" s="80">
        <f t="shared" si="1"/>
        <v>0</v>
      </c>
      <c r="M37" s="62"/>
      <c r="N37" s="82">
        <f t="shared" si="2"/>
        <v>0</v>
      </c>
      <c r="O37" s="83">
        <f t="shared" si="3"/>
      </c>
    </row>
    <row r="38" spans="2:15" s="49" customFormat="1" ht="15" hidden="1">
      <c r="B38" s="57"/>
      <c r="C38" s="53"/>
      <c r="D38" s="76"/>
      <c r="E38" s="77"/>
      <c r="F38" s="89"/>
      <c r="G38" s="79">
        <f t="shared" si="5"/>
        <v>100</v>
      </c>
      <c r="H38" s="80">
        <f t="shared" si="0"/>
        <v>0</v>
      </c>
      <c r="I38" s="62"/>
      <c r="J38" s="87"/>
      <c r="K38" s="79">
        <f t="shared" si="4"/>
        <v>100</v>
      </c>
      <c r="L38" s="80">
        <f t="shared" si="1"/>
        <v>0</v>
      </c>
      <c r="M38" s="62"/>
      <c r="N38" s="82">
        <f t="shared" si="2"/>
        <v>0</v>
      </c>
      <c r="O38" s="83">
        <f t="shared" si="3"/>
      </c>
    </row>
    <row r="39" spans="2:15" s="49" customFormat="1" ht="15" hidden="1">
      <c r="B39" s="57"/>
      <c r="C39" s="53"/>
      <c r="D39" s="76"/>
      <c r="E39" s="77"/>
      <c r="F39" s="89"/>
      <c r="G39" s="79">
        <f t="shared" si="5"/>
        <v>100</v>
      </c>
      <c r="H39" s="80">
        <f t="shared" si="0"/>
        <v>0</v>
      </c>
      <c r="I39" s="62"/>
      <c r="J39" s="87"/>
      <c r="K39" s="79">
        <f t="shared" si="4"/>
        <v>100</v>
      </c>
      <c r="L39" s="80">
        <f t="shared" si="1"/>
        <v>0</v>
      </c>
      <c r="M39" s="62"/>
      <c r="N39" s="82">
        <f t="shared" si="2"/>
        <v>0</v>
      </c>
      <c r="O39" s="83">
        <f t="shared" si="3"/>
      </c>
    </row>
    <row r="40" spans="2:15" s="49" customFormat="1" ht="15" hidden="1">
      <c r="B40" s="57"/>
      <c r="C40" s="53"/>
      <c r="D40" s="76"/>
      <c r="E40" s="77"/>
      <c r="F40" s="89"/>
      <c r="G40" s="79">
        <f t="shared" si="5"/>
        <v>100</v>
      </c>
      <c r="H40" s="80">
        <f t="shared" si="0"/>
        <v>0</v>
      </c>
      <c r="I40" s="62"/>
      <c r="J40" s="87"/>
      <c r="K40" s="79">
        <f t="shared" si="4"/>
        <v>100</v>
      </c>
      <c r="L40" s="80">
        <f t="shared" si="1"/>
        <v>0</v>
      </c>
      <c r="M40" s="62"/>
      <c r="N40" s="82">
        <f t="shared" si="2"/>
        <v>0</v>
      </c>
      <c r="O40" s="83">
        <f t="shared" si="3"/>
      </c>
    </row>
    <row r="41" spans="2:22" s="99" customFormat="1" ht="15">
      <c r="B41" s="58" t="s">
        <v>24</v>
      </c>
      <c r="C41" s="91"/>
      <c r="D41" s="92"/>
      <c r="E41" s="91"/>
      <c r="F41" s="93"/>
      <c r="G41" s="94"/>
      <c r="H41" s="95">
        <f>SUM(H23:H40)</f>
        <v>15.08</v>
      </c>
      <c r="I41" s="96"/>
      <c r="J41" s="97"/>
      <c r="K41" s="98"/>
      <c r="L41" s="95">
        <f>SUM(L23:L40)</f>
        <v>18.180000000000003</v>
      </c>
      <c r="M41" s="96"/>
      <c r="N41" s="142">
        <f>L41-H41</f>
        <v>3.100000000000003</v>
      </c>
      <c r="O41" s="143">
        <f t="shared" si="3"/>
        <v>0.20557029177718855</v>
      </c>
      <c r="V41" s="49"/>
    </row>
    <row r="42" spans="2:15" s="49" customFormat="1" ht="15" hidden="1">
      <c r="B42" s="55"/>
      <c r="C42" s="53"/>
      <c r="D42" s="86" t="s">
        <v>62</v>
      </c>
      <c r="E42" s="77"/>
      <c r="F42" s="89"/>
      <c r="G42" s="79">
        <v>1</v>
      </c>
      <c r="H42" s="80">
        <f>G42*F42</f>
        <v>0</v>
      </c>
      <c r="I42" s="62"/>
      <c r="J42" s="85"/>
      <c r="K42" s="81">
        <v>1</v>
      </c>
      <c r="L42" s="80">
        <f>K42*J42</f>
        <v>0</v>
      </c>
      <c r="M42" s="62"/>
      <c r="N42" s="82">
        <f>L42-H42</f>
        <v>0</v>
      </c>
      <c r="O42" s="83">
        <f>IF((H42)=0,"",(N42/H42))</f>
      </c>
    </row>
    <row r="43" spans="2:15" s="49" customFormat="1" ht="15">
      <c r="B43" s="376" t="s">
        <v>25</v>
      </c>
      <c r="C43" s="53"/>
      <c r="D43" s="86" t="s">
        <v>63</v>
      </c>
      <c r="E43" s="88"/>
      <c r="F43" s="100">
        <v>-0.007</v>
      </c>
      <c r="G43" s="79">
        <f>$F$18</f>
        <v>100</v>
      </c>
      <c r="H43" s="80">
        <f aca="true" t="shared" si="6" ref="H43:H51">G43*F43</f>
        <v>-0.7000000000000001</v>
      </c>
      <c r="I43" s="62"/>
      <c r="J43" s="100">
        <v>0.0021</v>
      </c>
      <c r="K43" s="79">
        <f>$F$18</f>
        <v>100</v>
      </c>
      <c r="L43" s="80">
        <f aca="true" t="shared" si="7" ref="L43:L51">K43*J43</f>
        <v>0.21</v>
      </c>
      <c r="M43" s="62"/>
      <c r="N43" s="207">
        <f aca="true" t="shared" si="8" ref="N43:N51">L43-H43</f>
        <v>0.91</v>
      </c>
      <c r="O43" s="83">
        <f aca="true" t="shared" si="9" ref="O43:O50">IF((H43)=0,"",(N43/H43))</f>
        <v>-1.2999999999999998</v>
      </c>
    </row>
    <row r="44" spans="2:15" s="49" customFormat="1" ht="15" hidden="1">
      <c r="B44" s="56"/>
      <c r="C44" s="53"/>
      <c r="D44" s="76" t="s">
        <v>63</v>
      </c>
      <c r="E44" s="77"/>
      <c r="F44" s="89"/>
      <c r="G44" s="79">
        <f>$F$18</f>
        <v>100</v>
      </c>
      <c r="H44" s="80">
        <f t="shared" si="6"/>
        <v>0</v>
      </c>
      <c r="I44" s="101"/>
      <c r="J44" s="87"/>
      <c r="K44" s="79">
        <f>$F$18</f>
        <v>100</v>
      </c>
      <c r="L44" s="80">
        <f t="shared" si="7"/>
        <v>0</v>
      </c>
      <c r="M44" s="102"/>
      <c r="N44" s="207">
        <f t="shared" si="8"/>
        <v>0</v>
      </c>
      <c r="O44" s="83">
        <f t="shared" si="9"/>
      </c>
    </row>
    <row r="45" spans="2:15" s="49" customFormat="1" ht="15" hidden="1">
      <c r="B45" s="56"/>
      <c r="C45" s="53"/>
      <c r="D45" s="76" t="s">
        <v>63</v>
      </c>
      <c r="E45" s="77"/>
      <c r="F45" s="89"/>
      <c r="G45" s="79">
        <f>$F$18</f>
        <v>100</v>
      </c>
      <c r="H45" s="80">
        <f t="shared" si="6"/>
        <v>0</v>
      </c>
      <c r="I45" s="101"/>
      <c r="J45" s="87"/>
      <c r="K45" s="79">
        <f>$F$18</f>
        <v>100</v>
      </c>
      <c r="L45" s="80">
        <f t="shared" si="7"/>
        <v>0</v>
      </c>
      <c r="M45" s="102"/>
      <c r="N45" s="207">
        <f t="shared" si="8"/>
        <v>0</v>
      </c>
      <c r="O45" s="83">
        <f t="shared" si="9"/>
      </c>
    </row>
    <row r="46" spans="2:15" s="49" customFormat="1" ht="15" hidden="1">
      <c r="B46" s="375"/>
      <c r="C46" s="53"/>
      <c r="D46" s="76" t="s">
        <v>62</v>
      </c>
      <c r="E46" s="77"/>
      <c r="F46" s="89"/>
      <c r="G46" s="79">
        <v>1</v>
      </c>
      <c r="H46" s="80">
        <f t="shared" si="6"/>
        <v>0</v>
      </c>
      <c r="I46" s="62"/>
      <c r="J46" s="87"/>
      <c r="K46" s="81">
        <v>1</v>
      </c>
      <c r="L46" s="80">
        <f t="shared" si="7"/>
        <v>0</v>
      </c>
      <c r="M46" s="62"/>
      <c r="N46" s="207">
        <f t="shared" si="8"/>
        <v>0</v>
      </c>
      <c r="O46" s="83">
        <f t="shared" si="9"/>
      </c>
    </row>
    <row r="47" spans="2:15" s="49" customFormat="1" ht="15" hidden="1">
      <c r="B47" s="376"/>
      <c r="C47" s="53"/>
      <c r="D47" s="76" t="s">
        <v>62</v>
      </c>
      <c r="E47" s="77"/>
      <c r="F47" s="89">
        <v>0</v>
      </c>
      <c r="G47" s="79">
        <f>G46</f>
        <v>1</v>
      </c>
      <c r="H47" s="80">
        <f t="shared" si="6"/>
        <v>0</v>
      </c>
      <c r="I47" s="62"/>
      <c r="J47" s="90"/>
      <c r="K47" s="79">
        <f>K46</f>
        <v>1</v>
      </c>
      <c r="L47" s="80">
        <f t="shared" si="7"/>
        <v>0</v>
      </c>
      <c r="M47" s="62"/>
      <c r="N47" s="207">
        <f t="shared" si="8"/>
        <v>0</v>
      </c>
      <c r="O47" s="83">
        <f t="shared" si="9"/>
      </c>
    </row>
    <row r="48" spans="2:15" s="49" customFormat="1" ht="15" hidden="1">
      <c r="B48" s="53"/>
      <c r="C48" s="53"/>
      <c r="D48" s="76" t="s">
        <v>63</v>
      </c>
      <c r="E48" s="77"/>
      <c r="F48" s="89">
        <v>0</v>
      </c>
      <c r="G48" s="79">
        <f>$F$18</f>
        <v>100</v>
      </c>
      <c r="H48" s="80">
        <f t="shared" si="6"/>
        <v>0</v>
      </c>
      <c r="I48" s="62"/>
      <c r="J48" s="87"/>
      <c r="K48" s="79">
        <f>$F$18</f>
        <v>100</v>
      </c>
      <c r="L48" s="80">
        <f t="shared" si="7"/>
        <v>0</v>
      </c>
      <c r="M48" s="62"/>
      <c r="N48" s="207">
        <f t="shared" si="8"/>
        <v>0</v>
      </c>
      <c r="O48" s="83">
        <f t="shared" si="9"/>
      </c>
    </row>
    <row r="49" spans="2:15" s="49" customFormat="1" ht="15">
      <c r="B49" s="59" t="s">
        <v>26</v>
      </c>
      <c r="C49" s="53"/>
      <c r="D49" s="76" t="s">
        <v>63</v>
      </c>
      <c r="E49" s="77"/>
      <c r="F49" s="89">
        <v>0.0024</v>
      </c>
      <c r="G49" s="79">
        <f>$F$18</f>
        <v>100</v>
      </c>
      <c r="H49" s="80">
        <f t="shared" si="6"/>
        <v>0.24</v>
      </c>
      <c r="I49" s="62"/>
      <c r="J49" s="87">
        <v>0.0024</v>
      </c>
      <c r="K49" s="79">
        <f>$F$18</f>
        <v>100</v>
      </c>
      <c r="L49" s="80">
        <f t="shared" si="7"/>
        <v>0.24</v>
      </c>
      <c r="M49" s="62"/>
      <c r="N49" s="207">
        <f t="shared" si="8"/>
        <v>0</v>
      </c>
      <c r="O49" s="83">
        <f t="shared" si="9"/>
        <v>0</v>
      </c>
    </row>
    <row r="50" spans="2:15" s="99" customFormat="1" ht="15">
      <c r="B50" s="60" t="s">
        <v>27</v>
      </c>
      <c r="C50" s="77"/>
      <c r="D50" s="76" t="s">
        <v>63</v>
      </c>
      <c r="E50" s="77"/>
      <c r="F50" s="104">
        <f>IF(ISBLANK(D16)=TRUE,0,IF(D16="TOU",0.64*$F$61+0.18*$F$62+0.18*$F$63,IF(AND(D16="non-TOU",G65&gt;0),F65,F64)))</f>
        <v>0.10214000000000001</v>
      </c>
      <c r="G50" s="79">
        <f>$F$18*(1+$F$80)-$F$18</f>
        <v>4.950000000000017</v>
      </c>
      <c r="H50" s="105">
        <f t="shared" si="6"/>
        <v>0.5055930000000017</v>
      </c>
      <c r="I50" s="88"/>
      <c r="J50" s="103">
        <f>0.64*$F$61+0.18*$F$62+0.18*$F$63</f>
        <v>0.10214000000000001</v>
      </c>
      <c r="K50" s="79">
        <f>$F$18*(1+$J$80)-$F$18</f>
        <v>4.950000000000017</v>
      </c>
      <c r="L50" s="105">
        <f t="shared" si="7"/>
        <v>0.5055930000000017</v>
      </c>
      <c r="M50" s="88"/>
      <c r="N50" s="207">
        <f t="shared" si="8"/>
        <v>0</v>
      </c>
      <c r="O50" s="106">
        <f t="shared" si="9"/>
        <v>0</v>
      </c>
    </row>
    <row r="51" spans="2:15" s="49" customFormat="1" ht="15">
      <c r="B51" s="59" t="s">
        <v>28</v>
      </c>
      <c r="C51" s="53"/>
      <c r="D51" s="76" t="s">
        <v>62</v>
      </c>
      <c r="E51" s="77"/>
      <c r="F51" s="78">
        <v>0.79</v>
      </c>
      <c r="G51" s="79">
        <v>1</v>
      </c>
      <c r="H51" s="80">
        <f t="shared" si="6"/>
        <v>0.79</v>
      </c>
      <c r="I51" s="62"/>
      <c r="J51" s="78">
        <v>0.79</v>
      </c>
      <c r="K51" s="79">
        <v>1</v>
      </c>
      <c r="L51" s="80">
        <f t="shared" si="7"/>
        <v>0.79</v>
      </c>
      <c r="M51" s="62"/>
      <c r="N51" s="207">
        <f t="shared" si="8"/>
        <v>0</v>
      </c>
      <c r="O51" s="83"/>
    </row>
    <row r="52" spans="2:15" s="49" customFormat="1" ht="15">
      <c r="B52" s="61" t="s">
        <v>29</v>
      </c>
      <c r="C52" s="107"/>
      <c r="D52" s="107"/>
      <c r="E52" s="107"/>
      <c r="F52" s="108"/>
      <c r="G52" s="109"/>
      <c r="H52" s="144">
        <f>SUM(H42:H51)+H41</f>
        <v>15.915593000000001</v>
      </c>
      <c r="I52" s="96"/>
      <c r="J52" s="109"/>
      <c r="K52" s="110"/>
      <c r="L52" s="144">
        <f>SUM(L42:L51)+L41</f>
        <v>19.925593000000006</v>
      </c>
      <c r="M52" s="96"/>
      <c r="N52" s="142">
        <f aca="true" t="shared" si="10" ref="N52:N71">L52-H52</f>
        <v>4.010000000000005</v>
      </c>
      <c r="O52" s="143">
        <f aca="true" t="shared" si="11" ref="O52:O71">IF((H52)=0,"",(N52/H52))</f>
        <v>0.25195416846862095</v>
      </c>
    </row>
    <row r="53" spans="2:15" s="49" customFormat="1" ht="15">
      <c r="B53" s="62" t="s">
        <v>30</v>
      </c>
      <c r="C53" s="62"/>
      <c r="D53" s="86" t="s">
        <v>63</v>
      </c>
      <c r="E53" s="88"/>
      <c r="F53" s="87">
        <v>0.0048</v>
      </c>
      <c r="G53" s="468">
        <f>F18*(1+F80)</f>
        <v>104.95000000000002</v>
      </c>
      <c r="H53" s="80">
        <f>G53*F53</f>
        <v>0.50376</v>
      </c>
      <c r="I53" s="62"/>
      <c r="J53" s="87">
        <v>0.0064</v>
      </c>
      <c r="K53" s="469">
        <f>F18*(1+J80)</f>
        <v>104.95000000000002</v>
      </c>
      <c r="L53" s="80">
        <f>K53*J53</f>
        <v>0.6716800000000002</v>
      </c>
      <c r="M53" s="62"/>
      <c r="N53" s="207">
        <f t="shared" si="10"/>
        <v>0.16792000000000018</v>
      </c>
      <c r="O53" s="83">
        <f t="shared" si="11"/>
        <v>0.3333333333333337</v>
      </c>
    </row>
    <row r="54" spans="2:15" s="49" customFormat="1" ht="15">
      <c r="B54" s="63" t="s">
        <v>31</v>
      </c>
      <c r="C54" s="62"/>
      <c r="D54" s="86" t="s">
        <v>63</v>
      </c>
      <c r="E54" s="88"/>
      <c r="F54" s="87">
        <v>0.0019</v>
      </c>
      <c r="G54" s="468">
        <f>G53</f>
        <v>104.95000000000002</v>
      </c>
      <c r="H54" s="80">
        <f>G54*F54</f>
        <v>0.19940500000000003</v>
      </c>
      <c r="I54" s="62"/>
      <c r="J54" s="87">
        <v>0.003</v>
      </c>
      <c r="K54" s="469">
        <f>K53</f>
        <v>104.95000000000002</v>
      </c>
      <c r="L54" s="80">
        <f>K54*J54</f>
        <v>0.3148500000000001</v>
      </c>
      <c r="M54" s="62"/>
      <c r="N54" s="207">
        <f t="shared" si="10"/>
        <v>0.11544500000000005</v>
      </c>
      <c r="O54" s="83">
        <f t="shared" si="11"/>
        <v>0.5789473684210528</v>
      </c>
    </row>
    <row r="55" spans="2:15" s="49" customFormat="1" ht="15">
      <c r="B55" s="61" t="s">
        <v>32</v>
      </c>
      <c r="C55" s="91"/>
      <c r="D55" s="91"/>
      <c r="E55" s="91"/>
      <c r="F55" s="111"/>
      <c r="G55" s="109"/>
      <c r="H55" s="144">
        <f>SUM(H52:H54)</f>
        <v>16.618758</v>
      </c>
      <c r="I55" s="145"/>
      <c r="J55" s="146"/>
      <c r="K55" s="147"/>
      <c r="L55" s="144">
        <f>SUM(L52:L54)</f>
        <v>20.912123000000005</v>
      </c>
      <c r="M55" s="145"/>
      <c r="N55" s="142">
        <f t="shared" si="10"/>
        <v>4.293365000000005</v>
      </c>
      <c r="O55" s="143">
        <f t="shared" si="11"/>
        <v>0.258344516479511</v>
      </c>
    </row>
    <row r="56" spans="2:15" s="49" customFormat="1" ht="15">
      <c r="B56" s="54" t="s">
        <v>33</v>
      </c>
      <c r="C56" s="53"/>
      <c r="D56" s="76" t="s">
        <v>63</v>
      </c>
      <c r="E56" s="77"/>
      <c r="F56" s="89">
        <v>0.0044</v>
      </c>
      <c r="G56" s="468">
        <f>G54</f>
        <v>104.95000000000002</v>
      </c>
      <c r="H56" s="80">
        <f aca="true" t="shared" si="12" ref="H56:H63">G56*F56</f>
        <v>0.4617800000000001</v>
      </c>
      <c r="I56" s="62"/>
      <c r="J56" s="432">
        <v>0.0036</v>
      </c>
      <c r="K56" s="469">
        <f>K54</f>
        <v>104.95000000000002</v>
      </c>
      <c r="L56" s="80">
        <f aca="true" t="shared" si="13" ref="L56:L63">K56*J56</f>
        <v>0.37782000000000004</v>
      </c>
      <c r="M56" s="62"/>
      <c r="N56" s="207">
        <f t="shared" si="10"/>
        <v>-0.08396000000000003</v>
      </c>
      <c r="O56" s="83">
        <f t="shared" si="11"/>
        <v>-0.18181818181818185</v>
      </c>
    </row>
    <row r="57" spans="2:15" s="49" customFormat="1" ht="15">
      <c r="B57" s="54" t="s">
        <v>34</v>
      </c>
      <c r="C57" s="53"/>
      <c r="D57" s="76" t="s">
        <v>63</v>
      </c>
      <c r="E57" s="77"/>
      <c r="F57" s="89">
        <v>0.0013</v>
      </c>
      <c r="G57" s="468">
        <f>G54</f>
        <v>104.95000000000002</v>
      </c>
      <c r="H57" s="80">
        <f t="shared" si="12"/>
        <v>0.13643500000000003</v>
      </c>
      <c r="I57" s="62"/>
      <c r="J57" s="87">
        <v>0.0013</v>
      </c>
      <c r="K57" s="469">
        <f>K54</f>
        <v>104.95000000000002</v>
      </c>
      <c r="L57" s="80">
        <f t="shared" si="13"/>
        <v>0.13643500000000003</v>
      </c>
      <c r="M57" s="62"/>
      <c r="N57" s="207">
        <f t="shared" si="10"/>
        <v>0</v>
      </c>
      <c r="O57" s="83">
        <f t="shared" si="11"/>
        <v>0</v>
      </c>
    </row>
    <row r="58" spans="2:15" s="49" customFormat="1" ht="15">
      <c r="B58" s="54" t="s">
        <v>121</v>
      </c>
      <c r="C58" s="53"/>
      <c r="D58" s="76" t="s">
        <v>63</v>
      </c>
      <c r="E58" s="77"/>
      <c r="F58" s="89">
        <v>0</v>
      </c>
      <c r="G58" s="468">
        <f>G54</f>
        <v>104.95000000000002</v>
      </c>
      <c r="H58" s="80">
        <f t="shared" si="12"/>
        <v>0</v>
      </c>
      <c r="I58" s="62"/>
      <c r="J58" s="432">
        <v>0.0011</v>
      </c>
      <c r="K58" s="469">
        <f>K54</f>
        <v>104.95000000000002</v>
      </c>
      <c r="L58" s="80">
        <f t="shared" si="13"/>
        <v>0.11544500000000002</v>
      </c>
      <c r="M58" s="62"/>
      <c r="N58" s="207">
        <f>L58-H58</f>
        <v>0.11544500000000002</v>
      </c>
      <c r="O58" s="83">
        <f t="shared" si="11"/>
      </c>
    </row>
    <row r="59" spans="2:15" s="49" customFormat="1" ht="15">
      <c r="B59" s="53" t="s">
        <v>35</v>
      </c>
      <c r="C59" s="53"/>
      <c r="D59" s="76" t="s">
        <v>62</v>
      </c>
      <c r="E59" s="77"/>
      <c r="F59" s="78">
        <v>0.25</v>
      </c>
      <c r="G59" s="79">
        <v>1</v>
      </c>
      <c r="H59" s="80">
        <f t="shared" si="12"/>
        <v>0.25</v>
      </c>
      <c r="I59" s="62"/>
      <c r="J59" s="85">
        <v>0.25</v>
      </c>
      <c r="K59" s="81">
        <v>1</v>
      </c>
      <c r="L59" s="80">
        <f t="shared" si="13"/>
        <v>0.25</v>
      </c>
      <c r="M59" s="62"/>
      <c r="N59" s="207">
        <f t="shared" si="10"/>
        <v>0</v>
      </c>
      <c r="O59" s="83">
        <f t="shared" si="11"/>
        <v>0</v>
      </c>
    </row>
    <row r="60" spans="2:15" s="49" customFormat="1" ht="15">
      <c r="B60" s="53" t="s">
        <v>36</v>
      </c>
      <c r="C60" s="53"/>
      <c r="D60" s="76" t="s">
        <v>63</v>
      </c>
      <c r="E60" s="77"/>
      <c r="F60" s="89">
        <v>0.007</v>
      </c>
      <c r="G60" s="112">
        <f>F18</f>
        <v>100</v>
      </c>
      <c r="H60" s="80">
        <f t="shared" si="12"/>
        <v>0.7000000000000001</v>
      </c>
      <c r="I60" s="62"/>
      <c r="J60" s="87">
        <v>0</v>
      </c>
      <c r="K60" s="113">
        <f>F18</f>
        <v>100</v>
      </c>
      <c r="L60" s="80">
        <f t="shared" si="13"/>
        <v>0</v>
      </c>
      <c r="M60" s="62"/>
      <c r="N60" s="207">
        <f t="shared" si="10"/>
        <v>-0.7000000000000001</v>
      </c>
      <c r="O60" s="83">
        <f t="shared" si="11"/>
        <v>-1</v>
      </c>
    </row>
    <row r="61" spans="2:19" s="49" customFormat="1" ht="15">
      <c r="B61" s="59" t="s">
        <v>37</v>
      </c>
      <c r="C61" s="53"/>
      <c r="D61" s="76" t="s">
        <v>63</v>
      </c>
      <c r="E61" s="77"/>
      <c r="F61" s="89">
        <v>0.08</v>
      </c>
      <c r="G61" s="112">
        <f>0.64*$F$18</f>
        <v>64</v>
      </c>
      <c r="H61" s="80">
        <f t="shared" si="12"/>
        <v>5.12</v>
      </c>
      <c r="I61" s="62"/>
      <c r="J61" s="89">
        <v>0.08</v>
      </c>
      <c r="K61" s="112">
        <f>G61</f>
        <v>64</v>
      </c>
      <c r="L61" s="80">
        <f t="shared" si="13"/>
        <v>5.12</v>
      </c>
      <c r="M61" s="62"/>
      <c r="N61" s="207">
        <f t="shared" si="10"/>
        <v>0</v>
      </c>
      <c r="O61" s="83">
        <f t="shared" si="11"/>
        <v>0</v>
      </c>
      <c r="S61" s="114"/>
    </row>
    <row r="62" spans="2:19" s="49" customFormat="1" ht="15">
      <c r="B62" s="59" t="s">
        <v>38</v>
      </c>
      <c r="C62" s="53"/>
      <c r="D62" s="76" t="s">
        <v>63</v>
      </c>
      <c r="E62" s="77"/>
      <c r="F62" s="89">
        <v>0.122</v>
      </c>
      <c r="G62" s="112">
        <f>0.18*$F$18</f>
        <v>18</v>
      </c>
      <c r="H62" s="80">
        <f t="shared" si="12"/>
        <v>2.1959999999999997</v>
      </c>
      <c r="I62" s="62"/>
      <c r="J62" s="89">
        <v>0.122</v>
      </c>
      <c r="K62" s="112">
        <f>G62</f>
        <v>18</v>
      </c>
      <c r="L62" s="80">
        <f t="shared" si="13"/>
        <v>2.1959999999999997</v>
      </c>
      <c r="M62" s="62"/>
      <c r="N62" s="207">
        <f t="shared" si="10"/>
        <v>0</v>
      </c>
      <c r="O62" s="83">
        <f t="shared" si="11"/>
        <v>0</v>
      </c>
      <c r="S62" s="114"/>
    </row>
    <row r="63" spans="2:19" s="49" customFormat="1" ht="15">
      <c r="B63" s="52" t="s">
        <v>39</v>
      </c>
      <c r="C63" s="53"/>
      <c r="D63" s="76" t="s">
        <v>63</v>
      </c>
      <c r="E63" s="77"/>
      <c r="F63" s="89">
        <v>0.161</v>
      </c>
      <c r="G63" s="112">
        <f>0.18*$F$18</f>
        <v>18</v>
      </c>
      <c r="H63" s="80">
        <f t="shared" si="12"/>
        <v>2.898</v>
      </c>
      <c r="I63" s="62"/>
      <c r="J63" s="89">
        <v>0.161</v>
      </c>
      <c r="K63" s="112">
        <f>G63</f>
        <v>18</v>
      </c>
      <c r="L63" s="80">
        <f t="shared" si="13"/>
        <v>2.898</v>
      </c>
      <c r="M63" s="62"/>
      <c r="N63" s="207">
        <f t="shared" si="10"/>
        <v>0</v>
      </c>
      <c r="O63" s="83">
        <f t="shared" si="11"/>
        <v>0</v>
      </c>
      <c r="S63" s="114"/>
    </row>
    <row r="64" spans="2:15" s="152" customFormat="1" ht="15">
      <c r="B64" s="64" t="s">
        <v>40</v>
      </c>
      <c r="C64" s="64"/>
      <c r="D64" s="148" t="s">
        <v>63</v>
      </c>
      <c r="E64" s="149"/>
      <c r="F64" s="89">
        <v>0.094</v>
      </c>
      <c r="G64" s="150">
        <f>IF(AND($T$1=1,F18&gt;=600),600,IF(AND($T$1=1,AND(F18&lt;600,F18&gt;=0)),F18,IF(AND($T$1=2,F18&gt;=1000),1000,IF(AND($T$1=2,AND(F18&lt;1000,F18&gt;=0)),F18))))</f>
        <v>100</v>
      </c>
      <c r="H64" s="80">
        <f>G64*F64</f>
        <v>9.4</v>
      </c>
      <c r="I64" s="151"/>
      <c r="J64" s="89">
        <v>0.094</v>
      </c>
      <c r="K64" s="150">
        <f>G64</f>
        <v>100</v>
      </c>
      <c r="L64" s="80">
        <f>K64*J64</f>
        <v>9.4</v>
      </c>
      <c r="M64" s="151"/>
      <c r="N64" s="207">
        <f t="shared" si="10"/>
        <v>0</v>
      </c>
      <c r="O64" s="83">
        <f t="shared" si="11"/>
        <v>0</v>
      </c>
    </row>
    <row r="65" spans="2:15" s="152" customFormat="1" ht="15.75" thickBot="1">
      <c r="B65" s="64" t="s">
        <v>41</v>
      </c>
      <c r="C65" s="64"/>
      <c r="D65" s="148" t="s">
        <v>63</v>
      </c>
      <c r="E65" s="149"/>
      <c r="F65" s="89">
        <v>0.11</v>
      </c>
      <c r="G65" s="150">
        <f>IF(AND($T$1=1,F18&gt;=600),F18-600,IF(AND($T$1=1,AND(F18&lt;600,F18&gt;=0)),0,IF(AND($T$1=2,F18&gt;=1000),F18-1000,IF(AND($T$1=2,AND(F18&lt;1000,F18&gt;=0)),0))))</f>
        <v>0</v>
      </c>
      <c r="H65" s="80">
        <f>G65*F65</f>
        <v>0</v>
      </c>
      <c r="I65" s="151"/>
      <c r="J65" s="89">
        <v>0.11</v>
      </c>
      <c r="K65" s="150">
        <f>G65</f>
        <v>0</v>
      </c>
      <c r="L65" s="80">
        <f>K65*J65</f>
        <v>0</v>
      </c>
      <c r="M65" s="151"/>
      <c r="N65" s="207">
        <f t="shared" si="10"/>
        <v>0</v>
      </c>
      <c r="O65" s="83">
        <f t="shared" si="11"/>
      </c>
    </row>
    <row r="66" spans="2:15" s="49" customFormat="1" ht="8.25" customHeight="1" thickBot="1">
      <c r="B66" s="65"/>
      <c r="C66" s="74"/>
      <c r="D66" s="75"/>
      <c r="E66" s="74"/>
      <c r="F66" s="115"/>
      <c r="G66" s="116"/>
      <c r="H66" s="117"/>
      <c r="I66" s="118"/>
      <c r="J66" s="115"/>
      <c r="K66" s="119"/>
      <c r="L66" s="117"/>
      <c r="M66" s="118"/>
      <c r="N66" s="120"/>
      <c r="O66" s="121"/>
    </row>
    <row r="67" spans="2:19" s="49" customFormat="1" ht="15">
      <c r="B67" s="66" t="s">
        <v>42</v>
      </c>
      <c r="C67" s="53"/>
      <c r="D67" s="53"/>
      <c r="E67" s="53"/>
      <c r="F67" s="122"/>
      <c r="G67" s="123"/>
      <c r="H67" s="153">
        <f>SUM(H56:H63,H55)</f>
        <v>28.380972999999997</v>
      </c>
      <c r="I67" s="154"/>
      <c r="J67" s="155"/>
      <c r="K67" s="155"/>
      <c r="L67" s="156">
        <f>SUM(L56:L63,L55)</f>
        <v>32.00582300000001</v>
      </c>
      <c r="M67" s="157"/>
      <c r="N67" s="208">
        <f>L67-H67</f>
        <v>3.6248500000000092</v>
      </c>
      <c r="O67" s="158">
        <f>IF((H67)=0,"",(N67/H67))</f>
        <v>0.12772113204152688</v>
      </c>
      <c r="S67" s="114"/>
    </row>
    <row r="68" spans="2:19" s="49" customFormat="1" ht="15">
      <c r="B68" s="67" t="s">
        <v>43</v>
      </c>
      <c r="C68" s="53"/>
      <c r="D68" s="53"/>
      <c r="E68" s="53"/>
      <c r="F68" s="124">
        <v>0.13</v>
      </c>
      <c r="G68" s="125"/>
      <c r="H68" s="159">
        <f>H67*F68</f>
        <v>3.68952649</v>
      </c>
      <c r="I68" s="160"/>
      <c r="J68" s="161">
        <v>0.13</v>
      </c>
      <c r="K68" s="160"/>
      <c r="L68" s="162">
        <f>L67*J68</f>
        <v>4.160756990000001</v>
      </c>
      <c r="M68" s="163"/>
      <c r="N68" s="207">
        <f t="shared" si="10"/>
        <v>0.4712305000000012</v>
      </c>
      <c r="O68" s="164">
        <f t="shared" si="11"/>
        <v>0.12772113204152688</v>
      </c>
      <c r="S68" s="114"/>
    </row>
    <row r="69" spans="2:19" s="49" customFormat="1" ht="15">
      <c r="B69" s="68" t="s">
        <v>123</v>
      </c>
      <c r="C69" s="53"/>
      <c r="D69" s="53"/>
      <c r="E69" s="53"/>
      <c r="F69" s="126"/>
      <c r="G69" s="125"/>
      <c r="H69" s="159">
        <f>H67+H68</f>
        <v>32.070499489999996</v>
      </c>
      <c r="I69" s="160"/>
      <c r="J69" s="160"/>
      <c r="K69" s="160"/>
      <c r="L69" s="162">
        <f>L67+L68</f>
        <v>36.16657999000001</v>
      </c>
      <c r="M69" s="163"/>
      <c r="N69" s="207">
        <f t="shared" si="10"/>
        <v>4.096080500000014</v>
      </c>
      <c r="O69" s="164">
        <f t="shared" si="11"/>
        <v>0.127721132041527</v>
      </c>
      <c r="S69" s="114"/>
    </row>
    <row r="70" spans="2:15" s="49" customFormat="1" ht="15.75" customHeight="1">
      <c r="B70" s="572" t="s">
        <v>124</v>
      </c>
      <c r="C70" s="572"/>
      <c r="D70" s="572"/>
      <c r="E70" s="53"/>
      <c r="F70" s="126"/>
      <c r="G70" s="125"/>
      <c r="H70" s="165">
        <f>ROUND(-H69*10%,2)</f>
        <v>-3.21</v>
      </c>
      <c r="I70" s="160"/>
      <c r="J70" s="160"/>
      <c r="K70" s="160"/>
      <c r="L70" s="166">
        <v>0</v>
      </c>
      <c r="M70" s="163"/>
      <c r="N70" s="207">
        <f t="shared" si="10"/>
        <v>3.21</v>
      </c>
      <c r="O70" s="167">
        <f t="shared" si="11"/>
        <v>-1</v>
      </c>
    </row>
    <row r="71" spans="2:15" s="49" customFormat="1" ht="15.75" thickBot="1">
      <c r="B71" s="573" t="s">
        <v>46</v>
      </c>
      <c r="C71" s="573"/>
      <c r="D71" s="573"/>
      <c r="E71" s="127"/>
      <c r="F71" s="128"/>
      <c r="G71" s="129"/>
      <c r="H71" s="168">
        <f>H69+H70</f>
        <v>28.860499489999995</v>
      </c>
      <c r="I71" s="169"/>
      <c r="J71" s="169"/>
      <c r="K71" s="169"/>
      <c r="L71" s="170">
        <f>L69+L70</f>
        <v>36.16657999000001</v>
      </c>
      <c r="M71" s="171"/>
      <c r="N71" s="209">
        <f t="shared" si="10"/>
        <v>7.306080500000014</v>
      </c>
      <c r="O71" s="172">
        <f t="shared" si="11"/>
        <v>0.2531515610993334</v>
      </c>
    </row>
    <row r="72" spans="2:15" s="152" customFormat="1" ht="8.25" customHeight="1" thickBot="1">
      <c r="B72" s="69"/>
      <c r="C72" s="173"/>
      <c r="D72" s="174"/>
      <c r="E72" s="173"/>
      <c r="F72" s="115"/>
      <c r="G72" s="175"/>
      <c r="H72" s="117"/>
      <c r="I72" s="176"/>
      <c r="J72" s="115"/>
      <c r="K72" s="177"/>
      <c r="L72" s="117"/>
      <c r="M72" s="176"/>
      <c r="N72" s="178"/>
      <c r="O72" s="121"/>
    </row>
    <row r="73" spans="2:15" s="152" customFormat="1" ht="15">
      <c r="B73" s="70" t="s">
        <v>47</v>
      </c>
      <c r="C73" s="64"/>
      <c r="D73" s="64"/>
      <c r="E73" s="64"/>
      <c r="F73" s="179"/>
      <c r="G73" s="180"/>
      <c r="H73" s="181">
        <f>SUM(H64:H65,H55,H56:H60)</f>
        <v>27.566972999999997</v>
      </c>
      <c r="I73" s="182"/>
      <c r="J73" s="183"/>
      <c r="K73" s="183"/>
      <c r="L73" s="184">
        <f>SUM(L64:L65,L55,L56:L60)</f>
        <v>31.191823000000007</v>
      </c>
      <c r="M73" s="185"/>
      <c r="N73" s="208">
        <f>L73-H73</f>
        <v>3.6248500000000092</v>
      </c>
      <c r="O73" s="158">
        <f>IF((H73)=0,"",(N73/H73))</f>
        <v>0.13149249284642203</v>
      </c>
    </row>
    <row r="74" spans="2:15" s="152" customFormat="1" ht="15">
      <c r="B74" s="71" t="s">
        <v>43</v>
      </c>
      <c r="C74" s="64"/>
      <c r="D74" s="64"/>
      <c r="E74" s="64"/>
      <c r="F74" s="186">
        <v>0.13</v>
      </c>
      <c r="G74" s="180"/>
      <c r="H74" s="187">
        <f>H73*F74</f>
        <v>3.58370649</v>
      </c>
      <c r="I74" s="188"/>
      <c r="J74" s="186">
        <v>0.13</v>
      </c>
      <c r="K74" s="189"/>
      <c r="L74" s="190">
        <f>L73*J74</f>
        <v>4.054936990000001</v>
      </c>
      <c r="M74" s="191"/>
      <c r="N74" s="207">
        <f>L74-H74</f>
        <v>0.4712305000000008</v>
      </c>
      <c r="O74" s="164">
        <f>IF((H74)=0,"",(N74/H74))</f>
        <v>0.13149249284642192</v>
      </c>
    </row>
    <row r="75" spans="2:15" s="152" customFormat="1" ht="15">
      <c r="B75" s="72" t="s">
        <v>123</v>
      </c>
      <c r="C75" s="64"/>
      <c r="D75" s="64"/>
      <c r="E75" s="64"/>
      <c r="F75" s="192"/>
      <c r="G75" s="191"/>
      <c r="H75" s="187">
        <f>H73+H74</f>
        <v>31.150679489999998</v>
      </c>
      <c r="I75" s="188"/>
      <c r="J75" s="188"/>
      <c r="K75" s="188"/>
      <c r="L75" s="190">
        <f>L73+L74</f>
        <v>35.24675999000001</v>
      </c>
      <c r="M75" s="191"/>
      <c r="N75" s="207">
        <f>L75-H75</f>
        <v>4.09608050000001</v>
      </c>
      <c r="O75" s="164">
        <f>IF((H75)=0,"",(N75/H75))</f>
        <v>0.13149249284642203</v>
      </c>
    </row>
    <row r="76" spans="2:15" s="152" customFormat="1" ht="15.75" customHeight="1">
      <c r="B76" s="574" t="s">
        <v>124</v>
      </c>
      <c r="C76" s="574"/>
      <c r="D76" s="574"/>
      <c r="E76" s="64"/>
      <c r="F76" s="192"/>
      <c r="G76" s="191"/>
      <c r="H76" s="193">
        <f>ROUND(-H75*10%,2)</f>
        <v>-3.12</v>
      </c>
      <c r="I76" s="188"/>
      <c r="J76" s="188"/>
      <c r="K76" s="188"/>
      <c r="L76" s="194">
        <v>0</v>
      </c>
      <c r="M76" s="191"/>
      <c r="N76" s="207">
        <f>L76-H76</f>
        <v>3.12</v>
      </c>
      <c r="O76" s="167">
        <f>IF((H76)=0,"",(N76/H76))</f>
        <v>-1</v>
      </c>
    </row>
    <row r="77" spans="2:15" s="152" customFormat="1" ht="15.75" thickBot="1">
      <c r="B77" s="565" t="s">
        <v>48</v>
      </c>
      <c r="C77" s="565"/>
      <c r="D77" s="565"/>
      <c r="E77" s="195"/>
      <c r="F77" s="196"/>
      <c r="G77" s="197"/>
      <c r="H77" s="198">
        <f>SUM(H75:H76)</f>
        <v>28.030679489999997</v>
      </c>
      <c r="I77" s="199"/>
      <c r="J77" s="199"/>
      <c r="K77" s="199"/>
      <c r="L77" s="200">
        <f>SUM(L75:L76)</f>
        <v>35.24675999000001</v>
      </c>
      <c r="M77" s="201"/>
      <c r="N77" s="209">
        <f>L77-H77</f>
        <v>7.216080500000011</v>
      </c>
      <c r="O77" s="202">
        <f>IF((H77)=0,"",(N77/H77))</f>
        <v>0.25743509009741855</v>
      </c>
    </row>
    <row r="78" spans="2:15" s="152" customFormat="1" ht="8.25" customHeight="1" thickBot="1">
      <c r="B78" s="69"/>
      <c r="C78" s="173"/>
      <c r="D78" s="174"/>
      <c r="E78" s="173"/>
      <c r="F78" s="130"/>
      <c r="G78" s="203"/>
      <c r="H78" s="131"/>
      <c r="I78" s="204"/>
      <c r="J78" s="130"/>
      <c r="K78" s="175"/>
      <c r="L78" s="132"/>
      <c r="M78" s="176"/>
      <c r="N78" s="205"/>
      <c r="O78" s="121"/>
    </row>
    <row r="79" s="49" customFormat="1" ht="10.5" customHeight="1">
      <c r="L79" s="114"/>
    </row>
    <row r="80" spans="2:10" s="49" customFormat="1" ht="15">
      <c r="B80" s="73" t="s">
        <v>49</v>
      </c>
      <c r="F80" s="133">
        <v>0.0495</v>
      </c>
      <c r="J80" s="133">
        <v>0.0495</v>
      </c>
    </row>
    <row r="81" s="49" customFormat="1" ht="10.5" customHeight="1"/>
    <row r="82" spans="2:15" s="49" customFormat="1" ht="15">
      <c r="B82" s="423" t="s">
        <v>140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99" customFormat="1" ht="15">
      <c r="B83" s="423" t="s">
        <v>141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49" customFormat="1" ht="17.25">
      <c r="A84" s="206" t="s">
        <v>125</v>
      </c>
    </row>
    <row r="85" s="49" customFormat="1" ht="10.5" customHeight="1"/>
    <row r="86" s="49" customFormat="1" ht="15">
      <c r="A86" s="49" t="s">
        <v>51</v>
      </c>
    </row>
    <row r="87" s="49" customFormat="1" ht="15">
      <c r="A87" s="49" t="s">
        <v>52</v>
      </c>
    </row>
    <row r="88" s="49" customFormat="1" ht="15"/>
    <row r="89" s="49" customFormat="1" ht="15">
      <c r="A89" s="52" t="s">
        <v>53</v>
      </c>
    </row>
    <row r="90" s="49" customFormat="1" ht="15">
      <c r="A90" s="52" t="s">
        <v>54</v>
      </c>
    </row>
    <row r="91" s="49" customFormat="1" ht="15"/>
    <row r="92" s="49" customFormat="1" ht="15">
      <c r="A92" s="49" t="s">
        <v>55</v>
      </c>
    </row>
    <row r="93" s="49" customFormat="1" ht="15">
      <c r="A93" s="49" t="s">
        <v>56</v>
      </c>
    </row>
    <row r="94" s="49" customFormat="1" ht="15">
      <c r="A94" s="49" t="s">
        <v>57</v>
      </c>
    </row>
    <row r="95" s="49" customFormat="1" ht="15">
      <c r="A95" s="49" t="s">
        <v>58</v>
      </c>
    </row>
    <row r="96" s="49" customFormat="1" ht="15">
      <c r="A96" s="49" t="s">
        <v>59</v>
      </c>
    </row>
    <row r="97" s="49" customFormat="1" ht="15"/>
    <row r="98" spans="1:2" s="49" customFormat="1" ht="15">
      <c r="A98" s="134"/>
      <c r="B98" s="49" t="s">
        <v>60</v>
      </c>
    </row>
    <row r="99" s="49" customFormat="1" ht="15"/>
    <row r="100" s="49" customFormat="1" ht="15"/>
  </sheetData>
  <sheetProtection/>
  <mergeCells count="22">
    <mergeCell ref="N1:O1"/>
    <mergeCell ref="N2:O2"/>
    <mergeCell ref="N3:O3"/>
    <mergeCell ref="N4:O4"/>
    <mergeCell ref="N5:O5"/>
    <mergeCell ref="N7:O7"/>
    <mergeCell ref="A3:K3"/>
    <mergeCell ref="B10:O10"/>
    <mergeCell ref="B11:O11"/>
    <mergeCell ref="D14:O14"/>
    <mergeCell ref="F20:H20"/>
    <mergeCell ref="J20:L20"/>
    <mergeCell ref="N20:O20"/>
    <mergeCell ref="B8:O8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'Res (100kWh)'!#REF!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53:E54 E56:E63 E66 E42:E51 E23:E40">
      <formula1>'Res (100kWh)'!#REF!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8"/>
  <sheetViews>
    <sheetView showGridLines="0" zoomScalePageLayoutView="0" workbookViewId="0" topLeftCell="A1">
      <selection activeCell="N4" sqref="N4:O4"/>
    </sheetView>
  </sheetViews>
  <sheetFormatPr defaultColWidth="9.140625" defaultRowHeight="15"/>
  <cols>
    <col min="1" max="1" width="2.140625" style="8" customWidth="1"/>
    <col min="2" max="2" width="57.710937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7" width="8.00390625" style="8" bestFit="1" customWidth="1"/>
    <col min="8" max="8" width="9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57421875" style="8" bestFit="1" customWidth="1"/>
    <col min="15" max="15" width="10.00390625" style="8" bestFit="1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T1" s="45">
        <v>1</v>
      </c>
    </row>
    <row r="2" spans="1:15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</row>
    <row r="3" spans="1:15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</row>
    <row r="4" spans="1:15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19</v>
      </c>
      <c r="O4" s="582"/>
    </row>
    <row r="5" spans="3:15" s="2" customFormat="1" ht="15" customHeight="1">
      <c r="C5" s="7"/>
      <c r="D5" s="7"/>
      <c r="E5" s="7"/>
      <c r="L5" s="3" t="s">
        <v>76</v>
      </c>
      <c r="N5" s="584" t="s">
        <v>78</v>
      </c>
      <c r="O5" s="584"/>
    </row>
    <row r="6" spans="12:15" s="2" customFormat="1" ht="9" customHeight="1">
      <c r="L6" s="3"/>
      <c r="N6" s="4"/>
      <c r="O6" s="17"/>
    </row>
    <row r="7" spans="12:15" s="2" customFormat="1" ht="15">
      <c r="L7" s="3" t="s">
        <v>159</v>
      </c>
      <c r="N7" s="585">
        <v>42384</v>
      </c>
      <c r="O7" s="584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250</v>
      </c>
      <c r="G18" s="14" t="s">
        <v>9</v>
      </c>
    </row>
    <row r="19" ht="15">
      <c r="B19" s="13"/>
    </row>
    <row r="20" spans="2:15" s="49" customFormat="1" ht="15">
      <c r="B20" s="52"/>
      <c r="D20" s="136"/>
      <c r="E20" s="136"/>
      <c r="F20" s="578" t="s">
        <v>10</v>
      </c>
      <c r="G20" s="579"/>
      <c r="H20" s="580"/>
      <c r="J20" s="578" t="s">
        <v>11</v>
      </c>
      <c r="K20" s="579"/>
      <c r="L20" s="580"/>
      <c r="N20" s="578" t="s">
        <v>12</v>
      </c>
      <c r="O20" s="580"/>
    </row>
    <row r="21" spans="2:15" s="49" customFormat="1" ht="15">
      <c r="B21" s="52"/>
      <c r="D21" s="566" t="s">
        <v>13</v>
      </c>
      <c r="E21" s="135"/>
      <c r="F21" s="137" t="s">
        <v>14</v>
      </c>
      <c r="G21" s="137" t="s">
        <v>15</v>
      </c>
      <c r="H21" s="138" t="s">
        <v>16</v>
      </c>
      <c r="J21" s="137" t="s">
        <v>14</v>
      </c>
      <c r="K21" s="139" t="s">
        <v>15</v>
      </c>
      <c r="L21" s="138" t="s">
        <v>16</v>
      </c>
      <c r="N21" s="568" t="s">
        <v>17</v>
      </c>
      <c r="O21" s="570" t="s">
        <v>18</v>
      </c>
    </row>
    <row r="22" spans="2:15" s="49" customFormat="1" ht="15">
      <c r="B22" s="52"/>
      <c r="D22" s="567"/>
      <c r="E22" s="135"/>
      <c r="F22" s="140" t="s">
        <v>19</v>
      </c>
      <c r="G22" s="140"/>
      <c r="H22" s="141" t="s">
        <v>19</v>
      </c>
      <c r="J22" s="140" t="s">
        <v>19</v>
      </c>
      <c r="K22" s="141"/>
      <c r="L22" s="141" t="s">
        <v>19</v>
      </c>
      <c r="N22" s="569"/>
      <c r="O22" s="571"/>
    </row>
    <row r="23" spans="2:15" s="49" customFormat="1" ht="15">
      <c r="B23" s="53" t="s">
        <v>20</v>
      </c>
      <c r="C23" s="53"/>
      <c r="D23" s="76" t="s">
        <v>62</v>
      </c>
      <c r="E23" s="77"/>
      <c r="F23" s="369">
        <f>'Res (100kWh)'!F23</f>
        <v>11.22</v>
      </c>
      <c r="G23" s="79">
        <v>1</v>
      </c>
      <c r="H23" s="80">
        <f>G23*F23</f>
        <v>11.22</v>
      </c>
      <c r="I23" s="62"/>
      <c r="J23" s="430">
        <f>'Res (100kWh)'!J23</f>
        <v>14.71</v>
      </c>
      <c r="K23" s="81">
        <v>1</v>
      </c>
      <c r="L23" s="80">
        <f>K23*J23</f>
        <v>14.71</v>
      </c>
      <c r="M23" s="62"/>
      <c r="N23" s="207">
        <f>L23-H23</f>
        <v>3.49</v>
      </c>
      <c r="O23" s="83">
        <f>IF((H23)=0,"",(N23/H23))</f>
        <v>0.31105169340463457</v>
      </c>
    </row>
    <row r="24" spans="2:15" s="49" customFormat="1" ht="30">
      <c r="B24" s="375" t="s">
        <v>64</v>
      </c>
      <c r="C24" s="53"/>
      <c r="D24" s="76" t="s">
        <v>62</v>
      </c>
      <c r="E24" s="77"/>
      <c r="F24" s="377">
        <f>'Res (100kWh)'!F24</f>
        <v>1.75</v>
      </c>
      <c r="G24" s="79">
        <v>1</v>
      </c>
      <c r="H24" s="80">
        <f>G24*F24</f>
        <v>1.75</v>
      </c>
      <c r="I24" s="62"/>
      <c r="J24" s="370">
        <f>'Res (100kWh)'!J24</f>
        <v>1.75</v>
      </c>
      <c r="K24" s="81">
        <v>1</v>
      </c>
      <c r="L24" s="80">
        <f>K24*J24</f>
        <v>1.75</v>
      </c>
      <c r="M24" s="62"/>
      <c r="N24" s="207">
        <f>L24-H24</f>
        <v>0</v>
      </c>
      <c r="O24" s="83">
        <f>IF((H24)=0,"",(N24/H24))</f>
        <v>0</v>
      </c>
    </row>
    <row r="25" spans="2:15" s="49" customFormat="1" ht="15" customHeight="1">
      <c r="B25" s="376" t="s">
        <v>66</v>
      </c>
      <c r="C25" s="53"/>
      <c r="D25" s="76" t="s">
        <v>62</v>
      </c>
      <c r="E25" s="77"/>
      <c r="F25" s="370">
        <v>0</v>
      </c>
      <c r="G25" s="79">
        <v>1</v>
      </c>
      <c r="H25" s="80">
        <f>G25*F25</f>
        <v>0</v>
      </c>
      <c r="I25" s="62"/>
      <c r="J25" s="467">
        <f>'Res (100kWh)'!J25</f>
        <v>-0.04</v>
      </c>
      <c r="K25" s="81">
        <v>1</v>
      </c>
      <c r="L25" s="80">
        <f>K25*J25</f>
        <v>-0.04</v>
      </c>
      <c r="M25" s="62"/>
      <c r="N25" s="207">
        <f>L25-H25</f>
        <v>-0.04</v>
      </c>
      <c r="O25" s="83">
        <f>IF((H25)=0,"",(N25/H25))</f>
      </c>
    </row>
    <row r="26" spans="2:15" s="49" customFormat="1" ht="15" hidden="1">
      <c r="B26" s="375"/>
      <c r="C26" s="53"/>
      <c r="D26" s="86" t="s">
        <v>62</v>
      </c>
      <c r="E26" s="88"/>
      <c r="F26" s="370">
        <f>'Res (100kWh)'!F26</f>
        <v>0</v>
      </c>
      <c r="G26" s="79">
        <v>1</v>
      </c>
      <c r="H26" s="80">
        <f aca="true" t="shared" si="0" ref="H26:H40">G26*F26</f>
        <v>0</v>
      </c>
      <c r="I26" s="62"/>
      <c r="J26" s="370">
        <f>'Res (100kWh)'!J26</f>
        <v>0</v>
      </c>
      <c r="K26" s="81">
        <v>1</v>
      </c>
      <c r="L26" s="80">
        <f aca="true" t="shared" si="1" ref="L26:L40">K26*J26</f>
        <v>0</v>
      </c>
      <c r="M26" s="62"/>
      <c r="N26" s="207">
        <f aca="true" t="shared" si="2" ref="N26:N71">L26-H26</f>
        <v>0</v>
      </c>
      <c r="O26" s="83">
        <f aca="true" t="shared" si="3" ref="O26:O50">IF((H26)=0,"",(N26/H26))</f>
      </c>
    </row>
    <row r="27" spans="2:15" s="49" customFormat="1" ht="15" hidden="1">
      <c r="B27" s="375" t="s">
        <v>65</v>
      </c>
      <c r="C27" s="53"/>
      <c r="D27" s="76" t="s">
        <v>62</v>
      </c>
      <c r="E27" s="77"/>
      <c r="F27" s="104">
        <f>'Res (100kWh)'!F27</f>
        <v>0</v>
      </c>
      <c r="G27" s="79">
        <v>1</v>
      </c>
      <c r="H27" s="80">
        <f t="shared" si="0"/>
        <v>0</v>
      </c>
      <c r="I27" s="62"/>
      <c r="J27" s="370">
        <f>'Res (100kWh)'!J27</f>
        <v>0</v>
      </c>
      <c r="K27" s="81">
        <v>1</v>
      </c>
      <c r="L27" s="80">
        <f t="shared" si="1"/>
        <v>0</v>
      </c>
      <c r="M27" s="62"/>
      <c r="N27" s="207">
        <f t="shared" si="2"/>
        <v>0</v>
      </c>
      <c r="O27" s="83">
        <f t="shared" si="3"/>
      </c>
    </row>
    <row r="28" spans="2:15" s="49" customFormat="1" ht="15" hidden="1">
      <c r="B28" s="376"/>
      <c r="C28" s="53"/>
      <c r="D28" s="76" t="s">
        <v>62</v>
      </c>
      <c r="E28" s="77"/>
      <c r="F28" s="104">
        <f>'Res (100kWh)'!F28</f>
        <v>0</v>
      </c>
      <c r="G28" s="79">
        <f>G27</f>
        <v>1</v>
      </c>
      <c r="H28" s="80">
        <f t="shared" si="0"/>
        <v>0</v>
      </c>
      <c r="I28" s="62"/>
      <c r="J28" s="207">
        <f>'Res (100kWh)'!J28</f>
        <v>0</v>
      </c>
      <c r="K28" s="79">
        <f>K27</f>
        <v>1</v>
      </c>
      <c r="L28" s="80">
        <f t="shared" si="1"/>
        <v>0</v>
      </c>
      <c r="M28" s="62"/>
      <c r="N28" s="207">
        <f t="shared" si="2"/>
        <v>0</v>
      </c>
      <c r="O28" s="83">
        <f t="shared" si="3"/>
      </c>
    </row>
    <row r="29" spans="2:15" s="49" customFormat="1" ht="15">
      <c r="B29" s="53" t="s">
        <v>108</v>
      </c>
      <c r="C29" s="53"/>
      <c r="D29" s="76" t="s">
        <v>63</v>
      </c>
      <c r="E29" s="77"/>
      <c r="F29" s="378">
        <f>'Res (100kWh)'!F29</f>
        <v>0</v>
      </c>
      <c r="G29" s="79">
        <f>$F$18</f>
        <v>250</v>
      </c>
      <c r="H29" s="80">
        <f t="shared" si="0"/>
        <v>0</v>
      </c>
      <c r="I29" s="62"/>
      <c r="J29" s="432">
        <f>'Res (100kWh)'!J29</f>
        <v>0.0007</v>
      </c>
      <c r="K29" s="79">
        <f>$F$18</f>
        <v>250</v>
      </c>
      <c r="L29" s="80">
        <f t="shared" si="1"/>
        <v>0.175</v>
      </c>
      <c r="M29" s="62"/>
      <c r="N29" s="207">
        <f t="shared" si="2"/>
        <v>0.175</v>
      </c>
      <c r="O29" s="83">
        <f t="shared" si="3"/>
      </c>
    </row>
    <row r="30" spans="2:15" s="49" customFormat="1" ht="15" hidden="1">
      <c r="B30" s="56" t="s">
        <v>92</v>
      </c>
      <c r="C30" s="53"/>
      <c r="D30" s="76" t="s">
        <v>63</v>
      </c>
      <c r="E30" s="77"/>
      <c r="F30" s="104">
        <f>'Res (100kWh)'!F30</f>
        <v>0</v>
      </c>
      <c r="G30" s="79">
        <f>$F$18</f>
        <v>250</v>
      </c>
      <c r="H30" s="80">
        <f t="shared" si="0"/>
        <v>0</v>
      </c>
      <c r="I30" s="62"/>
      <c r="J30" s="432">
        <f>'Res (100kWh)'!J30</f>
        <v>0</v>
      </c>
      <c r="K30" s="79">
        <f>$F$18</f>
        <v>250</v>
      </c>
      <c r="L30" s="80">
        <f>K30*J30</f>
        <v>0</v>
      </c>
      <c r="M30" s="62"/>
      <c r="N30" s="207">
        <f>L30-H30</f>
        <v>0</v>
      </c>
      <c r="O30" s="83">
        <f>IF((H30)=0,"",(N30/H30))</f>
      </c>
    </row>
    <row r="31" spans="2:15" s="49" customFormat="1" ht="15">
      <c r="B31" s="53" t="s">
        <v>21</v>
      </c>
      <c r="C31" s="53"/>
      <c r="D31" s="76" t="s">
        <v>63</v>
      </c>
      <c r="E31" s="77"/>
      <c r="F31" s="104">
        <f>'Res (100kWh)'!F31</f>
        <v>0.0211</v>
      </c>
      <c r="G31" s="79">
        <f>$F$18</f>
        <v>250</v>
      </c>
      <c r="H31" s="80">
        <f t="shared" si="0"/>
        <v>5.275</v>
      </c>
      <c r="I31" s="62"/>
      <c r="J31" s="431">
        <f>'Res (100kWh)'!J31</f>
        <v>0.0169</v>
      </c>
      <c r="K31" s="79">
        <f>$F$18</f>
        <v>250</v>
      </c>
      <c r="L31" s="80">
        <f t="shared" si="1"/>
        <v>4.225</v>
      </c>
      <c r="M31" s="62"/>
      <c r="N31" s="207">
        <f t="shared" si="2"/>
        <v>-1.0500000000000007</v>
      </c>
      <c r="O31" s="83">
        <f t="shared" si="3"/>
        <v>-0.1990521327014219</v>
      </c>
    </row>
    <row r="32" spans="2:15" s="49" customFormat="1" ht="14.25" customHeight="1" hidden="1">
      <c r="B32" s="53" t="s">
        <v>22</v>
      </c>
      <c r="C32" s="53"/>
      <c r="D32" s="76"/>
      <c r="E32" s="77"/>
      <c r="F32" s="89">
        <f>'Res (100kWh)'!F32</f>
        <v>0</v>
      </c>
      <c r="G32" s="79">
        <f>$F$18</f>
        <v>250</v>
      </c>
      <c r="H32" s="80">
        <f t="shared" si="0"/>
        <v>0</v>
      </c>
      <c r="I32" s="62"/>
      <c r="J32" s="103"/>
      <c r="K32" s="79">
        <f aca="true" t="shared" si="4" ref="K32:K40">$F$18</f>
        <v>250</v>
      </c>
      <c r="L32" s="80">
        <f t="shared" si="1"/>
        <v>0</v>
      </c>
      <c r="M32" s="62"/>
      <c r="N32" s="82">
        <f t="shared" si="2"/>
        <v>0</v>
      </c>
      <c r="O32" s="83">
        <f t="shared" si="3"/>
      </c>
    </row>
    <row r="33" spans="2:15" s="49" customFormat="1" ht="15" hidden="1">
      <c r="B33" s="53" t="s">
        <v>108</v>
      </c>
      <c r="C33" s="53"/>
      <c r="D33" s="76"/>
      <c r="E33" s="77"/>
      <c r="F33" s="89">
        <f>'Res (100kWh)'!F33</f>
        <v>0</v>
      </c>
      <c r="G33" s="79">
        <f>$F$18</f>
        <v>250</v>
      </c>
      <c r="H33" s="80">
        <f t="shared" si="0"/>
        <v>0</v>
      </c>
      <c r="I33" s="62"/>
      <c r="J33" s="103">
        <v>0</v>
      </c>
      <c r="K33" s="79">
        <f t="shared" si="4"/>
        <v>250</v>
      </c>
      <c r="L33" s="80">
        <f t="shared" si="1"/>
        <v>0</v>
      </c>
      <c r="M33" s="62"/>
      <c r="N33" s="82">
        <f t="shared" si="2"/>
        <v>0</v>
      </c>
      <c r="O33" s="83">
        <f t="shared" si="3"/>
      </c>
    </row>
    <row r="34" spans="2:15" s="49" customFormat="1" ht="15" hidden="1">
      <c r="B34" s="57"/>
      <c r="C34" s="53"/>
      <c r="D34" s="76"/>
      <c r="E34" s="77"/>
      <c r="F34" s="89">
        <f>'Res (100kWh)'!F34</f>
        <v>0</v>
      </c>
      <c r="G34" s="79">
        <f aca="true" t="shared" si="5" ref="G34:G40">$F$18</f>
        <v>250</v>
      </c>
      <c r="H34" s="80">
        <f t="shared" si="0"/>
        <v>0</v>
      </c>
      <c r="I34" s="62"/>
      <c r="J34" s="103"/>
      <c r="K34" s="79">
        <f t="shared" si="4"/>
        <v>250</v>
      </c>
      <c r="L34" s="80">
        <f t="shared" si="1"/>
        <v>0</v>
      </c>
      <c r="M34" s="62"/>
      <c r="N34" s="82">
        <f t="shared" si="2"/>
        <v>0</v>
      </c>
      <c r="O34" s="83">
        <f t="shared" si="3"/>
      </c>
    </row>
    <row r="35" spans="2:15" s="49" customFormat="1" ht="15" hidden="1">
      <c r="B35" s="57"/>
      <c r="C35" s="53"/>
      <c r="D35" s="76"/>
      <c r="E35" s="77"/>
      <c r="F35" s="89">
        <f>'Res (100kWh)'!F35</f>
        <v>0</v>
      </c>
      <c r="G35" s="79">
        <f t="shared" si="5"/>
        <v>250</v>
      </c>
      <c r="H35" s="80">
        <f t="shared" si="0"/>
        <v>0</v>
      </c>
      <c r="I35" s="62"/>
      <c r="J35" s="103"/>
      <c r="K35" s="79">
        <f t="shared" si="4"/>
        <v>250</v>
      </c>
      <c r="L35" s="80">
        <f t="shared" si="1"/>
        <v>0</v>
      </c>
      <c r="M35" s="62"/>
      <c r="N35" s="82">
        <f t="shared" si="2"/>
        <v>0</v>
      </c>
      <c r="O35" s="83">
        <f t="shared" si="3"/>
      </c>
    </row>
    <row r="36" spans="2:15" s="49" customFormat="1" ht="15" hidden="1">
      <c r="B36" s="57"/>
      <c r="C36" s="53"/>
      <c r="D36" s="76"/>
      <c r="E36" s="77"/>
      <c r="F36" s="89">
        <f>'Res (100kWh)'!F36</f>
        <v>0</v>
      </c>
      <c r="G36" s="79">
        <f t="shared" si="5"/>
        <v>250</v>
      </c>
      <c r="H36" s="80">
        <f t="shared" si="0"/>
        <v>0</v>
      </c>
      <c r="I36" s="62"/>
      <c r="J36" s="103"/>
      <c r="K36" s="79">
        <f t="shared" si="4"/>
        <v>250</v>
      </c>
      <c r="L36" s="80">
        <f t="shared" si="1"/>
        <v>0</v>
      </c>
      <c r="M36" s="62"/>
      <c r="N36" s="82">
        <f t="shared" si="2"/>
        <v>0</v>
      </c>
      <c r="O36" s="83">
        <f t="shared" si="3"/>
      </c>
    </row>
    <row r="37" spans="2:15" s="49" customFormat="1" ht="15" hidden="1">
      <c r="B37" s="57"/>
      <c r="C37" s="53"/>
      <c r="D37" s="76"/>
      <c r="E37" s="77"/>
      <c r="F37" s="89">
        <f>'Res (100kWh)'!F37</f>
        <v>0</v>
      </c>
      <c r="G37" s="79">
        <f t="shared" si="5"/>
        <v>250</v>
      </c>
      <c r="H37" s="80">
        <f t="shared" si="0"/>
        <v>0</v>
      </c>
      <c r="I37" s="62"/>
      <c r="J37" s="103"/>
      <c r="K37" s="79">
        <f t="shared" si="4"/>
        <v>250</v>
      </c>
      <c r="L37" s="80">
        <f t="shared" si="1"/>
        <v>0</v>
      </c>
      <c r="M37" s="62"/>
      <c r="N37" s="82">
        <f t="shared" si="2"/>
        <v>0</v>
      </c>
      <c r="O37" s="83">
        <f t="shared" si="3"/>
      </c>
    </row>
    <row r="38" spans="2:15" s="49" customFormat="1" ht="15" hidden="1">
      <c r="B38" s="57"/>
      <c r="C38" s="53"/>
      <c r="D38" s="76"/>
      <c r="E38" s="77"/>
      <c r="F38" s="89">
        <f>'Res (100kWh)'!F38</f>
        <v>0</v>
      </c>
      <c r="G38" s="79">
        <f t="shared" si="5"/>
        <v>250</v>
      </c>
      <c r="H38" s="80">
        <f t="shared" si="0"/>
        <v>0</v>
      </c>
      <c r="I38" s="62"/>
      <c r="J38" s="103"/>
      <c r="K38" s="79">
        <f t="shared" si="4"/>
        <v>250</v>
      </c>
      <c r="L38" s="80">
        <f t="shared" si="1"/>
        <v>0</v>
      </c>
      <c r="M38" s="62"/>
      <c r="N38" s="82">
        <f t="shared" si="2"/>
        <v>0</v>
      </c>
      <c r="O38" s="83">
        <f t="shared" si="3"/>
      </c>
    </row>
    <row r="39" spans="2:15" s="49" customFormat="1" ht="15" hidden="1">
      <c r="B39" s="57"/>
      <c r="C39" s="53"/>
      <c r="D39" s="76"/>
      <c r="E39" s="77"/>
      <c r="F39" s="89">
        <f>'Res (100kWh)'!F39</f>
        <v>0</v>
      </c>
      <c r="G39" s="79">
        <f t="shared" si="5"/>
        <v>250</v>
      </c>
      <c r="H39" s="80">
        <f t="shared" si="0"/>
        <v>0</v>
      </c>
      <c r="I39" s="62"/>
      <c r="J39" s="103"/>
      <c r="K39" s="79">
        <f t="shared" si="4"/>
        <v>250</v>
      </c>
      <c r="L39" s="80">
        <f t="shared" si="1"/>
        <v>0</v>
      </c>
      <c r="M39" s="62"/>
      <c r="N39" s="82">
        <f t="shared" si="2"/>
        <v>0</v>
      </c>
      <c r="O39" s="83">
        <f t="shared" si="3"/>
      </c>
    </row>
    <row r="40" spans="2:15" s="49" customFormat="1" ht="15" hidden="1">
      <c r="B40" s="57"/>
      <c r="C40" s="53"/>
      <c r="D40" s="76"/>
      <c r="E40" s="77"/>
      <c r="F40" s="89">
        <f>'Res (100kWh)'!F40</f>
        <v>0</v>
      </c>
      <c r="G40" s="79">
        <f t="shared" si="5"/>
        <v>250</v>
      </c>
      <c r="H40" s="80">
        <f t="shared" si="0"/>
        <v>0</v>
      </c>
      <c r="I40" s="62"/>
      <c r="J40" s="103"/>
      <c r="K40" s="79">
        <f t="shared" si="4"/>
        <v>250</v>
      </c>
      <c r="L40" s="80">
        <f t="shared" si="1"/>
        <v>0</v>
      </c>
      <c r="M40" s="62"/>
      <c r="N40" s="82">
        <f t="shared" si="2"/>
        <v>0</v>
      </c>
      <c r="O40" s="83">
        <f t="shared" si="3"/>
      </c>
    </row>
    <row r="41" spans="2:22" s="99" customFormat="1" ht="15">
      <c r="B41" s="58" t="s">
        <v>24</v>
      </c>
      <c r="C41" s="91"/>
      <c r="D41" s="92"/>
      <c r="E41" s="91"/>
      <c r="F41" s="93"/>
      <c r="G41" s="94"/>
      <c r="H41" s="95">
        <f>SUM(H23:H40)</f>
        <v>18.245</v>
      </c>
      <c r="I41" s="96"/>
      <c r="J41" s="371"/>
      <c r="K41" s="98"/>
      <c r="L41" s="95">
        <f>SUM(L23:L40)</f>
        <v>20.82</v>
      </c>
      <c r="M41" s="96"/>
      <c r="N41" s="142">
        <f>L41-H41</f>
        <v>2.5749999999999993</v>
      </c>
      <c r="O41" s="143">
        <f t="shared" si="3"/>
        <v>0.1411345574129898</v>
      </c>
      <c r="V41" s="49"/>
    </row>
    <row r="42" spans="2:15" s="49" customFormat="1" ht="15" hidden="1">
      <c r="B42" s="55"/>
      <c r="C42" s="53"/>
      <c r="D42" s="86" t="s">
        <v>62</v>
      </c>
      <c r="E42" s="77"/>
      <c r="F42" s="89">
        <f>'Res (100kWh)'!F42</f>
        <v>0</v>
      </c>
      <c r="G42" s="79">
        <v>1</v>
      </c>
      <c r="H42" s="80">
        <f>G42*F42</f>
        <v>0</v>
      </c>
      <c r="I42" s="62"/>
      <c r="J42" s="370"/>
      <c r="K42" s="81">
        <v>1</v>
      </c>
      <c r="L42" s="80">
        <f>K42*J42</f>
        <v>0</v>
      </c>
      <c r="M42" s="62"/>
      <c r="N42" s="82">
        <f>L42-H42</f>
        <v>0</v>
      </c>
      <c r="O42" s="83">
        <f>IF((H42)=0,"",(N42/H42))</f>
      </c>
    </row>
    <row r="43" spans="2:15" s="49" customFormat="1" ht="15">
      <c r="B43" s="376" t="s">
        <v>25</v>
      </c>
      <c r="C43" s="53"/>
      <c r="D43" s="86" t="s">
        <v>63</v>
      </c>
      <c r="E43" s="88"/>
      <c r="F43" s="372">
        <f>'Res (100kWh)'!F43</f>
        <v>-0.007</v>
      </c>
      <c r="G43" s="79">
        <f>$F$18</f>
        <v>250</v>
      </c>
      <c r="H43" s="80">
        <f aca="true" t="shared" si="6" ref="H43:H51">G43*F43</f>
        <v>-1.75</v>
      </c>
      <c r="I43" s="62"/>
      <c r="J43" s="372">
        <f>'Res (100kWh)'!J43</f>
        <v>0.0021</v>
      </c>
      <c r="K43" s="79">
        <f>$F$18</f>
        <v>250</v>
      </c>
      <c r="L43" s="80">
        <f aca="true" t="shared" si="7" ref="L43:L51">K43*J43</f>
        <v>0.525</v>
      </c>
      <c r="M43" s="62"/>
      <c r="N43" s="207">
        <f t="shared" si="2"/>
        <v>2.275</v>
      </c>
      <c r="O43" s="83">
        <f t="shared" si="3"/>
        <v>-1.3</v>
      </c>
    </row>
    <row r="44" spans="2:15" s="49" customFormat="1" ht="15" hidden="1">
      <c r="B44" s="56"/>
      <c r="C44" s="53"/>
      <c r="D44" s="76" t="s">
        <v>63</v>
      </c>
      <c r="E44" s="77"/>
      <c r="F44" s="104">
        <f>'Res (100kWh)'!F44</f>
        <v>0</v>
      </c>
      <c r="G44" s="79">
        <f>$F$18</f>
        <v>250</v>
      </c>
      <c r="H44" s="80">
        <f t="shared" si="6"/>
        <v>0</v>
      </c>
      <c r="I44" s="101"/>
      <c r="J44" s="103">
        <f>'Res (100kWh)'!J44</f>
        <v>0</v>
      </c>
      <c r="K44" s="79">
        <f>$F$18</f>
        <v>250</v>
      </c>
      <c r="L44" s="80">
        <f t="shared" si="7"/>
        <v>0</v>
      </c>
      <c r="M44" s="102"/>
      <c r="N44" s="207">
        <f t="shared" si="2"/>
        <v>0</v>
      </c>
      <c r="O44" s="83">
        <f t="shared" si="3"/>
      </c>
    </row>
    <row r="45" spans="2:15" s="49" customFormat="1" ht="15" hidden="1">
      <c r="B45" s="56"/>
      <c r="C45" s="53"/>
      <c r="D45" s="76" t="s">
        <v>63</v>
      </c>
      <c r="E45" s="77"/>
      <c r="F45" s="104">
        <f>'Res (100kWh)'!F45</f>
        <v>0</v>
      </c>
      <c r="G45" s="79">
        <f>$F$18</f>
        <v>250</v>
      </c>
      <c r="H45" s="80">
        <f t="shared" si="6"/>
        <v>0</v>
      </c>
      <c r="I45" s="101"/>
      <c r="J45" s="103">
        <f>'Res (100kWh)'!J45</f>
        <v>0</v>
      </c>
      <c r="K45" s="79">
        <f>$F$18</f>
        <v>250</v>
      </c>
      <c r="L45" s="80">
        <f t="shared" si="7"/>
        <v>0</v>
      </c>
      <c r="M45" s="102"/>
      <c r="N45" s="207">
        <f t="shared" si="2"/>
        <v>0</v>
      </c>
      <c r="O45" s="83">
        <f t="shared" si="3"/>
      </c>
    </row>
    <row r="46" spans="2:15" s="49" customFormat="1" ht="15" hidden="1">
      <c r="B46" s="375"/>
      <c r="C46" s="53"/>
      <c r="D46" s="76" t="s">
        <v>62</v>
      </c>
      <c r="E46" s="77"/>
      <c r="F46" s="104">
        <f>'Res (100kWh)'!F46</f>
        <v>0</v>
      </c>
      <c r="G46" s="79">
        <v>1</v>
      </c>
      <c r="H46" s="80">
        <f t="shared" si="6"/>
        <v>0</v>
      </c>
      <c r="I46" s="101"/>
      <c r="J46" s="103">
        <f>'Res (100kWh)'!J46</f>
        <v>0</v>
      </c>
      <c r="K46" s="79">
        <v>1</v>
      </c>
      <c r="L46" s="80">
        <f t="shared" si="7"/>
        <v>0</v>
      </c>
      <c r="M46" s="102"/>
      <c r="N46" s="207">
        <f t="shared" si="2"/>
        <v>0</v>
      </c>
      <c r="O46" s="83">
        <f t="shared" si="3"/>
      </c>
    </row>
    <row r="47" spans="2:15" s="49" customFormat="1" ht="15" hidden="1">
      <c r="B47" s="376"/>
      <c r="C47" s="53"/>
      <c r="D47" s="76" t="s">
        <v>62</v>
      </c>
      <c r="E47" s="77"/>
      <c r="F47" s="104">
        <f>'Res (100kWh)'!F47</f>
        <v>0</v>
      </c>
      <c r="G47" s="79">
        <v>1</v>
      </c>
      <c r="H47" s="80">
        <f t="shared" si="6"/>
        <v>0</v>
      </c>
      <c r="I47" s="62"/>
      <c r="J47" s="207">
        <f>'Res (100kWh)'!J47</f>
        <v>0</v>
      </c>
      <c r="K47" s="79">
        <v>1</v>
      </c>
      <c r="L47" s="80">
        <f t="shared" si="7"/>
        <v>0</v>
      </c>
      <c r="M47" s="62"/>
      <c r="N47" s="207">
        <f>L47-H47</f>
        <v>0</v>
      </c>
      <c r="O47" s="83">
        <f>IF((H47)=0,"",(N47/H47))</f>
      </c>
    </row>
    <row r="48" spans="2:15" s="49" customFormat="1" ht="15" hidden="1">
      <c r="B48" s="53"/>
      <c r="C48" s="53"/>
      <c r="D48" s="76" t="s">
        <v>63</v>
      </c>
      <c r="E48" s="77"/>
      <c r="F48" s="104">
        <f>'Res (100kWh)'!F48</f>
        <v>0</v>
      </c>
      <c r="G48" s="79">
        <f>$F$18</f>
        <v>250</v>
      </c>
      <c r="H48" s="80">
        <f>G48*F48</f>
        <v>0</v>
      </c>
      <c r="I48" s="62"/>
      <c r="J48" s="103">
        <f>'Res (100kWh)'!J48</f>
        <v>0</v>
      </c>
      <c r="K48" s="79">
        <f>$F$18</f>
        <v>250</v>
      </c>
      <c r="L48" s="80">
        <f>K48*J48</f>
        <v>0</v>
      </c>
      <c r="M48" s="62"/>
      <c r="N48" s="207">
        <f>L48-H48</f>
        <v>0</v>
      </c>
      <c r="O48" s="83">
        <f>IF((H48)=0,"",(N48/H48))</f>
      </c>
    </row>
    <row r="49" spans="2:17" s="49" customFormat="1" ht="15">
      <c r="B49" s="59" t="s">
        <v>26</v>
      </c>
      <c r="C49" s="53"/>
      <c r="D49" s="76" t="s">
        <v>63</v>
      </c>
      <c r="E49" s="77"/>
      <c r="F49" s="104">
        <f>'Res (100kWh)'!F49</f>
        <v>0.0024</v>
      </c>
      <c r="G49" s="79">
        <f>$F$18</f>
        <v>250</v>
      </c>
      <c r="H49" s="80">
        <f t="shared" si="6"/>
        <v>0.6</v>
      </c>
      <c r="I49" s="62"/>
      <c r="J49" s="103">
        <f>'Res (100kWh)'!J49</f>
        <v>0.0024</v>
      </c>
      <c r="K49" s="79">
        <f>$F$18</f>
        <v>250</v>
      </c>
      <c r="L49" s="80">
        <f t="shared" si="7"/>
        <v>0.6</v>
      </c>
      <c r="M49" s="62"/>
      <c r="N49" s="207">
        <f t="shared" si="2"/>
        <v>0</v>
      </c>
      <c r="O49" s="83">
        <f t="shared" si="3"/>
        <v>0</v>
      </c>
      <c r="Q49" s="114"/>
    </row>
    <row r="50" spans="2:15" s="99" customFormat="1" ht="15">
      <c r="B50" s="60" t="s">
        <v>27</v>
      </c>
      <c r="C50" s="77"/>
      <c r="D50" s="76" t="s">
        <v>63</v>
      </c>
      <c r="E50" s="77"/>
      <c r="F50" s="104">
        <f>IF(ISBLANK(D16)=TRUE,0,IF(D16="TOU",0.64*$F$61+0.18*$F$62+0.18*$F$63,IF(AND(D16="non-TOU",G65&gt;0),F65,F64)))</f>
        <v>0.10214000000000001</v>
      </c>
      <c r="G50" s="79">
        <f>$F$18*(1+$F$80)-$F$18</f>
        <v>12.375</v>
      </c>
      <c r="H50" s="105">
        <f t="shared" si="6"/>
        <v>1.2639825</v>
      </c>
      <c r="I50" s="88"/>
      <c r="J50" s="103">
        <f>0.64*$F$61+0.18*$F$62+0.18*$F$63</f>
        <v>0.10214000000000001</v>
      </c>
      <c r="K50" s="79">
        <f>$F$18*(1+$J$80)-$F$18</f>
        <v>12.375</v>
      </c>
      <c r="L50" s="105">
        <f t="shared" si="7"/>
        <v>1.2639825</v>
      </c>
      <c r="M50" s="88"/>
      <c r="N50" s="207">
        <f t="shared" si="2"/>
        <v>0</v>
      </c>
      <c r="O50" s="106">
        <f t="shared" si="3"/>
        <v>0</v>
      </c>
    </row>
    <row r="51" spans="2:15" s="49" customFormat="1" ht="15">
      <c r="B51" s="59" t="s">
        <v>28</v>
      </c>
      <c r="C51" s="53"/>
      <c r="D51" s="76" t="s">
        <v>62</v>
      </c>
      <c r="E51" s="77"/>
      <c r="F51" s="369">
        <f>'Res (100kWh)'!F51</f>
        <v>0.79</v>
      </c>
      <c r="G51" s="79">
        <v>1</v>
      </c>
      <c r="H51" s="80">
        <f t="shared" si="6"/>
        <v>0.79</v>
      </c>
      <c r="I51" s="62"/>
      <c r="J51" s="369">
        <f>'Res (100kWh)'!J51</f>
        <v>0.79</v>
      </c>
      <c r="K51" s="79">
        <v>1</v>
      </c>
      <c r="L51" s="80">
        <f t="shared" si="7"/>
        <v>0.79</v>
      </c>
      <c r="M51" s="62"/>
      <c r="N51" s="207">
        <f t="shared" si="2"/>
        <v>0</v>
      </c>
      <c r="O51" s="83"/>
    </row>
    <row r="52" spans="2:15" s="49" customFormat="1" ht="30">
      <c r="B52" s="61" t="s">
        <v>29</v>
      </c>
      <c r="C52" s="107"/>
      <c r="D52" s="107"/>
      <c r="E52" s="107"/>
      <c r="F52" s="108"/>
      <c r="G52" s="109"/>
      <c r="H52" s="144">
        <f>SUM(H42:H51)+H41</f>
        <v>19.148982500000002</v>
      </c>
      <c r="I52" s="96"/>
      <c r="J52" s="373"/>
      <c r="K52" s="110"/>
      <c r="L52" s="144">
        <f>SUM(L42:L51)+L41</f>
        <v>23.9989825</v>
      </c>
      <c r="M52" s="96"/>
      <c r="N52" s="142">
        <f t="shared" si="2"/>
        <v>4.849999999999998</v>
      </c>
      <c r="O52" s="143">
        <f aca="true" t="shared" si="8" ref="O52:O71">IF((H52)=0,"",(N52/H52))</f>
        <v>0.2532771649877479</v>
      </c>
    </row>
    <row r="53" spans="2:15" s="49" customFormat="1" ht="15">
      <c r="B53" s="62" t="s">
        <v>30</v>
      </c>
      <c r="C53" s="62"/>
      <c r="D53" s="86" t="s">
        <v>63</v>
      </c>
      <c r="E53" s="88"/>
      <c r="F53" s="103">
        <f>'Res (100kWh)'!F53</f>
        <v>0.0048</v>
      </c>
      <c r="G53" s="468">
        <f>F18*(1+F80)</f>
        <v>262.375</v>
      </c>
      <c r="H53" s="80">
        <f>G53*F53</f>
        <v>1.2593999999999999</v>
      </c>
      <c r="I53" s="62"/>
      <c r="J53" s="103">
        <f>'Res (100kWh)'!J53</f>
        <v>0.0064</v>
      </c>
      <c r="K53" s="469">
        <f>F18*(1+J80)</f>
        <v>262.375</v>
      </c>
      <c r="L53" s="80">
        <f>K53*J53</f>
        <v>1.6792</v>
      </c>
      <c r="M53" s="62"/>
      <c r="N53" s="207">
        <f t="shared" si="2"/>
        <v>0.4198000000000002</v>
      </c>
      <c r="O53" s="83">
        <f t="shared" si="8"/>
        <v>0.33333333333333354</v>
      </c>
    </row>
    <row r="54" spans="2:15" s="49" customFormat="1" ht="15">
      <c r="B54" s="63" t="s">
        <v>31</v>
      </c>
      <c r="C54" s="62"/>
      <c r="D54" s="86" t="s">
        <v>63</v>
      </c>
      <c r="E54" s="88"/>
      <c r="F54" s="103">
        <f>'Res (100kWh)'!F54</f>
        <v>0.0019</v>
      </c>
      <c r="G54" s="468">
        <f>G53</f>
        <v>262.375</v>
      </c>
      <c r="H54" s="80">
        <f>G54*F54</f>
        <v>0.4985125</v>
      </c>
      <c r="I54" s="62"/>
      <c r="J54" s="103">
        <f>'Res (100kWh)'!J54</f>
        <v>0.003</v>
      </c>
      <c r="K54" s="469">
        <f>K53</f>
        <v>262.375</v>
      </c>
      <c r="L54" s="80">
        <f>K54*J54</f>
        <v>0.787125</v>
      </c>
      <c r="M54" s="62"/>
      <c r="N54" s="207">
        <f t="shared" si="2"/>
        <v>0.28861249999999994</v>
      </c>
      <c r="O54" s="83">
        <f t="shared" si="8"/>
        <v>0.5789473684210524</v>
      </c>
    </row>
    <row r="55" spans="2:15" s="49" customFormat="1" ht="15">
      <c r="B55" s="61" t="s">
        <v>32</v>
      </c>
      <c r="C55" s="91"/>
      <c r="D55" s="91"/>
      <c r="E55" s="91"/>
      <c r="F55" s="111"/>
      <c r="G55" s="109"/>
      <c r="H55" s="144">
        <f>SUM(H52:H54)</f>
        <v>20.906895000000002</v>
      </c>
      <c r="I55" s="145"/>
      <c r="J55" s="374"/>
      <c r="K55" s="147"/>
      <c r="L55" s="144">
        <f>SUM(L52:L54)</f>
        <v>26.4653075</v>
      </c>
      <c r="M55" s="145"/>
      <c r="N55" s="142">
        <f t="shared" si="2"/>
        <v>5.558412499999999</v>
      </c>
      <c r="O55" s="143">
        <f t="shared" si="8"/>
        <v>0.26586504117421544</v>
      </c>
    </row>
    <row r="56" spans="2:15" s="49" customFormat="1" ht="15">
      <c r="B56" s="54" t="s">
        <v>33</v>
      </c>
      <c r="C56" s="53"/>
      <c r="D56" s="76" t="s">
        <v>63</v>
      </c>
      <c r="E56" s="77"/>
      <c r="F56" s="104">
        <f>'Res (100kWh)'!F56</f>
        <v>0.0044</v>
      </c>
      <c r="G56" s="468">
        <f>G54</f>
        <v>262.375</v>
      </c>
      <c r="H56" s="80">
        <f aca="true" t="shared" si="9" ref="H56:H63">G56*F56</f>
        <v>1.15445</v>
      </c>
      <c r="I56" s="62"/>
      <c r="J56" s="432">
        <f>'Res (100kWh)'!J56</f>
        <v>0.0036</v>
      </c>
      <c r="K56" s="469">
        <f>K54</f>
        <v>262.375</v>
      </c>
      <c r="L56" s="80">
        <f aca="true" t="shared" si="10" ref="L56:L63">K56*J56</f>
        <v>0.94455</v>
      </c>
      <c r="M56" s="62"/>
      <c r="N56" s="207">
        <f t="shared" si="2"/>
        <v>-0.20989999999999998</v>
      </c>
      <c r="O56" s="83">
        <f t="shared" si="8"/>
        <v>-0.1818181818181818</v>
      </c>
    </row>
    <row r="57" spans="2:15" s="49" customFormat="1" ht="15">
      <c r="B57" s="54" t="s">
        <v>34</v>
      </c>
      <c r="C57" s="53"/>
      <c r="D57" s="76" t="s">
        <v>63</v>
      </c>
      <c r="E57" s="77"/>
      <c r="F57" s="104">
        <f>'Res (100kWh)'!F57</f>
        <v>0.0013</v>
      </c>
      <c r="G57" s="468">
        <f>G54</f>
        <v>262.375</v>
      </c>
      <c r="H57" s="80">
        <f t="shared" si="9"/>
        <v>0.3410875</v>
      </c>
      <c r="I57" s="62"/>
      <c r="J57" s="103">
        <f>'Res (100kWh)'!J57</f>
        <v>0.0013</v>
      </c>
      <c r="K57" s="469">
        <f>K54</f>
        <v>262.375</v>
      </c>
      <c r="L57" s="80">
        <f t="shared" si="10"/>
        <v>0.3410875</v>
      </c>
      <c r="M57" s="62"/>
      <c r="N57" s="207">
        <f t="shared" si="2"/>
        <v>0</v>
      </c>
      <c r="O57" s="83">
        <f t="shared" si="8"/>
        <v>0</v>
      </c>
    </row>
    <row r="58" spans="2:15" s="49" customFormat="1" ht="15">
      <c r="B58" s="54" t="s">
        <v>121</v>
      </c>
      <c r="C58" s="53"/>
      <c r="D58" s="76" t="s">
        <v>63</v>
      </c>
      <c r="E58" s="77"/>
      <c r="F58" s="104">
        <f>'Res (100kWh)'!F58</f>
        <v>0</v>
      </c>
      <c r="G58" s="468">
        <f>G54</f>
        <v>262.375</v>
      </c>
      <c r="H58" s="80">
        <f t="shared" si="9"/>
        <v>0</v>
      </c>
      <c r="I58" s="62"/>
      <c r="J58" s="432">
        <f>'Res (100kWh)'!J58</f>
        <v>0.0011</v>
      </c>
      <c r="K58" s="469">
        <f>K54</f>
        <v>262.375</v>
      </c>
      <c r="L58" s="80">
        <f t="shared" si="10"/>
        <v>0.2886125</v>
      </c>
      <c r="M58" s="62"/>
      <c r="N58" s="207">
        <f t="shared" si="2"/>
        <v>0.2886125</v>
      </c>
      <c r="O58" s="83">
        <f t="shared" si="8"/>
      </c>
    </row>
    <row r="59" spans="2:15" s="49" customFormat="1" ht="15">
      <c r="B59" s="53" t="s">
        <v>35</v>
      </c>
      <c r="C59" s="53"/>
      <c r="D59" s="76" t="s">
        <v>62</v>
      </c>
      <c r="E59" s="77"/>
      <c r="F59" s="369">
        <f>'Res (100kWh)'!F59</f>
        <v>0.25</v>
      </c>
      <c r="G59" s="79">
        <v>1</v>
      </c>
      <c r="H59" s="80">
        <f t="shared" si="9"/>
        <v>0.25</v>
      </c>
      <c r="I59" s="62"/>
      <c r="J59" s="370">
        <f>'Res (100kWh)'!J59</f>
        <v>0.25</v>
      </c>
      <c r="K59" s="81">
        <v>1</v>
      </c>
      <c r="L59" s="80">
        <f t="shared" si="10"/>
        <v>0.25</v>
      </c>
      <c r="M59" s="62"/>
      <c r="N59" s="207">
        <f t="shared" si="2"/>
        <v>0</v>
      </c>
      <c r="O59" s="83">
        <f t="shared" si="8"/>
        <v>0</v>
      </c>
    </row>
    <row r="60" spans="2:15" s="49" customFormat="1" ht="15">
      <c r="B60" s="53" t="s">
        <v>36</v>
      </c>
      <c r="C60" s="53"/>
      <c r="D60" s="76" t="s">
        <v>63</v>
      </c>
      <c r="E60" s="77"/>
      <c r="F60" s="104">
        <f>'Res (100kWh)'!F60</f>
        <v>0.007</v>
      </c>
      <c r="G60" s="112">
        <f>F18</f>
        <v>250</v>
      </c>
      <c r="H60" s="80">
        <f t="shared" si="9"/>
        <v>1.75</v>
      </c>
      <c r="I60" s="62"/>
      <c r="J60" s="103">
        <f>'Res (100kWh)'!J60</f>
        <v>0</v>
      </c>
      <c r="K60" s="113">
        <f>F18</f>
        <v>250</v>
      </c>
      <c r="L60" s="80">
        <f t="shared" si="10"/>
        <v>0</v>
      </c>
      <c r="M60" s="62"/>
      <c r="N60" s="207">
        <f t="shared" si="2"/>
        <v>-1.75</v>
      </c>
      <c r="O60" s="83">
        <f t="shared" si="8"/>
        <v>-1</v>
      </c>
    </row>
    <row r="61" spans="2:19" s="49" customFormat="1" ht="15">
      <c r="B61" s="59" t="s">
        <v>37</v>
      </c>
      <c r="C61" s="53"/>
      <c r="D61" s="76" t="s">
        <v>63</v>
      </c>
      <c r="E61" s="77"/>
      <c r="F61" s="104">
        <f>'Res (100kWh)'!F61</f>
        <v>0.08</v>
      </c>
      <c r="G61" s="112">
        <f>0.64*$F$18</f>
        <v>160</v>
      </c>
      <c r="H61" s="80">
        <f t="shared" si="9"/>
        <v>12.8</v>
      </c>
      <c r="I61" s="62"/>
      <c r="J61" s="104">
        <f>'Res (100kWh)'!J61</f>
        <v>0.08</v>
      </c>
      <c r="K61" s="112">
        <f>G61</f>
        <v>160</v>
      </c>
      <c r="L61" s="80">
        <f t="shared" si="10"/>
        <v>12.8</v>
      </c>
      <c r="M61" s="62"/>
      <c r="N61" s="207">
        <f t="shared" si="2"/>
        <v>0</v>
      </c>
      <c r="O61" s="83">
        <f t="shared" si="8"/>
        <v>0</v>
      </c>
      <c r="S61" s="114"/>
    </row>
    <row r="62" spans="2:19" s="49" customFormat="1" ht="15">
      <c r="B62" s="59" t="s">
        <v>38</v>
      </c>
      <c r="C62" s="53"/>
      <c r="D62" s="76" t="s">
        <v>63</v>
      </c>
      <c r="E62" s="77"/>
      <c r="F62" s="104">
        <f>'Res (100kWh)'!F62</f>
        <v>0.122</v>
      </c>
      <c r="G62" s="112">
        <f>0.18*$F$18</f>
        <v>45</v>
      </c>
      <c r="H62" s="80">
        <f t="shared" si="9"/>
        <v>5.49</v>
      </c>
      <c r="I62" s="62"/>
      <c r="J62" s="104">
        <f>'Res (100kWh)'!J62</f>
        <v>0.122</v>
      </c>
      <c r="K62" s="112">
        <f>G62</f>
        <v>45</v>
      </c>
      <c r="L62" s="80">
        <f t="shared" si="10"/>
        <v>5.49</v>
      </c>
      <c r="M62" s="62"/>
      <c r="N62" s="207">
        <f t="shared" si="2"/>
        <v>0</v>
      </c>
      <c r="O62" s="83">
        <f t="shared" si="8"/>
        <v>0</v>
      </c>
      <c r="S62" s="114"/>
    </row>
    <row r="63" spans="2:19" s="49" customFormat="1" ht="15">
      <c r="B63" s="52" t="s">
        <v>39</v>
      </c>
      <c r="C63" s="53"/>
      <c r="D63" s="76" t="s">
        <v>63</v>
      </c>
      <c r="E63" s="77"/>
      <c r="F63" s="104">
        <f>'Res (100kWh)'!F63</f>
        <v>0.161</v>
      </c>
      <c r="G63" s="112">
        <f>0.18*$F$18</f>
        <v>45</v>
      </c>
      <c r="H63" s="80">
        <f t="shared" si="9"/>
        <v>7.245</v>
      </c>
      <c r="I63" s="62"/>
      <c r="J63" s="104">
        <f>'Res (100kWh)'!J63</f>
        <v>0.161</v>
      </c>
      <c r="K63" s="112">
        <f>G63</f>
        <v>45</v>
      </c>
      <c r="L63" s="80">
        <f t="shared" si="10"/>
        <v>7.245</v>
      </c>
      <c r="M63" s="62"/>
      <c r="N63" s="207">
        <f t="shared" si="2"/>
        <v>0</v>
      </c>
      <c r="O63" s="83">
        <f t="shared" si="8"/>
        <v>0</v>
      </c>
      <c r="S63" s="114"/>
    </row>
    <row r="64" spans="2:15" s="152" customFormat="1" ht="15">
      <c r="B64" s="64" t="s">
        <v>40</v>
      </c>
      <c r="C64" s="64"/>
      <c r="D64" s="148" t="s">
        <v>63</v>
      </c>
      <c r="E64" s="149"/>
      <c r="F64" s="104">
        <f>'Res (100kWh)'!F64</f>
        <v>0.094</v>
      </c>
      <c r="G64" s="150">
        <f>IF(AND($T$1=1,F18&gt;=600),600,IF(AND($T$1=1,AND(F18&lt;600,F18&gt;=0)),F18,IF(AND($T$1=2,F18&gt;=1000),1000,IF(AND($T$1=2,AND(F18&lt;1000,F18&gt;=0)),F18))))</f>
        <v>250</v>
      </c>
      <c r="H64" s="80">
        <f>G64*F64</f>
        <v>23.5</v>
      </c>
      <c r="I64" s="151"/>
      <c r="J64" s="104">
        <f>'Res (100kWh)'!J64</f>
        <v>0.094</v>
      </c>
      <c r="K64" s="150">
        <f>G64</f>
        <v>250</v>
      </c>
      <c r="L64" s="80">
        <f>K64*J64</f>
        <v>23.5</v>
      </c>
      <c r="M64" s="151"/>
      <c r="N64" s="207">
        <f t="shared" si="2"/>
        <v>0</v>
      </c>
      <c r="O64" s="83">
        <f t="shared" si="8"/>
        <v>0</v>
      </c>
    </row>
    <row r="65" spans="2:15" s="152" customFormat="1" ht="15.75" thickBot="1">
      <c r="B65" s="64" t="s">
        <v>41</v>
      </c>
      <c r="C65" s="64"/>
      <c r="D65" s="148" t="s">
        <v>63</v>
      </c>
      <c r="E65" s="149"/>
      <c r="F65" s="104">
        <f>'Res (100kWh)'!F65</f>
        <v>0.11</v>
      </c>
      <c r="G65" s="150">
        <f>IF(AND($T$1=1,F18&gt;=600),F18-600,IF(AND($T$1=1,AND(F18&lt;600,F18&gt;=0)),0,IF(AND($T$1=2,F18&gt;=1000),F18-1000,IF(AND($T$1=2,AND(F18&lt;1000,F18&gt;=0)),0))))</f>
        <v>0</v>
      </c>
      <c r="H65" s="80">
        <f>G65*F65</f>
        <v>0</v>
      </c>
      <c r="I65" s="151"/>
      <c r="J65" s="104">
        <f>'Res (100kWh)'!J65</f>
        <v>0.11</v>
      </c>
      <c r="K65" s="150">
        <f>G65</f>
        <v>0</v>
      </c>
      <c r="L65" s="80">
        <f>K65*J65</f>
        <v>0</v>
      </c>
      <c r="M65" s="151"/>
      <c r="N65" s="207">
        <f t="shared" si="2"/>
        <v>0</v>
      </c>
      <c r="O65" s="83">
        <f t="shared" si="8"/>
      </c>
    </row>
    <row r="66" spans="2:15" s="49" customFormat="1" ht="8.25" customHeight="1" thickBot="1">
      <c r="B66" s="65"/>
      <c r="C66" s="74"/>
      <c r="D66" s="75"/>
      <c r="E66" s="74"/>
      <c r="F66" s="115"/>
      <c r="G66" s="116"/>
      <c r="H66" s="117"/>
      <c r="I66" s="118"/>
      <c r="J66" s="115"/>
      <c r="K66" s="119"/>
      <c r="L66" s="117"/>
      <c r="M66" s="118"/>
      <c r="N66" s="120"/>
      <c r="O66" s="121"/>
    </row>
    <row r="67" spans="2:19" s="49" customFormat="1" ht="15">
      <c r="B67" s="66" t="s">
        <v>42</v>
      </c>
      <c r="C67" s="53"/>
      <c r="D67" s="53"/>
      <c r="E67" s="53"/>
      <c r="F67" s="122"/>
      <c r="G67" s="123"/>
      <c r="H67" s="153">
        <f>SUM(H56:H63,H55)</f>
        <v>49.93743250000001</v>
      </c>
      <c r="I67" s="154"/>
      <c r="J67" s="155"/>
      <c r="K67" s="155"/>
      <c r="L67" s="156">
        <f>SUM(L56:L63,L55)</f>
        <v>53.8245575</v>
      </c>
      <c r="M67" s="157"/>
      <c r="N67" s="208">
        <f>L67-H67</f>
        <v>3.8871249999999904</v>
      </c>
      <c r="O67" s="158">
        <f>IF((H67)=0,"",(N67/H67))</f>
        <v>0.07783990496507785</v>
      </c>
      <c r="S67" s="114"/>
    </row>
    <row r="68" spans="2:19" s="49" customFormat="1" ht="15">
      <c r="B68" s="67" t="s">
        <v>43</v>
      </c>
      <c r="C68" s="53"/>
      <c r="D68" s="53"/>
      <c r="E68" s="53"/>
      <c r="F68" s="124">
        <v>0.13</v>
      </c>
      <c r="G68" s="125"/>
      <c r="H68" s="159">
        <f>H67*F68</f>
        <v>6.491866225000001</v>
      </c>
      <c r="I68" s="160"/>
      <c r="J68" s="161">
        <v>0.13</v>
      </c>
      <c r="K68" s="160"/>
      <c r="L68" s="162">
        <f>L67*J68</f>
        <v>6.997192475</v>
      </c>
      <c r="M68" s="163"/>
      <c r="N68" s="207">
        <f t="shared" si="2"/>
        <v>0.5053262499999995</v>
      </c>
      <c r="O68" s="164">
        <f t="shared" si="8"/>
        <v>0.07783990496507796</v>
      </c>
      <c r="S68" s="114"/>
    </row>
    <row r="69" spans="2:19" s="49" customFormat="1" ht="15">
      <c r="B69" s="68" t="s">
        <v>44</v>
      </c>
      <c r="C69" s="53"/>
      <c r="D69" s="53"/>
      <c r="E69" s="53"/>
      <c r="F69" s="126"/>
      <c r="G69" s="125"/>
      <c r="H69" s="159">
        <f>H67+H68</f>
        <v>56.42929872500001</v>
      </c>
      <c r="I69" s="160"/>
      <c r="J69" s="160"/>
      <c r="K69" s="160"/>
      <c r="L69" s="162">
        <f>L67+L68</f>
        <v>60.821749974999996</v>
      </c>
      <c r="M69" s="163"/>
      <c r="N69" s="207">
        <f t="shared" si="2"/>
        <v>4.392451249999986</v>
      </c>
      <c r="O69" s="164">
        <f t="shared" si="8"/>
        <v>0.0778399049650778</v>
      </c>
      <c r="S69" s="114"/>
    </row>
    <row r="70" spans="2:15" s="49" customFormat="1" ht="15.75" customHeight="1">
      <c r="B70" s="572" t="s">
        <v>45</v>
      </c>
      <c r="C70" s="572"/>
      <c r="D70" s="572"/>
      <c r="E70" s="53"/>
      <c r="F70" s="126"/>
      <c r="G70" s="125"/>
      <c r="H70" s="165">
        <f>ROUND(-H69*10%,2)</f>
        <v>-5.64</v>
      </c>
      <c r="I70" s="160"/>
      <c r="J70" s="160"/>
      <c r="K70" s="160"/>
      <c r="L70" s="166">
        <v>0</v>
      </c>
      <c r="M70" s="163"/>
      <c r="N70" s="207">
        <f t="shared" si="2"/>
        <v>5.64</v>
      </c>
      <c r="O70" s="167">
        <f t="shared" si="8"/>
        <v>-1</v>
      </c>
    </row>
    <row r="71" spans="2:15" s="49" customFormat="1" ht="15.75" thickBot="1">
      <c r="B71" s="573" t="s">
        <v>46</v>
      </c>
      <c r="C71" s="573"/>
      <c r="D71" s="573"/>
      <c r="E71" s="127"/>
      <c r="F71" s="128"/>
      <c r="G71" s="129"/>
      <c r="H71" s="168">
        <f>H69+H70</f>
        <v>50.78929872500001</v>
      </c>
      <c r="I71" s="169"/>
      <c r="J71" s="169"/>
      <c r="K71" s="169"/>
      <c r="L71" s="170">
        <f>L69+L70</f>
        <v>60.821749974999996</v>
      </c>
      <c r="M71" s="171"/>
      <c r="N71" s="209">
        <f t="shared" si="2"/>
        <v>10.032451249999987</v>
      </c>
      <c r="O71" s="172">
        <f t="shared" si="8"/>
        <v>0.1975308086910386</v>
      </c>
    </row>
    <row r="72" spans="2:15" s="152" customFormat="1" ht="8.25" customHeight="1" thickBot="1">
      <c r="B72" s="69"/>
      <c r="C72" s="173"/>
      <c r="D72" s="174"/>
      <c r="E72" s="173"/>
      <c r="F72" s="115"/>
      <c r="G72" s="175"/>
      <c r="H72" s="117"/>
      <c r="I72" s="176"/>
      <c r="J72" s="115"/>
      <c r="K72" s="177"/>
      <c r="L72" s="117"/>
      <c r="M72" s="176"/>
      <c r="N72" s="178"/>
      <c r="O72" s="121"/>
    </row>
    <row r="73" spans="2:15" s="152" customFormat="1" ht="15">
      <c r="B73" s="70" t="s">
        <v>47</v>
      </c>
      <c r="C73" s="64"/>
      <c r="D73" s="64"/>
      <c r="E73" s="64"/>
      <c r="F73" s="179"/>
      <c r="G73" s="180"/>
      <c r="H73" s="181">
        <f>SUM(H64:H65,H55,H56:H60)</f>
        <v>47.9024325</v>
      </c>
      <c r="I73" s="182"/>
      <c r="J73" s="183"/>
      <c r="K73" s="183"/>
      <c r="L73" s="184">
        <f>SUM(L64:L65,L55,L56:L60)</f>
        <v>51.7895575</v>
      </c>
      <c r="M73" s="185"/>
      <c r="N73" s="208">
        <f>L73-H73</f>
        <v>3.8871249999999975</v>
      </c>
      <c r="O73" s="158">
        <f>IF((H73)=0,"",(N73/H73))</f>
        <v>0.08114671420913744</v>
      </c>
    </row>
    <row r="74" spans="2:15" s="152" customFormat="1" ht="15">
      <c r="B74" s="71" t="s">
        <v>43</v>
      </c>
      <c r="C74" s="64"/>
      <c r="D74" s="64"/>
      <c r="E74" s="64"/>
      <c r="F74" s="186">
        <v>0.13</v>
      </c>
      <c r="G74" s="180"/>
      <c r="H74" s="187">
        <f>H73*F74</f>
        <v>6.227316225000001</v>
      </c>
      <c r="I74" s="188"/>
      <c r="J74" s="186">
        <v>0.13</v>
      </c>
      <c r="K74" s="189"/>
      <c r="L74" s="190">
        <f>L73*J74</f>
        <v>6.7326424750000005</v>
      </c>
      <c r="M74" s="191"/>
      <c r="N74" s="207">
        <f>L74-H74</f>
        <v>0.5053262499999995</v>
      </c>
      <c r="O74" s="164">
        <f>IF((H74)=0,"",(N74/H74))</f>
        <v>0.08114671420913741</v>
      </c>
    </row>
    <row r="75" spans="2:15" s="152" customFormat="1" ht="15">
      <c r="B75" s="72" t="s">
        <v>44</v>
      </c>
      <c r="C75" s="64"/>
      <c r="D75" s="64"/>
      <c r="E75" s="64"/>
      <c r="F75" s="192"/>
      <c r="G75" s="191"/>
      <c r="H75" s="187">
        <f>H73+H74</f>
        <v>54.129748725000006</v>
      </c>
      <c r="I75" s="188"/>
      <c r="J75" s="188"/>
      <c r="K75" s="188"/>
      <c r="L75" s="190">
        <f>L73+L74</f>
        <v>58.522199975</v>
      </c>
      <c r="M75" s="191"/>
      <c r="N75" s="207">
        <f>L75-H75</f>
        <v>4.3924512499999935</v>
      </c>
      <c r="O75" s="164">
        <f>IF((H75)=0,"",(N75/H75))</f>
        <v>0.08114671420913737</v>
      </c>
    </row>
    <row r="76" spans="2:15" s="152" customFormat="1" ht="15.75" customHeight="1">
      <c r="B76" s="574" t="s">
        <v>45</v>
      </c>
      <c r="C76" s="574"/>
      <c r="D76" s="574"/>
      <c r="E76" s="64"/>
      <c r="F76" s="192"/>
      <c r="G76" s="191"/>
      <c r="H76" s="193">
        <f>ROUND(-H75*10%,2)</f>
        <v>-5.41</v>
      </c>
      <c r="I76" s="188"/>
      <c r="J76" s="188"/>
      <c r="K76" s="188"/>
      <c r="L76" s="194">
        <v>0</v>
      </c>
      <c r="M76" s="191"/>
      <c r="N76" s="207">
        <f>L76-H76</f>
        <v>5.41</v>
      </c>
      <c r="O76" s="167">
        <f>IF((H76)=0,"",(N76/H76))</f>
        <v>-1</v>
      </c>
    </row>
    <row r="77" spans="2:15" s="152" customFormat="1" ht="15.75" thickBot="1">
      <c r="B77" s="565" t="s">
        <v>48</v>
      </c>
      <c r="C77" s="565"/>
      <c r="D77" s="565"/>
      <c r="E77" s="195"/>
      <c r="F77" s="196"/>
      <c r="G77" s="197"/>
      <c r="H77" s="198">
        <f>SUM(H75:H76)</f>
        <v>48.719748725</v>
      </c>
      <c r="I77" s="199"/>
      <c r="J77" s="199"/>
      <c r="K77" s="199"/>
      <c r="L77" s="200">
        <f>SUM(L75:L76)</f>
        <v>58.522199975</v>
      </c>
      <c r="M77" s="201"/>
      <c r="N77" s="209">
        <f>L77-H77</f>
        <v>9.802451249999997</v>
      </c>
      <c r="O77" s="202">
        <f>IF((H77)=0,"",(N77/H77))</f>
        <v>0.20120077600010233</v>
      </c>
    </row>
    <row r="78" spans="2:15" s="152" customFormat="1" ht="8.25" customHeight="1" thickBot="1">
      <c r="B78" s="69"/>
      <c r="C78" s="173"/>
      <c r="D78" s="174"/>
      <c r="E78" s="173"/>
      <c r="F78" s="130"/>
      <c r="G78" s="203"/>
      <c r="H78" s="131"/>
      <c r="I78" s="204"/>
      <c r="J78" s="130"/>
      <c r="K78" s="175"/>
      <c r="L78" s="132"/>
      <c r="M78" s="176"/>
      <c r="N78" s="205"/>
      <c r="O78" s="121"/>
    </row>
    <row r="79" s="49" customFormat="1" ht="10.5" customHeight="1">
      <c r="L79" s="114"/>
    </row>
    <row r="80" spans="2:10" s="49" customFormat="1" ht="15">
      <c r="B80" s="73" t="s">
        <v>49</v>
      </c>
      <c r="F80" s="379">
        <f>'Res (100kWh)'!F80</f>
        <v>0.0495</v>
      </c>
      <c r="G80" s="99"/>
      <c r="H80" s="99"/>
      <c r="I80" s="99"/>
      <c r="J80" s="379">
        <f>'Res (100kWh)'!J80</f>
        <v>0.0495</v>
      </c>
    </row>
    <row r="81" s="49" customFormat="1" ht="10.5" customHeight="1"/>
    <row r="82" spans="2:15" s="49" customFormat="1" ht="15">
      <c r="B82" s="423" t="s">
        <v>140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99" customFormat="1" ht="15">
      <c r="B83" s="423" t="s">
        <v>141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49" customFormat="1" ht="17.25">
      <c r="A84" s="206" t="s">
        <v>50</v>
      </c>
    </row>
    <row r="85" s="49" customFormat="1" ht="10.5" customHeight="1"/>
    <row r="86" s="49" customFormat="1" ht="15">
      <c r="A86" s="49" t="s">
        <v>51</v>
      </c>
    </row>
    <row r="87" s="49" customFormat="1" ht="15">
      <c r="A87" s="49" t="s">
        <v>52</v>
      </c>
    </row>
    <row r="88" s="49" customFormat="1" ht="15"/>
    <row r="89" s="49" customFormat="1" ht="15">
      <c r="A89" s="52" t="s">
        <v>53</v>
      </c>
    </row>
    <row r="90" s="49" customFormat="1" ht="15">
      <c r="A90" s="52" t="s">
        <v>54</v>
      </c>
    </row>
    <row r="91" s="49" customFormat="1" ht="15"/>
    <row r="92" s="49" customFormat="1" ht="15">
      <c r="A92" s="49" t="s">
        <v>55</v>
      </c>
    </row>
    <row r="93" s="49" customFormat="1" ht="15">
      <c r="A93" s="49" t="s">
        <v>56</v>
      </c>
    </row>
    <row r="94" s="49" customFormat="1" ht="15">
      <c r="A94" s="49" t="s">
        <v>57</v>
      </c>
    </row>
    <row r="95" s="49" customFormat="1" ht="15">
      <c r="A95" s="49" t="s">
        <v>58</v>
      </c>
    </row>
    <row r="96" s="49" customFormat="1" ht="15">
      <c r="A96" s="49" t="s">
        <v>59</v>
      </c>
    </row>
    <row r="98" spans="1:2" ht="15">
      <c r="A98" s="16"/>
      <c r="B98" s="8" t="s">
        <v>60</v>
      </c>
    </row>
  </sheetData>
  <sheetProtection/>
  <mergeCells count="21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42:E51 E66 E23:E40 E56:E63">
      <formula1>'Res (250kWh)'!#REF!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'Res (250kWh)'!#REF!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8"/>
  <sheetViews>
    <sheetView showGridLines="0" zoomScalePageLayoutView="0" workbookViewId="0" topLeftCell="A1">
      <selection activeCell="N4" sqref="N4:O4"/>
    </sheetView>
  </sheetViews>
  <sheetFormatPr defaultColWidth="9.140625" defaultRowHeight="15"/>
  <cols>
    <col min="1" max="1" width="2.140625" style="8" customWidth="1"/>
    <col min="2" max="2" width="59.140625" style="8" customWidth="1"/>
    <col min="3" max="3" width="1.28515625" style="8" customWidth="1"/>
    <col min="4" max="4" width="11.28125" style="8" customWidth="1"/>
    <col min="5" max="5" width="1.28515625" style="8" customWidth="1"/>
    <col min="6" max="6" width="9.7109375" style="8" bestFit="1" customWidth="1"/>
    <col min="7" max="7" width="8.00390625" style="8" bestFit="1" customWidth="1"/>
    <col min="8" max="8" width="9.00390625" style="8" bestFit="1" customWidth="1"/>
    <col min="9" max="9" width="2.8515625" style="8" customWidth="1"/>
    <col min="10" max="10" width="9.00390625" style="8" bestFit="1" customWidth="1"/>
    <col min="11" max="11" width="8.00390625" style="8" bestFit="1" customWidth="1"/>
    <col min="12" max="12" width="9.7109375" style="8" customWidth="1"/>
    <col min="13" max="13" width="2.8515625" style="8" customWidth="1"/>
    <col min="14" max="14" width="9.57421875" style="8" bestFit="1" customWidth="1"/>
    <col min="15" max="15" width="10.00390625" style="8" bestFit="1" customWidth="1"/>
    <col min="16" max="16" width="3.71093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20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129</v>
      </c>
      <c r="O5" s="584"/>
      <c r="P5" s="20"/>
    </row>
    <row r="6" spans="12:16" s="2" customFormat="1" ht="9" customHeight="1">
      <c r="L6" s="3"/>
      <c r="N6" s="41"/>
      <c r="O6" s="4"/>
      <c r="P6" s="23"/>
    </row>
    <row r="7" spans="12:16" s="2" customFormat="1" ht="15">
      <c r="L7" s="3" t="s">
        <v>159</v>
      </c>
      <c r="N7" s="585">
        <v>42384</v>
      </c>
      <c r="O7" s="584"/>
      <c r="P7" s="20"/>
    </row>
    <row r="8" spans="14:16" s="2" customFormat="1" ht="15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350</v>
      </c>
      <c r="G18" s="14" t="s">
        <v>9</v>
      </c>
    </row>
    <row r="19" ht="15">
      <c r="B19" s="13"/>
    </row>
    <row r="20" spans="2:15" s="49" customFormat="1" ht="15">
      <c r="B20" s="52"/>
      <c r="D20" s="136"/>
      <c r="E20" s="136"/>
      <c r="F20" s="578" t="s">
        <v>10</v>
      </c>
      <c r="G20" s="579"/>
      <c r="H20" s="580"/>
      <c r="J20" s="578" t="s">
        <v>11</v>
      </c>
      <c r="K20" s="579"/>
      <c r="L20" s="580"/>
      <c r="N20" s="578" t="s">
        <v>12</v>
      </c>
      <c r="O20" s="580"/>
    </row>
    <row r="21" spans="2:15" s="49" customFormat="1" ht="15">
      <c r="B21" s="52"/>
      <c r="D21" s="566" t="s">
        <v>13</v>
      </c>
      <c r="E21" s="135"/>
      <c r="F21" s="137" t="s">
        <v>14</v>
      </c>
      <c r="G21" s="137" t="s">
        <v>15</v>
      </c>
      <c r="H21" s="138" t="s">
        <v>16</v>
      </c>
      <c r="J21" s="137" t="s">
        <v>14</v>
      </c>
      <c r="K21" s="139" t="s">
        <v>15</v>
      </c>
      <c r="L21" s="138" t="s">
        <v>16</v>
      </c>
      <c r="N21" s="568" t="s">
        <v>17</v>
      </c>
      <c r="O21" s="570" t="s">
        <v>18</v>
      </c>
    </row>
    <row r="22" spans="2:15" s="49" customFormat="1" ht="15">
      <c r="B22" s="52"/>
      <c r="D22" s="567"/>
      <c r="E22" s="135"/>
      <c r="F22" s="140" t="s">
        <v>19</v>
      </c>
      <c r="G22" s="140"/>
      <c r="H22" s="141" t="s">
        <v>19</v>
      </c>
      <c r="J22" s="140" t="s">
        <v>19</v>
      </c>
      <c r="K22" s="141"/>
      <c r="L22" s="141" t="s">
        <v>19</v>
      </c>
      <c r="N22" s="569"/>
      <c r="O22" s="571"/>
    </row>
    <row r="23" spans="2:15" s="49" customFormat="1" ht="15">
      <c r="B23" s="53" t="s">
        <v>20</v>
      </c>
      <c r="C23" s="53"/>
      <c r="D23" s="76" t="s">
        <v>62</v>
      </c>
      <c r="E23" s="77"/>
      <c r="F23" s="369">
        <f>'Res (100kWh)'!F23</f>
        <v>11.22</v>
      </c>
      <c r="G23" s="79">
        <v>1</v>
      </c>
      <c r="H23" s="80">
        <f>G23*F23</f>
        <v>11.22</v>
      </c>
      <c r="I23" s="62"/>
      <c r="J23" s="430">
        <f>'Res (100kWh)'!J23</f>
        <v>14.71</v>
      </c>
      <c r="K23" s="81">
        <v>1</v>
      </c>
      <c r="L23" s="80">
        <f>K23*J23</f>
        <v>14.71</v>
      </c>
      <c r="M23" s="62"/>
      <c r="N23" s="207">
        <f>L23-H23</f>
        <v>3.49</v>
      </c>
      <c r="O23" s="83">
        <f>IF((H23)=0,"",(N23/H23))</f>
        <v>0.31105169340463457</v>
      </c>
    </row>
    <row r="24" spans="2:15" s="49" customFormat="1" ht="30">
      <c r="B24" s="375" t="s">
        <v>64</v>
      </c>
      <c r="C24" s="53"/>
      <c r="D24" s="76" t="s">
        <v>62</v>
      </c>
      <c r="E24" s="77"/>
      <c r="F24" s="377">
        <f>'Res (100kWh)'!F24</f>
        <v>1.75</v>
      </c>
      <c r="G24" s="79">
        <v>1</v>
      </c>
      <c r="H24" s="80">
        <f>G24*F24</f>
        <v>1.75</v>
      </c>
      <c r="I24" s="62"/>
      <c r="J24" s="369">
        <f>'Res (100kWh)'!J24</f>
        <v>1.75</v>
      </c>
      <c r="K24" s="81">
        <v>1</v>
      </c>
      <c r="L24" s="80">
        <f>K24*J24</f>
        <v>1.75</v>
      </c>
      <c r="M24" s="62"/>
      <c r="N24" s="207">
        <f>L24-H24</f>
        <v>0</v>
      </c>
      <c r="O24" s="83">
        <f>IF((H24)=0,"",(N24/H24))</f>
        <v>0</v>
      </c>
    </row>
    <row r="25" spans="2:15" s="49" customFormat="1" ht="15" customHeight="1">
      <c r="B25" s="376" t="s">
        <v>66</v>
      </c>
      <c r="C25" s="53"/>
      <c r="D25" s="76" t="s">
        <v>62</v>
      </c>
      <c r="E25" s="77"/>
      <c r="F25" s="370">
        <v>0</v>
      </c>
      <c r="G25" s="79">
        <v>1</v>
      </c>
      <c r="H25" s="80">
        <f>G25*F25</f>
        <v>0</v>
      </c>
      <c r="I25" s="62"/>
      <c r="J25" s="467">
        <f>'Res (100kWh)'!J25</f>
        <v>-0.04</v>
      </c>
      <c r="K25" s="81">
        <v>1</v>
      </c>
      <c r="L25" s="80">
        <f>K25*J25</f>
        <v>-0.04</v>
      </c>
      <c r="M25" s="62"/>
      <c r="N25" s="207">
        <f>L25-H25</f>
        <v>-0.04</v>
      </c>
      <c r="O25" s="83">
        <f>IF((H25)=0,"",(N25/H25))</f>
      </c>
    </row>
    <row r="26" spans="2:15" s="49" customFormat="1" ht="15" hidden="1">
      <c r="B26" s="375"/>
      <c r="C26" s="53"/>
      <c r="D26" s="86" t="s">
        <v>62</v>
      </c>
      <c r="E26" s="88"/>
      <c r="F26" s="370">
        <f>'Res (100kWh)'!F26</f>
        <v>0</v>
      </c>
      <c r="G26" s="79">
        <v>1</v>
      </c>
      <c r="H26" s="80">
        <f aca="true" t="shared" si="0" ref="H26:H40">G26*F26</f>
        <v>0</v>
      </c>
      <c r="I26" s="62"/>
      <c r="J26" s="370">
        <f>'Res (100kWh)'!J26</f>
        <v>0</v>
      </c>
      <c r="K26" s="81">
        <v>1</v>
      </c>
      <c r="L26" s="80">
        <f aca="true" t="shared" si="1" ref="L26:L40">K26*J26</f>
        <v>0</v>
      </c>
      <c r="M26" s="62"/>
      <c r="N26" s="207">
        <f aca="true" t="shared" si="2" ref="N26:N70">L26-H26</f>
        <v>0</v>
      </c>
      <c r="O26" s="83">
        <f aca="true" t="shared" si="3" ref="O26:O50">IF((H26)=0,"",(N26/H26))</f>
      </c>
    </row>
    <row r="27" spans="2:15" s="49" customFormat="1" ht="15" hidden="1">
      <c r="B27" s="375" t="s">
        <v>65</v>
      </c>
      <c r="C27" s="53"/>
      <c r="D27" s="76" t="s">
        <v>62</v>
      </c>
      <c r="E27" s="77"/>
      <c r="F27" s="104">
        <f>'Res (100kWh)'!F27</f>
        <v>0</v>
      </c>
      <c r="G27" s="79">
        <v>1</v>
      </c>
      <c r="H27" s="80">
        <f t="shared" si="0"/>
        <v>0</v>
      </c>
      <c r="I27" s="62"/>
      <c r="J27" s="370">
        <f>'Res (100kWh)'!J27</f>
        <v>0</v>
      </c>
      <c r="K27" s="81">
        <v>1</v>
      </c>
      <c r="L27" s="80">
        <f t="shared" si="1"/>
        <v>0</v>
      </c>
      <c r="M27" s="62"/>
      <c r="N27" s="207">
        <f t="shared" si="2"/>
        <v>0</v>
      </c>
      <c r="O27" s="83">
        <f t="shared" si="3"/>
      </c>
    </row>
    <row r="28" spans="2:15" s="49" customFormat="1" ht="15" hidden="1">
      <c r="B28" s="376"/>
      <c r="C28" s="53"/>
      <c r="D28" s="76" t="s">
        <v>62</v>
      </c>
      <c r="E28" s="77"/>
      <c r="F28" s="104">
        <f>'Res (100kWh)'!F28</f>
        <v>0</v>
      </c>
      <c r="G28" s="79">
        <f>G27</f>
        <v>1</v>
      </c>
      <c r="H28" s="80">
        <f t="shared" si="0"/>
        <v>0</v>
      </c>
      <c r="I28" s="62"/>
      <c r="J28" s="370">
        <f>'Res (100kWh)'!J28</f>
        <v>0</v>
      </c>
      <c r="K28" s="79">
        <f>K27</f>
        <v>1</v>
      </c>
      <c r="L28" s="80">
        <f t="shared" si="1"/>
        <v>0</v>
      </c>
      <c r="M28" s="62"/>
      <c r="N28" s="207">
        <f t="shared" si="2"/>
        <v>0</v>
      </c>
      <c r="O28" s="83">
        <f t="shared" si="3"/>
      </c>
    </row>
    <row r="29" spans="2:15" s="49" customFormat="1" ht="16.5" customHeight="1">
      <c r="B29" s="53" t="s">
        <v>108</v>
      </c>
      <c r="C29" s="53"/>
      <c r="D29" s="76" t="s">
        <v>63</v>
      </c>
      <c r="E29" s="77"/>
      <c r="F29" s="378">
        <f>'Res (100kWh)'!F29</f>
        <v>0</v>
      </c>
      <c r="G29" s="79">
        <f>$F$18</f>
        <v>350</v>
      </c>
      <c r="H29" s="80">
        <f t="shared" si="0"/>
        <v>0</v>
      </c>
      <c r="I29" s="62"/>
      <c r="J29" s="432">
        <f>'Res (100kWh)'!J29</f>
        <v>0.0007</v>
      </c>
      <c r="K29" s="79">
        <f>$F$18</f>
        <v>350</v>
      </c>
      <c r="L29" s="80">
        <f t="shared" si="1"/>
        <v>0.245</v>
      </c>
      <c r="M29" s="62"/>
      <c r="N29" s="207">
        <f t="shared" si="2"/>
        <v>0.245</v>
      </c>
      <c r="O29" s="83">
        <f t="shared" si="3"/>
      </c>
    </row>
    <row r="30" spans="2:15" s="49" customFormat="1" ht="15" hidden="1">
      <c r="B30" s="56" t="s">
        <v>92</v>
      </c>
      <c r="C30" s="53"/>
      <c r="D30" s="76" t="s">
        <v>63</v>
      </c>
      <c r="E30" s="77"/>
      <c r="F30" s="104">
        <f>'Res (100kWh)'!F30</f>
        <v>0</v>
      </c>
      <c r="G30" s="79">
        <f>$F$18</f>
        <v>350</v>
      </c>
      <c r="H30" s="80">
        <f t="shared" si="0"/>
        <v>0</v>
      </c>
      <c r="I30" s="62"/>
      <c r="J30" s="432">
        <f>'Res (100kWh)'!J30</f>
        <v>0</v>
      </c>
      <c r="K30" s="79">
        <f>$F$18</f>
        <v>350</v>
      </c>
      <c r="L30" s="80">
        <f>K30*J30</f>
        <v>0</v>
      </c>
      <c r="M30" s="62"/>
      <c r="N30" s="207">
        <f>L30-H30</f>
        <v>0</v>
      </c>
      <c r="O30" s="83">
        <f>IF((H30)=0,"",(N30/H30))</f>
      </c>
    </row>
    <row r="31" spans="2:17" s="49" customFormat="1" ht="15">
      <c r="B31" s="53" t="s">
        <v>21</v>
      </c>
      <c r="C31" s="53"/>
      <c r="D31" s="76" t="s">
        <v>63</v>
      </c>
      <c r="E31" s="77"/>
      <c r="F31" s="104">
        <f>'Res (100kWh)'!F31</f>
        <v>0.0211</v>
      </c>
      <c r="G31" s="79">
        <f>$F$18</f>
        <v>350</v>
      </c>
      <c r="H31" s="80">
        <f t="shared" si="0"/>
        <v>7.385000000000001</v>
      </c>
      <c r="I31" s="62"/>
      <c r="J31" s="431">
        <f>'Res (100kWh)'!J31</f>
        <v>0.0169</v>
      </c>
      <c r="K31" s="79">
        <f>$F$18</f>
        <v>350</v>
      </c>
      <c r="L31" s="80">
        <f t="shared" si="1"/>
        <v>5.914999999999999</v>
      </c>
      <c r="M31" s="62"/>
      <c r="N31" s="207">
        <f t="shared" si="2"/>
        <v>-1.4700000000000015</v>
      </c>
      <c r="O31" s="83">
        <f>IF((H31)=0,"",(N31/H31))</f>
        <v>-0.199052132701422</v>
      </c>
      <c r="Q31" s="49" t="s">
        <v>163</v>
      </c>
    </row>
    <row r="32" spans="2:15" s="49" customFormat="1" ht="14.25" customHeight="1" hidden="1">
      <c r="B32" s="53" t="s">
        <v>22</v>
      </c>
      <c r="C32" s="53"/>
      <c r="D32" s="76"/>
      <c r="E32" s="77"/>
      <c r="F32" s="89">
        <f>'Res (100kWh)'!F32</f>
        <v>0</v>
      </c>
      <c r="G32" s="79">
        <f>$F$18</f>
        <v>350</v>
      </c>
      <c r="H32" s="80">
        <f t="shared" si="0"/>
        <v>0</v>
      </c>
      <c r="I32" s="62"/>
      <c r="J32" s="103"/>
      <c r="K32" s="79">
        <f aca="true" t="shared" si="4" ref="K32:K40">$F$18</f>
        <v>350</v>
      </c>
      <c r="L32" s="80">
        <f t="shared" si="1"/>
        <v>0</v>
      </c>
      <c r="M32" s="62"/>
      <c r="N32" s="82">
        <f t="shared" si="2"/>
        <v>0</v>
      </c>
      <c r="O32" s="83">
        <f t="shared" si="3"/>
      </c>
    </row>
    <row r="33" spans="2:15" s="49" customFormat="1" ht="15" hidden="1">
      <c r="B33" s="53" t="s">
        <v>108</v>
      </c>
      <c r="C33" s="53"/>
      <c r="D33" s="76"/>
      <c r="E33" s="77"/>
      <c r="F33" s="89">
        <f>'Res (100kWh)'!F33</f>
        <v>0</v>
      </c>
      <c r="G33" s="79">
        <f>$F$18</f>
        <v>350</v>
      </c>
      <c r="H33" s="80">
        <f t="shared" si="0"/>
        <v>0</v>
      </c>
      <c r="I33" s="62"/>
      <c r="J33" s="103">
        <v>0</v>
      </c>
      <c r="K33" s="79">
        <f t="shared" si="4"/>
        <v>350</v>
      </c>
      <c r="L33" s="80">
        <f t="shared" si="1"/>
        <v>0</v>
      </c>
      <c r="M33" s="62"/>
      <c r="N33" s="82">
        <f t="shared" si="2"/>
        <v>0</v>
      </c>
      <c r="O33" s="83">
        <f t="shared" si="3"/>
      </c>
    </row>
    <row r="34" spans="2:15" s="49" customFormat="1" ht="15" hidden="1">
      <c r="B34" s="57"/>
      <c r="C34" s="53"/>
      <c r="D34" s="76"/>
      <c r="E34" s="77"/>
      <c r="F34" s="89">
        <f>'Res (100kWh)'!F34</f>
        <v>0</v>
      </c>
      <c r="G34" s="79">
        <f aca="true" t="shared" si="5" ref="G34:G40">$F$18</f>
        <v>350</v>
      </c>
      <c r="H34" s="80">
        <f t="shared" si="0"/>
        <v>0</v>
      </c>
      <c r="I34" s="62"/>
      <c r="J34" s="103"/>
      <c r="K34" s="79">
        <f t="shared" si="4"/>
        <v>350</v>
      </c>
      <c r="L34" s="80">
        <f t="shared" si="1"/>
        <v>0</v>
      </c>
      <c r="M34" s="62"/>
      <c r="N34" s="82">
        <f t="shared" si="2"/>
        <v>0</v>
      </c>
      <c r="O34" s="83">
        <f t="shared" si="3"/>
      </c>
    </row>
    <row r="35" spans="2:15" s="49" customFormat="1" ht="15" hidden="1">
      <c r="B35" s="57"/>
      <c r="C35" s="53"/>
      <c r="D35" s="76"/>
      <c r="E35" s="77"/>
      <c r="F35" s="89">
        <f>'Res (100kWh)'!F35</f>
        <v>0</v>
      </c>
      <c r="G35" s="79">
        <f t="shared" si="5"/>
        <v>350</v>
      </c>
      <c r="H35" s="80">
        <f t="shared" si="0"/>
        <v>0</v>
      </c>
      <c r="I35" s="62"/>
      <c r="J35" s="103"/>
      <c r="K35" s="79">
        <f t="shared" si="4"/>
        <v>350</v>
      </c>
      <c r="L35" s="80">
        <f t="shared" si="1"/>
        <v>0</v>
      </c>
      <c r="M35" s="62"/>
      <c r="N35" s="82">
        <f t="shared" si="2"/>
        <v>0</v>
      </c>
      <c r="O35" s="83">
        <f t="shared" si="3"/>
      </c>
    </row>
    <row r="36" spans="2:15" s="49" customFormat="1" ht="15" hidden="1">
      <c r="B36" s="57"/>
      <c r="C36" s="53"/>
      <c r="D36" s="76"/>
      <c r="E36" s="77"/>
      <c r="F36" s="89">
        <f>'Res (100kWh)'!F36</f>
        <v>0</v>
      </c>
      <c r="G36" s="79">
        <f t="shared" si="5"/>
        <v>350</v>
      </c>
      <c r="H36" s="80">
        <f t="shared" si="0"/>
        <v>0</v>
      </c>
      <c r="I36" s="62"/>
      <c r="J36" s="103"/>
      <c r="K36" s="79">
        <f t="shared" si="4"/>
        <v>350</v>
      </c>
      <c r="L36" s="80">
        <f t="shared" si="1"/>
        <v>0</v>
      </c>
      <c r="M36" s="62"/>
      <c r="N36" s="82">
        <f t="shared" si="2"/>
        <v>0</v>
      </c>
      <c r="O36" s="83">
        <f t="shared" si="3"/>
      </c>
    </row>
    <row r="37" spans="2:15" s="49" customFormat="1" ht="15" hidden="1">
      <c r="B37" s="57"/>
      <c r="C37" s="53"/>
      <c r="D37" s="76"/>
      <c r="E37" s="77"/>
      <c r="F37" s="89">
        <f>'Res (100kWh)'!F37</f>
        <v>0</v>
      </c>
      <c r="G37" s="79">
        <f t="shared" si="5"/>
        <v>350</v>
      </c>
      <c r="H37" s="80">
        <f t="shared" si="0"/>
        <v>0</v>
      </c>
      <c r="I37" s="62"/>
      <c r="J37" s="103"/>
      <c r="K37" s="79">
        <f t="shared" si="4"/>
        <v>350</v>
      </c>
      <c r="L37" s="80">
        <f t="shared" si="1"/>
        <v>0</v>
      </c>
      <c r="M37" s="62"/>
      <c r="N37" s="82">
        <f t="shared" si="2"/>
        <v>0</v>
      </c>
      <c r="O37" s="83">
        <f t="shared" si="3"/>
      </c>
    </row>
    <row r="38" spans="2:15" s="49" customFormat="1" ht="15" hidden="1">
      <c r="B38" s="57"/>
      <c r="C38" s="53"/>
      <c r="D38" s="76"/>
      <c r="E38" s="77"/>
      <c r="F38" s="89">
        <f>'Res (100kWh)'!F38</f>
        <v>0</v>
      </c>
      <c r="G38" s="79">
        <f t="shared" si="5"/>
        <v>350</v>
      </c>
      <c r="H38" s="80">
        <f t="shared" si="0"/>
        <v>0</v>
      </c>
      <c r="I38" s="62"/>
      <c r="J38" s="103"/>
      <c r="K38" s="79">
        <f t="shared" si="4"/>
        <v>350</v>
      </c>
      <c r="L38" s="80">
        <f t="shared" si="1"/>
        <v>0</v>
      </c>
      <c r="M38" s="62"/>
      <c r="N38" s="82">
        <f t="shared" si="2"/>
        <v>0</v>
      </c>
      <c r="O38" s="83">
        <f t="shared" si="3"/>
      </c>
    </row>
    <row r="39" spans="2:15" s="49" customFormat="1" ht="15" hidden="1">
      <c r="B39" s="57"/>
      <c r="C39" s="53"/>
      <c r="D39" s="76"/>
      <c r="E39" s="77"/>
      <c r="F39" s="89">
        <f>'Res (100kWh)'!F39</f>
        <v>0</v>
      </c>
      <c r="G39" s="79">
        <f t="shared" si="5"/>
        <v>350</v>
      </c>
      <c r="H39" s="80">
        <f t="shared" si="0"/>
        <v>0</v>
      </c>
      <c r="I39" s="62"/>
      <c r="J39" s="103"/>
      <c r="K39" s="79">
        <f t="shared" si="4"/>
        <v>350</v>
      </c>
      <c r="L39" s="80">
        <f t="shared" si="1"/>
        <v>0</v>
      </c>
      <c r="M39" s="62"/>
      <c r="N39" s="82">
        <f t="shared" si="2"/>
        <v>0</v>
      </c>
      <c r="O39" s="83">
        <f t="shared" si="3"/>
      </c>
    </row>
    <row r="40" spans="2:15" s="49" customFormat="1" ht="15" hidden="1">
      <c r="B40" s="57"/>
      <c r="C40" s="53"/>
      <c r="D40" s="76"/>
      <c r="E40" s="77"/>
      <c r="F40" s="89">
        <f>'Res (100kWh)'!F40</f>
        <v>0</v>
      </c>
      <c r="G40" s="79">
        <f t="shared" si="5"/>
        <v>350</v>
      </c>
      <c r="H40" s="80">
        <f t="shared" si="0"/>
        <v>0</v>
      </c>
      <c r="I40" s="62"/>
      <c r="J40" s="103"/>
      <c r="K40" s="79">
        <f t="shared" si="4"/>
        <v>350</v>
      </c>
      <c r="L40" s="80">
        <f t="shared" si="1"/>
        <v>0</v>
      </c>
      <c r="M40" s="62"/>
      <c r="N40" s="82">
        <f t="shared" si="2"/>
        <v>0</v>
      </c>
      <c r="O40" s="83">
        <f t="shared" si="3"/>
      </c>
    </row>
    <row r="41" spans="2:22" s="99" customFormat="1" ht="16.5" customHeight="1">
      <c r="B41" s="58" t="s">
        <v>24</v>
      </c>
      <c r="C41" s="91"/>
      <c r="D41" s="92"/>
      <c r="E41" s="91"/>
      <c r="F41" s="93"/>
      <c r="G41" s="94"/>
      <c r="H41" s="95">
        <f>SUM(H23:H40)</f>
        <v>20.355</v>
      </c>
      <c r="I41" s="96"/>
      <c r="J41" s="371"/>
      <c r="K41" s="98"/>
      <c r="L41" s="95">
        <f>SUM(L23:L40)</f>
        <v>22.580000000000002</v>
      </c>
      <c r="M41" s="96"/>
      <c r="N41" s="142">
        <f>L41-H41</f>
        <v>2.2250000000000014</v>
      </c>
      <c r="O41" s="143">
        <f t="shared" si="3"/>
        <v>0.10930975190370923</v>
      </c>
      <c r="Q41" s="538">
        <f>N41-N29-N25-N24</f>
        <v>2.0200000000000014</v>
      </c>
      <c r="R41" s="539">
        <f>(L41-L25-L29)/(H41-H25-H29)-1</f>
        <v>0.09923851633505287</v>
      </c>
      <c r="V41" s="49"/>
    </row>
    <row r="42" spans="2:15" s="49" customFormat="1" ht="15" hidden="1">
      <c r="B42" s="55"/>
      <c r="C42" s="53"/>
      <c r="D42" s="86" t="s">
        <v>62</v>
      </c>
      <c r="E42" s="77"/>
      <c r="F42" s="89">
        <f>'Res (100kWh)'!F42</f>
        <v>0</v>
      </c>
      <c r="G42" s="79">
        <v>1</v>
      </c>
      <c r="H42" s="80">
        <f>G42*F42</f>
        <v>0</v>
      </c>
      <c r="I42" s="62"/>
      <c r="J42" s="370"/>
      <c r="K42" s="81">
        <v>1</v>
      </c>
      <c r="L42" s="80">
        <f>K42*J42</f>
        <v>0</v>
      </c>
      <c r="M42" s="62"/>
      <c r="N42" s="82">
        <f>L42-H42</f>
        <v>0</v>
      </c>
      <c r="O42" s="83">
        <f>IF((H42)=0,"",(N42/H42))</f>
      </c>
    </row>
    <row r="43" spans="2:15" s="49" customFormat="1" ht="15">
      <c r="B43" s="376" t="s">
        <v>25</v>
      </c>
      <c r="C43" s="53"/>
      <c r="D43" s="86" t="s">
        <v>63</v>
      </c>
      <c r="E43" s="88"/>
      <c r="F43" s="372">
        <f>'Res (100kWh)'!F43</f>
        <v>-0.007</v>
      </c>
      <c r="G43" s="79">
        <f>$F$18</f>
        <v>350</v>
      </c>
      <c r="H43" s="80">
        <f aca="true" t="shared" si="6" ref="H43:H51">G43*F43</f>
        <v>-2.45</v>
      </c>
      <c r="I43" s="62"/>
      <c r="J43" s="372">
        <f>'Res (100kWh)'!J43</f>
        <v>0.0021</v>
      </c>
      <c r="K43" s="79">
        <f>$F$18</f>
        <v>350</v>
      </c>
      <c r="L43" s="80">
        <f aca="true" t="shared" si="7" ref="L43:L51">K43*J43</f>
        <v>0.735</v>
      </c>
      <c r="M43" s="62"/>
      <c r="N43" s="207">
        <f t="shared" si="2"/>
        <v>3.185</v>
      </c>
      <c r="O43" s="83">
        <f t="shared" si="3"/>
        <v>-1.2999999999999998</v>
      </c>
    </row>
    <row r="44" spans="2:15" s="49" customFormat="1" ht="15" customHeight="1" hidden="1">
      <c r="B44" s="56"/>
      <c r="C44" s="53"/>
      <c r="D44" s="76" t="s">
        <v>63</v>
      </c>
      <c r="E44" s="77"/>
      <c r="F44" s="104">
        <f>'Res (100kWh)'!F44</f>
        <v>0</v>
      </c>
      <c r="G44" s="79">
        <f>$F$18</f>
        <v>350</v>
      </c>
      <c r="H44" s="80">
        <f t="shared" si="6"/>
        <v>0</v>
      </c>
      <c r="I44" s="101"/>
      <c r="J44" s="103">
        <f>'Res (100kWh)'!J44</f>
        <v>0</v>
      </c>
      <c r="K44" s="79">
        <f>$F$18</f>
        <v>350</v>
      </c>
      <c r="L44" s="80">
        <f t="shared" si="7"/>
        <v>0</v>
      </c>
      <c r="M44" s="102"/>
      <c r="N44" s="207">
        <f t="shared" si="2"/>
        <v>0</v>
      </c>
      <c r="O44" s="83">
        <f t="shared" si="3"/>
      </c>
    </row>
    <row r="45" spans="2:15" s="49" customFormat="1" ht="15" customHeight="1" hidden="1">
      <c r="B45" s="56"/>
      <c r="C45" s="53"/>
      <c r="D45" s="76" t="s">
        <v>63</v>
      </c>
      <c r="E45" s="77"/>
      <c r="F45" s="104">
        <f>'Res (100kWh)'!F45</f>
        <v>0</v>
      </c>
      <c r="G45" s="79">
        <f>$F$18</f>
        <v>350</v>
      </c>
      <c r="H45" s="80">
        <f t="shared" si="6"/>
        <v>0</v>
      </c>
      <c r="I45" s="101"/>
      <c r="J45" s="103">
        <f>'Res (100kWh)'!J45</f>
        <v>0</v>
      </c>
      <c r="K45" s="79">
        <f>$F$18</f>
        <v>350</v>
      </c>
      <c r="L45" s="80">
        <f t="shared" si="7"/>
        <v>0</v>
      </c>
      <c r="M45" s="102"/>
      <c r="N45" s="207">
        <f t="shared" si="2"/>
        <v>0</v>
      </c>
      <c r="O45" s="83">
        <f t="shared" si="3"/>
      </c>
    </row>
    <row r="46" spans="2:15" s="49" customFormat="1" ht="15" customHeight="1" hidden="1">
      <c r="B46" s="375"/>
      <c r="C46" s="53"/>
      <c r="D46" s="76" t="s">
        <v>62</v>
      </c>
      <c r="E46" s="77"/>
      <c r="F46" s="104">
        <f>'Res (100kWh)'!F46</f>
        <v>0</v>
      </c>
      <c r="G46" s="79">
        <v>1</v>
      </c>
      <c r="H46" s="80">
        <f t="shared" si="6"/>
        <v>0</v>
      </c>
      <c r="I46" s="101"/>
      <c r="J46" s="103">
        <f>'Res (100kWh)'!J46</f>
        <v>0</v>
      </c>
      <c r="K46" s="79">
        <v>1</v>
      </c>
      <c r="L46" s="80">
        <f t="shared" si="7"/>
        <v>0</v>
      </c>
      <c r="M46" s="102"/>
      <c r="N46" s="207">
        <f t="shared" si="2"/>
        <v>0</v>
      </c>
      <c r="O46" s="83">
        <f t="shared" si="3"/>
      </c>
    </row>
    <row r="47" spans="2:15" s="49" customFormat="1" ht="15" customHeight="1" hidden="1">
      <c r="B47" s="376"/>
      <c r="C47" s="53"/>
      <c r="D47" s="76" t="s">
        <v>62</v>
      </c>
      <c r="E47" s="77"/>
      <c r="F47" s="104">
        <f>'Res (100kWh)'!F47</f>
        <v>0</v>
      </c>
      <c r="G47" s="79">
        <v>1</v>
      </c>
      <c r="H47" s="80">
        <f t="shared" si="6"/>
        <v>0</v>
      </c>
      <c r="I47" s="62"/>
      <c r="J47" s="103">
        <f>'Res (100kWh)'!J47</f>
        <v>0</v>
      </c>
      <c r="K47" s="79">
        <v>1</v>
      </c>
      <c r="L47" s="80">
        <f t="shared" si="7"/>
        <v>0</v>
      </c>
      <c r="M47" s="62"/>
      <c r="N47" s="207">
        <f>L47-H47</f>
        <v>0</v>
      </c>
      <c r="O47" s="83">
        <f>IF((H47)=0,"",(N47/H47))</f>
      </c>
    </row>
    <row r="48" spans="2:15" s="49" customFormat="1" ht="15" hidden="1">
      <c r="B48" s="53"/>
      <c r="C48" s="53"/>
      <c r="D48" s="76" t="s">
        <v>63</v>
      </c>
      <c r="E48" s="77"/>
      <c r="F48" s="104">
        <f>'Res (100kWh)'!F48</f>
        <v>0</v>
      </c>
      <c r="G48" s="79">
        <f>$F$18</f>
        <v>350</v>
      </c>
      <c r="H48" s="80">
        <f t="shared" si="6"/>
        <v>0</v>
      </c>
      <c r="I48" s="62"/>
      <c r="J48" s="103">
        <f>'Res (100kWh)'!J48</f>
        <v>0</v>
      </c>
      <c r="K48" s="79">
        <f>$F$18</f>
        <v>350</v>
      </c>
      <c r="L48" s="80">
        <f t="shared" si="7"/>
        <v>0</v>
      </c>
      <c r="M48" s="62"/>
      <c r="N48" s="207">
        <f>L48-H48</f>
        <v>0</v>
      </c>
      <c r="O48" s="83">
        <f>IF((H48)=0,"",(N48/H48))</f>
      </c>
    </row>
    <row r="49" spans="2:15" s="49" customFormat="1" ht="15">
      <c r="B49" s="59" t="s">
        <v>26</v>
      </c>
      <c r="C49" s="53"/>
      <c r="D49" s="76" t="s">
        <v>63</v>
      </c>
      <c r="E49" s="77"/>
      <c r="F49" s="104">
        <f>'Res (100kWh)'!F49</f>
        <v>0.0024</v>
      </c>
      <c r="G49" s="79">
        <f>$F$18</f>
        <v>350</v>
      </c>
      <c r="H49" s="80">
        <f t="shared" si="6"/>
        <v>0.84</v>
      </c>
      <c r="I49" s="62"/>
      <c r="J49" s="103">
        <f>'Res (100kWh)'!J49</f>
        <v>0.0024</v>
      </c>
      <c r="K49" s="79">
        <f>$F$18</f>
        <v>350</v>
      </c>
      <c r="L49" s="80">
        <f t="shared" si="7"/>
        <v>0.84</v>
      </c>
      <c r="M49" s="62"/>
      <c r="N49" s="207">
        <f t="shared" si="2"/>
        <v>0</v>
      </c>
      <c r="O49" s="83">
        <f t="shared" si="3"/>
        <v>0</v>
      </c>
    </row>
    <row r="50" spans="2:15" s="99" customFormat="1" ht="15">
      <c r="B50" s="60" t="s">
        <v>27</v>
      </c>
      <c r="C50" s="77"/>
      <c r="D50" s="76" t="s">
        <v>63</v>
      </c>
      <c r="E50" s="77"/>
      <c r="F50" s="104">
        <f>IF(ISBLANK(D16)=TRUE,0,IF(D16="TOU",0.64*$F$61+0.18*$F$62+0.18*$F$63,IF(AND(D16="non-TOU",G65&gt;0),F65,F64)))</f>
        <v>0.10214000000000001</v>
      </c>
      <c r="G50" s="79">
        <f>$F$18*(1+$F$80)-$F$18</f>
        <v>17.325000000000045</v>
      </c>
      <c r="H50" s="105">
        <f t="shared" si="6"/>
        <v>1.7695755000000049</v>
      </c>
      <c r="I50" s="88"/>
      <c r="J50" s="103">
        <f>0.64*$F$61+0.18*$F$62+0.18*$F$63</f>
        <v>0.10214000000000001</v>
      </c>
      <c r="K50" s="79">
        <f>$F$18*(1+$J$80)-$F$18</f>
        <v>17.325000000000045</v>
      </c>
      <c r="L50" s="105">
        <f t="shared" si="7"/>
        <v>1.7695755000000049</v>
      </c>
      <c r="M50" s="88"/>
      <c r="N50" s="207">
        <f t="shared" si="2"/>
        <v>0</v>
      </c>
      <c r="O50" s="106">
        <f t="shared" si="3"/>
        <v>0</v>
      </c>
    </row>
    <row r="51" spans="2:15" s="49" customFormat="1" ht="15">
      <c r="B51" s="59" t="s">
        <v>28</v>
      </c>
      <c r="C51" s="53"/>
      <c r="D51" s="76" t="s">
        <v>62</v>
      </c>
      <c r="E51" s="77"/>
      <c r="F51" s="369">
        <f>'Res (100kWh)'!F51</f>
        <v>0.79</v>
      </c>
      <c r="G51" s="79">
        <v>1</v>
      </c>
      <c r="H51" s="80">
        <f t="shared" si="6"/>
        <v>0.79</v>
      </c>
      <c r="I51" s="62"/>
      <c r="J51" s="369">
        <f>'Res (100kWh)'!J51</f>
        <v>0.79</v>
      </c>
      <c r="K51" s="79">
        <v>1</v>
      </c>
      <c r="L51" s="80">
        <f t="shared" si="7"/>
        <v>0.79</v>
      </c>
      <c r="M51" s="62"/>
      <c r="N51" s="207">
        <f t="shared" si="2"/>
        <v>0</v>
      </c>
      <c r="O51" s="83"/>
    </row>
    <row r="52" spans="2:15" s="49" customFormat="1" ht="15">
      <c r="B52" s="61" t="s">
        <v>29</v>
      </c>
      <c r="C52" s="107"/>
      <c r="D52" s="107"/>
      <c r="E52" s="107"/>
      <c r="F52" s="108"/>
      <c r="G52" s="109"/>
      <c r="H52" s="144">
        <f>SUM(H42:H51)+H41</f>
        <v>21.304575500000006</v>
      </c>
      <c r="I52" s="96"/>
      <c r="J52" s="373"/>
      <c r="K52" s="110"/>
      <c r="L52" s="144">
        <f>SUM(L42:L51)+L41</f>
        <v>26.714575500000006</v>
      </c>
      <c r="M52" s="96"/>
      <c r="N52" s="142">
        <f t="shared" si="2"/>
        <v>5.41</v>
      </c>
      <c r="O52" s="143">
        <f>IF((H52)=0,"",(N52/H52))</f>
        <v>0.25393606176288275</v>
      </c>
    </row>
    <row r="53" spans="2:15" s="49" customFormat="1" ht="15">
      <c r="B53" s="62" t="s">
        <v>30</v>
      </c>
      <c r="C53" s="62"/>
      <c r="D53" s="86" t="s">
        <v>63</v>
      </c>
      <c r="E53" s="88"/>
      <c r="F53" s="103">
        <f>'Res (100kWh)'!F53</f>
        <v>0.0048</v>
      </c>
      <c r="G53" s="468">
        <f>F18*(1+F80)</f>
        <v>367.32500000000005</v>
      </c>
      <c r="H53" s="105">
        <f>G53*F53</f>
        <v>1.76316</v>
      </c>
      <c r="I53" s="88"/>
      <c r="J53" s="103">
        <f>'Res (100kWh)'!J53</f>
        <v>0.0064</v>
      </c>
      <c r="K53" s="469">
        <f>F18*(1+J80)</f>
        <v>367.32500000000005</v>
      </c>
      <c r="L53" s="80">
        <f>K53*J53</f>
        <v>2.3508800000000005</v>
      </c>
      <c r="M53" s="62"/>
      <c r="N53" s="207">
        <f t="shared" si="2"/>
        <v>0.5877200000000005</v>
      </c>
      <c r="O53" s="83">
        <f aca="true" t="shared" si="8" ref="O53:O71">IF((H53)=0,"",(N53/H53))</f>
        <v>0.3333333333333336</v>
      </c>
    </row>
    <row r="54" spans="2:15" s="49" customFormat="1" ht="15">
      <c r="B54" s="63" t="s">
        <v>31</v>
      </c>
      <c r="C54" s="62"/>
      <c r="D54" s="86" t="s">
        <v>63</v>
      </c>
      <c r="E54" s="88"/>
      <c r="F54" s="103">
        <f>'Res (100kWh)'!F54</f>
        <v>0.0019</v>
      </c>
      <c r="G54" s="468">
        <f>G53</f>
        <v>367.32500000000005</v>
      </c>
      <c r="H54" s="105">
        <f>G54*F54</f>
        <v>0.6979175000000001</v>
      </c>
      <c r="I54" s="88"/>
      <c r="J54" s="103">
        <f>'Res (100kWh)'!J54</f>
        <v>0.003</v>
      </c>
      <c r="K54" s="469">
        <f>K53</f>
        <v>367.32500000000005</v>
      </c>
      <c r="L54" s="80">
        <f>K54*J54</f>
        <v>1.1019750000000001</v>
      </c>
      <c r="M54" s="62"/>
      <c r="N54" s="207">
        <f t="shared" si="2"/>
        <v>0.40405750000000007</v>
      </c>
      <c r="O54" s="83">
        <f t="shared" si="8"/>
        <v>0.5789473684210527</v>
      </c>
    </row>
    <row r="55" spans="2:15" s="49" customFormat="1" ht="15">
      <c r="B55" s="61" t="s">
        <v>32</v>
      </c>
      <c r="C55" s="91"/>
      <c r="D55" s="91"/>
      <c r="E55" s="91"/>
      <c r="F55" s="111"/>
      <c r="G55" s="109"/>
      <c r="H55" s="144">
        <f>SUM(H52:H54)</f>
        <v>23.765653000000004</v>
      </c>
      <c r="I55" s="145"/>
      <c r="J55" s="374"/>
      <c r="K55" s="147"/>
      <c r="L55" s="144">
        <f>SUM(L52:L54)</f>
        <v>30.167430500000005</v>
      </c>
      <c r="M55" s="145"/>
      <c r="N55" s="142">
        <f t="shared" si="2"/>
        <v>6.4017775000000015</v>
      </c>
      <c r="O55" s="143">
        <f t="shared" si="8"/>
        <v>0.269370990984342</v>
      </c>
    </row>
    <row r="56" spans="2:15" s="49" customFormat="1" ht="15">
      <c r="B56" s="54" t="s">
        <v>33</v>
      </c>
      <c r="C56" s="53"/>
      <c r="D56" s="76" t="s">
        <v>63</v>
      </c>
      <c r="E56" s="77"/>
      <c r="F56" s="104">
        <f>'Res (100kWh)'!F56</f>
        <v>0.0044</v>
      </c>
      <c r="G56" s="468">
        <f>G54</f>
        <v>367.32500000000005</v>
      </c>
      <c r="H56" s="105">
        <f aca="true" t="shared" si="9" ref="H56:H63">G56*F56</f>
        <v>1.6162300000000003</v>
      </c>
      <c r="I56" s="88"/>
      <c r="J56" s="432">
        <f>'Res (100kWh)'!J56</f>
        <v>0.0036</v>
      </c>
      <c r="K56" s="469">
        <f>K54</f>
        <v>367.32500000000005</v>
      </c>
      <c r="L56" s="80">
        <f aca="true" t="shared" si="10" ref="L56:L63">K56*J56</f>
        <v>1.32237</v>
      </c>
      <c r="M56" s="62"/>
      <c r="N56" s="207">
        <f t="shared" si="2"/>
        <v>-0.29386000000000023</v>
      </c>
      <c r="O56" s="83">
        <f t="shared" si="8"/>
        <v>-0.18181818181818193</v>
      </c>
    </row>
    <row r="57" spans="2:15" s="49" customFormat="1" ht="15">
      <c r="B57" s="54" t="s">
        <v>34</v>
      </c>
      <c r="C57" s="53"/>
      <c r="D57" s="76" t="s">
        <v>63</v>
      </c>
      <c r="E57" s="77"/>
      <c r="F57" s="104">
        <f>'Res (100kWh)'!F57</f>
        <v>0.0013</v>
      </c>
      <c r="G57" s="468">
        <f>G54</f>
        <v>367.32500000000005</v>
      </c>
      <c r="H57" s="105">
        <f t="shared" si="9"/>
        <v>0.4775225</v>
      </c>
      <c r="I57" s="88"/>
      <c r="J57" s="103">
        <f>'Res (100kWh)'!J57</f>
        <v>0.0013</v>
      </c>
      <c r="K57" s="469">
        <f>K54</f>
        <v>367.32500000000005</v>
      </c>
      <c r="L57" s="80">
        <f t="shared" si="10"/>
        <v>0.4775225</v>
      </c>
      <c r="M57" s="62"/>
      <c r="N57" s="207">
        <f t="shared" si="2"/>
        <v>0</v>
      </c>
      <c r="O57" s="83">
        <f t="shared" si="8"/>
        <v>0</v>
      </c>
    </row>
    <row r="58" spans="2:15" s="49" customFormat="1" ht="15">
      <c r="B58" s="54" t="s">
        <v>121</v>
      </c>
      <c r="C58" s="53"/>
      <c r="D58" s="76" t="s">
        <v>63</v>
      </c>
      <c r="E58" s="77"/>
      <c r="F58" s="104">
        <f>'Res (100kWh)'!F58</f>
        <v>0</v>
      </c>
      <c r="G58" s="468">
        <f>G54</f>
        <v>367.32500000000005</v>
      </c>
      <c r="H58" s="105">
        <f t="shared" si="9"/>
        <v>0</v>
      </c>
      <c r="I58" s="88"/>
      <c r="J58" s="432">
        <f>'Res (100kWh)'!J58</f>
        <v>0.0011</v>
      </c>
      <c r="K58" s="469">
        <f>K54</f>
        <v>367.32500000000005</v>
      </c>
      <c r="L58" s="80">
        <f t="shared" si="10"/>
        <v>0.40405750000000007</v>
      </c>
      <c r="M58" s="62"/>
      <c r="N58" s="207">
        <f t="shared" si="2"/>
        <v>0.40405750000000007</v>
      </c>
      <c r="O58" s="83">
        <f t="shared" si="8"/>
      </c>
    </row>
    <row r="59" spans="2:15" s="49" customFormat="1" ht="15">
      <c r="B59" s="53" t="s">
        <v>35</v>
      </c>
      <c r="C59" s="53"/>
      <c r="D59" s="76" t="s">
        <v>62</v>
      </c>
      <c r="E59" s="77"/>
      <c r="F59" s="369">
        <f>'Res (100kWh)'!F59</f>
        <v>0.25</v>
      </c>
      <c r="G59" s="79">
        <v>1</v>
      </c>
      <c r="H59" s="105">
        <f t="shared" si="9"/>
        <v>0.25</v>
      </c>
      <c r="I59" s="88"/>
      <c r="J59" s="370">
        <f>'Res (100kWh)'!J59</f>
        <v>0.25</v>
      </c>
      <c r="K59" s="81">
        <v>1</v>
      </c>
      <c r="L59" s="80">
        <f t="shared" si="10"/>
        <v>0.25</v>
      </c>
      <c r="M59" s="62"/>
      <c r="N59" s="207">
        <f t="shared" si="2"/>
        <v>0</v>
      </c>
      <c r="O59" s="83">
        <f t="shared" si="8"/>
        <v>0</v>
      </c>
    </row>
    <row r="60" spans="2:15" s="49" customFormat="1" ht="15">
      <c r="B60" s="53" t="s">
        <v>36</v>
      </c>
      <c r="C60" s="53"/>
      <c r="D60" s="76" t="s">
        <v>63</v>
      </c>
      <c r="E60" s="77"/>
      <c r="F60" s="104">
        <f>'Res (100kWh)'!F60</f>
        <v>0.007</v>
      </c>
      <c r="G60" s="112">
        <f>F18</f>
        <v>350</v>
      </c>
      <c r="H60" s="80">
        <f t="shared" si="9"/>
        <v>2.45</v>
      </c>
      <c r="I60" s="62"/>
      <c r="J60" s="103">
        <f>'Res (100kWh)'!J60</f>
        <v>0</v>
      </c>
      <c r="K60" s="113">
        <f>F18</f>
        <v>350</v>
      </c>
      <c r="L60" s="80">
        <f t="shared" si="10"/>
        <v>0</v>
      </c>
      <c r="M60" s="62"/>
      <c r="N60" s="207">
        <f t="shared" si="2"/>
        <v>-2.45</v>
      </c>
      <c r="O60" s="83">
        <f t="shared" si="8"/>
        <v>-1</v>
      </c>
    </row>
    <row r="61" spans="2:19" s="49" customFormat="1" ht="15">
      <c r="B61" s="59" t="s">
        <v>37</v>
      </c>
      <c r="C61" s="53"/>
      <c r="D61" s="76" t="s">
        <v>63</v>
      </c>
      <c r="E61" s="77"/>
      <c r="F61" s="104">
        <f>'Res (100kWh)'!F61</f>
        <v>0.08</v>
      </c>
      <c r="G61" s="112">
        <f>0.64*$F$18</f>
        <v>224</v>
      </c>
      <c r="H61" s="80">
        <f t="shared" si="9"/>
        <v>17.92</v>
      </c>
      <c r="I61" s="62"/>
      <c r="J61" s="104">
        <f>'Res (100kWh)'!J61</f>
        <v>0.08</v>
      </c>
      <c r="K61" s="112">
        <f>G61</f>
        <v>224</v>
      </c>
      <c r="L61" s="80">
        <f t="shared" si="10"/>
        <v>17.92</v>
      </c>
      <c r="M61" s="62"/>
      <c r="N61" s="207">
        <f t="shared" si="2"/>
        <v>0</v>
      </c>
      <c r="O61" s="83">
        <f t="shared" si="8"/>
        <v>0</v>
      </c>
      <c r="S61" s="114"/>
    </row>
    <row r="62" spans="2:19" s="49" customFormat="1" ht="15">
      <c r="B62" s="59" t="s">
        <v>38</v>
      </c>
      <c r="C62" s="53"/>
      <c r="D62" s="76" t="s">
        <v>63</v>
      </c>
      <c r="E62" s="77"/>
      <c r="F62" s="104">
        <f>'Res (100kWh)'!F62</f>
        <v>0.122</v>
      </c>
      <c r="G62" s="112">
        <f>0.18*$F$18</f>
        <v>63</v>
      </c>
      <c r="H62" s="80">
        <f t="shared" si="9"/>
        <v>7.686</v>
      </c>
      <c r="I62" s="62"/>
      <c r="J62" s="104">
        <f>'Res (100kWh)'!J62</f>
        <v>0.122</v>
      </c>
      <c r="K62" s="112">
        <f>G62</f>
        <v>63</v>
      </c>
      <c r="L62" s="80">
        <f t="shared" si="10"/>
        <v>7.686</v>
      </c>
      <c r="M62" s="62"/>
      <c r="N62" s="207">
        <f t="shared" si="2"/>
        <v>0</v>
      </c>
      <c r="O62" s="83">
        <f t="shared" si="8"/>
        <v>0</v>
      </c>
      <c r="S62" s="114"/>
    </row>
    <row r="63" spans="2:19" s="49" customFormat="1" ht="15">
      <c r="B63" s="52" t="s">
        <v>39</v>
      </c>
      <c r="C63" s="53"/>
      <c r="D63" s="76" t="s">
        <v>63</v>
      </c>
      <c r="E63" s="77"/>
      <c r="F63" s="104">
        <f>'Res (100kWh)'!F63</f>
        <v>0.161</v>
      </c>
      <c r="G63" s="112">
        <f>0.18*$F$18</f>
        <v>63</v>
      </c>
      <c r="H63" s="80">
        <f t="shared" si="9"/>
        <v>10.143</v>
      </c>
      <c r="I63" s="62"/>
      <c r="J63" s="104">
        <f>'Res (100kWh)'!J63</f>
        <v>0.161</v>
      </c>
      <c r="K63" s="112">
        <f>G63</f>
        <v>63</v>
      </c>
      <c r="L63" s="80">
        <f t="shared" si="10"/>
        <v>10.143</v>
      </c>
      <c r="M63" s="62"/>
      <c r="N63" s="207">
        <f t="shared" si="2"/>
        <v>0</v>
      </c>
      <c r="O63" s="83">
        <f t="shared" si="8"/>
        <v>0</v>
      </c>
      <c r="S63" s="114"/>
    </row>
    <row r="64" spans="2:15" s="152" customFormat="1" ht="15">
      <c r="B64" s="64" t="s">
        <v>40</v>
      </c>
      <c r="C64" s="64"/>
      <c r="D64" s="148" t="s">
        <v>63</v>
      </c>
      <c r="E64" s="149"/>
      <c r="F64" s="104">
        <f>'Res (100kWh)'!F64</f>
        <v>0.094</v>
      </c>
      <c r="G64" s="150">
        <f>IF(AND($T$1=1,F18&gt;=600),600,IF(AND($T$1=1,AND(F18&lt;600,F18&gt;=0)),F18,IF(AND($T$1=2,F18&gt;=1000),1000,IF(AND($T$1=2,AND(F18&lt;1000,F18&gt;=0)),F18))))</f>
        <v>350</v>
      </c>
      <c r="H64" s="80">
        <f>G64*F64</f>
        <v>32.9</v>
      </c>
      <c r="I64" s="151"/>
      <c r="J64" s="104">
        <f>'Res (100kWh)'!J64</f>
        <v>0.094</v>
      </c>
      <c r="K64" s="150">
        <f>G64</f>
        <v>350</v>
      </c>
      <c r="L64" s="80">
        <f>K64*J64</f>
        <v>32.9</v>
      </c>
      <c r="M64" s="151"/>
      <c r="N64" s="207">
        <f t="shared" si="2"/>
        <v>0</v>
      </c>
      <c r="O64" s="83">
        <f t="shared" si="8"/>
        <v>0</v>
      </c>
    </row>
    <row r="65" spans="2:15" s="152" customFormat="1" ht="15.75" thickBot="1">
      <c r="B65" s="64" t="s">
        <v>41</v>
      </c>
      <c r="C65" s="64"/>
      <c r="D65" s="148" t="s">
        <v>63</v>
      </c>
      <c r="E65" s="149"/>
      <c r="F65" s="104">
        <f>'Res (100kWh)'!F65</f>
        <v>0.11</v>
      </c>
      <c r="G65" s="150">
        <f>IF(AND($T$1=1,F18&gt;=600),F18-600,IF(AND($T$1=1,AND(F18&lt;600,F18&gt;=0)),0,IF(AND($T$1=2,F18&gt;=1000),F18-1000,IF(AND($T$1=2,AND(F18&lt;1000,F18&gt;=0)),0))))</f>
        <v>0</v>
      </c>
      <c r="H65" s="80">
        <f>G65*F65</f>
        <v>0</v>
      </c>
      <c r="I65" s="151"/>
      <c r="J65" s="104">
        <f>'Res (100kWh)'!J65</f>
        <v>0.11</v>
      </c>
      <c r="K65" s="150">
        <f>G65</f>
        <v>0</v>
      </c>
      <c r="L65" s="80">
        <f>K65*J65</f>
        <v>0</v>
      </c>
      <c r="M65" s="151"/>
      <c r="N65" s="207">
        <f t="shared" si="2"/>
        <v>0</v>
      </c>
      <c r="O65" s="83">
        <f t="shared" si="8"/>
      </c>
    </row>
    <row r="66" spans="2:15" s="49" customFormat="1" ht="8.25" customHeight="1" thickBot="1">
      <c r="B66" s="65"/>
      <c r="C66" s="74"/>
      <c r="D66" s="75"/>
      <c r="E66" s="74"/>
      <c r="F66" s="115"/>
      <c r="G66" s="116"/>
      <c r="H66" s="117"/>
      <c r="I66" s="118"/>
      <c r="J66" s="115"/>
      <c r="K66" s="119"/>
      <c r="L66" s="117"/>
      <c r="M66" s="118"/>
      <c r="N66" s="120"/>
      <c r="O66" s="121"/>
    </row>
    <row r="67" spans="2:19" s="49" customFormat="1" ht="15">
      <c r="B67" s="66" t="s">
        <v>42</v>
      </c>
      <c r="C67" s="53"/>
      <c r="D67" s="53"/>
      <c r="E67" s="53"/>
      <c r="F67" s="122"/>
      <c r="G67" s="123"/>
      <c r="H67" s="153">
        <f>SUM(H56:H63,H55)</f>
        <v>64.3084055</v>
      </c>
      <c r="I67" s="154"/>
      <c r="J67" s="155"/>
      <c r="K67" s="155"/>
      <c r="L67" s="156">
        <f>SUM(L56:L63,L55)</f>
        <v>68.37038050000001</v>
      </c>
      <c r="M67" s="157"/>
      <c r="N67" s="156">
        <f>SUM(N56:N63,N55)</f>
        <v>4.061975000000001</v>
      </c>
      <c r="O67" s="158">
        <f>IF((H67)=0,"",(N67/H67))</f>
        <v>0.06316398250614379</v>
      </c>
      <c r="S67" s="114"/>
    </row>
    <row r="68" spans="2:19" s="49" customFormat="1" ht="15">
      <c r="B68" s="67" t="s">
        <v>43</v>
      </c>
      <c r="C68" s="53"/>
      <c r="D68" s="53"/>
      <c r="E68" s="53"/>
      <c r="F68" s="124">
        <v>0.13</v>
      </c>
      <c r="G68" s="125"/>
      <c r="H68" s="159">
        <f>H67*F68</f>
        <v>8.360092715</v>
      </c>
      <c r="I68" s="160"/>
      <c r="J68" s="161">
        <v>0.13</v>
      </c>
      <c r="K68" s="160"/>
      <c r="L68" s="162">
        <f>L67*J68</f>
        <v>8.888149465000001</v>
      </c>
      <c r="M68" s="163"/>
      <c r="N68" s="207">
        <f t="shared" si="2"/>
        <v>0.5280567500000011</v>
      </c>
      <c r="O68" s="164">
        <f t="shared" si="8"/>
        <v>0.0631639825061439</v>
      </c>
      <c r="S68" s="114"/>
    </row>
    <row r="69" spans="2:19" s="49" customFormat="1" ht="15">
      <c r="B69" s="68" t="s">
        <v>123</v>
      </c>
      <c r="C69" s="53"/>
      <c r="D69" s="53"/>
      <c r="E69" s="53"/>
      <c r="F69" s="126"/>
      <c r="G69" s="125"/>
      <c r="H69" s="159">
        <f>H67+H68</f>
        <v>72.668498215</v>
      </c>
      <c r="I69" s="160"/>
      <c r="J69" s="160"/>
      <c r="K69" s="160"/>
      <c r="L69" s="162">
        <f>L67+L68</f>
        <v>77.25852996500001</v>
      </c>
      <c r="M69" s="163"/>
      <c r="N69" s="207">
        <f t="shared" si="2"/>
        <v>4.5900317500000085</v>
      </c>
      <c r="O69" s="164">
        <f t="shared" si="8"/>
        <v>0.06316398250614388</v>
      </c>
      <c r="S69" s="114"/>
    </row>
    <row r="70" spans="2:15" s="49" customFormat="1" ht="15.75" customHeight="1">
      <c r="B70" s="572" t="s">
        <v>124</v>
      </c>
      <c r="C70" s="572"/>
      <c r="D70" s="572"/>
      <c r="E70" s="53"/>
      <c r="F70" s="126"/>
      <c r="G70" s="125"/>
      <c r="H70" s="165">
        <f>ROUND(-H69*10%,2)</f>
        <v>-7.27</v>
      </c>
      <c r="I70" s="160"/>
      <c r="J70" s="160"/>
      <c r="K70" s="160"/>
      <c r="L70" s="166">
        <v>0</v>
      </c>
      <c r="M70" s="163"/>
      <c r="N70" s="207">
        <f t="shared" si="2"/>
        <v>7.27</v>
      </c>
      <c r="O70" s="167">
        <f t="shared" si="8"/>
        <v>-1</v>
      </c>
    </row>
    <row r="71" spans="2:15" s="49" customFormat="1" ht="15.75" thickBot="1">
      <c r="B71" s="573" t="s">
        <v>46</v>
      </c>
      <c r="C71" s="573"/>
      <c r="D71" s="573"/>
      <c r="E71" s="127"/>
      <c r="F71" s="128"/>
      <c r="G71" s="129"/>
      <c r="H71" s="168">
        <f>H69+H70</f>
        <v>65.398498215</v>
      </c>
      <c r="I71" s="169"/>
      <c r="J71" s="169"/>
      <c r="K71" s="169"/>
      <c r="L71" s="170">
        <f>L69+L70</f>
        <v>77.25852996500001</v>
      </c>
      <c r="M71" s="171"/>
      <c r="N71" s="209">
        <f>L71-H71</f>
        <v>11.860031750000005</v>
      </c>
      <c r="O71" s="172">
        <f t="shared" si="8"/>
        <v>0.18135021558155215</v>
      </c>
    </row>
    <row r="72" spans="2:15" s="152" customFormat="1" ht="8.25" customHeight="1" thickBot="1">
      <c r="B72" s="69"/>
      <c r="C72" s="173"/>
      <c r="D72" s="174"/>
      <c r="E72" s="173"/>
      <c r="F72" s="115"/>
      <c r="G72" s="175"/>
      <c r="H72" s="117"/>
      <c r="I72" s="176"/>
      <c r="J72" s="115"/>
      <c r="K72" s="177"/>
      <c r="L72" s="117"/>
      <c r="M72" s="176"/>
      <c r="N72" s="178"/>
      <c r="O72" s="121"/>
    </row>
    <row r="73" spans="2:15" s="152" customFormat="1" ht="15">
      <c r="B73" s="70" t="s">
        <v>47</v>
      </c>
      <c r="C73" s="64"/>
      <c r="D73" s="64"/>
      <c r="E73" s="64"/>
      <c r="F73" s="179"/>
      <c r="G73" s="180"/>
      <c r="H73" s="181">
        <f>SUM(H64:H65,H55,H56:H60)</f>
        <v>61.45940550000001</v>
      </c>
      <c r="I73" s="182"/>
      <c r="J73" s="183"/>
      <c r="K73" s="183"/>
      <c r="L73" s="184">
        <f>SUM(L64:L65,L55,L56:L60)</f>
        <v>65.5213805</v>
      </c>
      <c r="M73" s="185"/>
      <c r="N73" s="184">
        <f>SUM(N64:N65,N55,N56:N60)</f>
        <v>4.061975000000001</v>
      </c>
      <c r="O73" s="158">
        <f>IF((H73)=0,"",(N73/H73))</f>
        <v>0.06609199953943584</v>
      </c>
    </row>
    <row r="74" spans="2:15" s="152" customFormat="1" ht="15">
      <c r="B74" s="71" t="s">
        <v>43</v>
      </c>
      <c r="C74" s="64"/>
      <c r="D74" s="64"/>
      <c r="E74" s="64"/>
      <c r="F74" s="186">
        <v>0.13</v>
      </c>
      <c r="G74" s="180"/>
      <c r="H74" s="187">
        <f>H73*F74</f>
        <v>7.989722715000002</v>
      </c>
      <c r="I74" s="188"/>
      <c r="J74" s="186">
        <v>0.13</v>
      </c>
      <c r="K74" s="189"/>
      <c r="L74" s="190">
        <f>L73*J74</f>
        <v>8.517779465</v>
      </c>
      <c r="M74" s="191"/>
      <c r="N74" s="207">
        <f>L74-H74</f>
        <v>0.5280567499999984</v>
      </c>
      <c r="O74" s="164">
        <f>IF((H74)=0,"",(N74/H74))</f>
        <v>0.06609199953943562</v>
      </c>
    </row>
    <row r="75" spans="2:15" s="152" customFormat="1" ht="15">
      <c r="B75" s="72" t="s">
        <v>123</v>
      </c>
      <c r="C75" s="64"/>
      <c r="D75" s="64"/>
      <c r="E75" s="64"/>
      <c r="F75" s="192"/>
      <c r="G75" s="191"/>
      <c r="H75" s="187">
        <f>H73+H74</f>
        <v>69.44912821500002</v>
      </c>
      <c r="I75" s="188"/>
      <c r="J75" s="188"/>
      <c r="K75" s="188"/>
      <c r="L75" s="190">
        <f>L73+L74</f>
        <v>74.03915996500001</v>
      </c>
      <c r="M75" s="191"/>
      <c r="N75" s="207">
        <f>L75-H75</f>
        <v>4.590031749999994</v>
      </c>
      <c r="O75" s="164">
        <f>IF((H75)=0,"",(N75/H75))</f>
        <v>0.06609199953943573</v>
      </c>
    </row>
    <row r="76" spans="2:15" s="152" customFormat="1" ht="15.75" customHeight="1">
      <c r="B76" s="574" t="s">
        <v>124</v>
      </c>
      <c r="C76" s="574"/>
      <c r="D76" s="574"/>
      <c r="E76" s="64"/>
      <c r="F76" s="192"/>
      <c r="G76" s="191"/>
      <c r="H76" s="193">
        <f>ROUND(-H75*10%,2)</f>
        <v>-6.94</v>
      </c>
      <c r="I76" s="188"/>
      <c r="J76" s="188"/>
      <c r="K76" s="188"/>
      <c r="L76" s="194">
        <v>0</v>
      </c>
      <c r="M76" s="191"/>
      <c r="N76" s="207">
        <f>L76-H76</f>
        <v>6.94</v>
      </c>
      <c r="O76" s="167">
        <f>IF((H76)=0,"",(N76/H76))</f>
        <v>-1</v>
      </c>
    </row>
    <row r="77" spans="2:15" s="152" customFormat="1" ht="15.75" thickBot="1">
      <c r="B77" s="565" t="s">
        <v>48</v>
      </c>
      <c r="C77" s="565"/>
      <c r="D77" s="565"/>
      <c r="E77" s="195"/>
      <c r="F77" s="196"/>
      <c r="G77" s="197"/>
      <c r="H77" s="198">
        <f>SUM(H75:H76)</f>
        <v>62.50912821500002</v>
      </c>
      <c r="I77" s="199"/>
      <c r="J77" s="199"/>
      <c r="K77" s="199"/>
      <c r="L77" s="200">
        <f>SUM(L75:L76)</f>
        <v>74.03915996500001</v>
      </c>
      <c r="M77" s="201"/>
      <c r="N77" s="209">
        <f>L77-H77</f>
        <v>11.530031749999992</v>
      </c>
      <c r="O77" s="202">
        <f>IF((H77)=0,"",(N77/H77))</f>
        <v>0.1844535682907378</v>
      </c>
    </row>
    <row r="78" spans="2:15" s="152" customFormat="1" ht="8.25" customHeight="1" thickBot="1">
      <c r="B78" s="69"/>
      <c r="C78" s="173"/>
      <c r="D78" s="174"/>
      <c r="E78" s="173"/>
      <c r="F78" s="130"/>
      <c r="G78" s="203"/>
      <c r="H78" s="131"/>
      <c r="I78" s="204"/>
      <c r="J78" s="130"/>
      <c r="K78" s="175"/>
      <c r="L78" s="132"/>
      <c r="M78" s="176"/>
      <c r="N78" s="205"/>
      <c r="O78" s="121"/>
    </row>
    <row r="79" s="49" customFormat="1" ht="10.5" customHeight="1">
      <c r="L79" s="114"/>
    </row>
    <row r="80" spans="2:10" s="49" customFormat="1" ht="15">
      <c r="B80" s="73" t="s">
        <v>49</v>
      </c>
      <c r="F80" s="379">
        <f>'Res (100kWh)'!F80</f>
        <v>0.0495</v>
      </c>
      <c r="G80" s="99"/>
      <c r="H80" s="99"/>
      <c r="I80" s="99"/>
      <c r="J80" s="379">
        <f>'Res (100kWh)'!J80</f>
        <v>0.0495</v>
      </c>
    </row>
    <row r="81" s="49" customFormat="1" ht="10.5" customHeight="1"/>
    <row r="82" spans="2:15" s="49" customFormat="1" ht="15">
      <c r="B82" s="423" t="s">
        <v>140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99" customFormat="1" ht="15">
      <c r="B83" s="423" t="s">
        <v>141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49" customFormat="1" ht="17.25">
      <c r="A84" s="206" t="s">
        <v>125</v>
      </c>
    </row>
    <row r="85" s="49" customFormat="1" ht="10.5" customHeight="1"/>
    <row r="86" s="49" customFormat="1" ht="15">
      <c r="A86" s="49" t="s">
        <v>51</v>
      </c>
    </row>
    <row r="87" s="49" customFormat="1" ht="15">
      <c r="A87" s="49" t="s">
        <v>52</v>
      </c>
    </row>
    <row r="88" s="49" customFormat="1" ht="15"/>
    <row r="89" s="49" customFormat="1" ht="15">
      <c r="A89" s="52" t="s">
        <v>53</v>
      </c>
    </row>
    <row r="90" s="49" customFormat="1" ht="15">
      <c r="A90" s="52" t="s">
        <v>54</v>
      </c>
    </row>
    <row r="91" s="49" customFormat="1" ht="15"/>
    <row r="92" s="49" customFormat="1" ht="15">
      <c r="A92" s="49" t="s">
        <v>55</v>
      </c>
    </row>
    <row r="93" s="49" customFormat="1" ht="15">
      <c r="A93" s="49" t="s">
        <v>56</v>
      </c>
    </row>
    <row r="94" s="49" customFormat="1" ht="15">
      <c r="A94" s="49" t="s">
        <v>57</v>
      </c>
    </row>
    <row r="95" s="49" customFormat="1" ht="15">
      <c r="A95" s="49" t="s">
        <v>58</v>
      </c>
    </row>
    <row r="96" s="49" customFormat="1" ht="15">
      <c r="A96" s="49" t="s">
        <v>59</v>
      </c>
    </row>
    <row r="97" s="49" customFormat="1" ht="15"/>
    <row r="98" spans="1:2" s="49" customFormat="1" ht="15">
      <c r="A98" s="134"/>
      <c r="B98" s="49" t="s">
        <v>60</v>
      </c>
    </row>
  </sheetData>
  <sheetProtection/>
  <mergeCells count="21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42:E51 E66 E23:E40 E56:E63">
      <formula1>'Res (350kWh)'!#REF!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'Res (350kWh)'!#REF!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8"/>
  <sheetViews>
    <sheetView showGridLines="0" zoomScale="115" zoomScaleNormal="115" zoomScalePageLayoutView="0" workbookViewId="0" topLeftCell="C1">
      <selection activeCell="N4" sqref="N4:O4"/>
    </sheetView>
  </sheetViews>
  <sheetFormatPr defaultColWidth="9.140625" defaultRowHeight="15"/>
  <cols>
    <col min="1" max="1" width="2.140625" style="8" customWidth="1"/>
    <col min="2" max="2" width="62.71093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10.57421875" style="8" bestFit="1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customWidth="1"/>
    <col min="16" max="16" width="6.281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21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77</v>
      </c>
      <c r="O5" s="584"/>
      <c r="P5" s="20"/>
    </row>
    <row r="6" spans="12:16" s="2" customFormat="1" ht="9" customHeight="1">
      <c r="L6" s="3"/>
      <c r="N6" s="41"/>
      <c r="O6" s="4"/>
      <c r="P6"/>
    </row>
    <row r="7" spans="12:16" s="2" customFormat="1" ht="15">
      <c r="L7" s="3" t="s">
        <v>159</v>
      </c>
      <c r="N7" s="585">
        <v>42384</v>
      </c>
      <c r="O7" s="584"/>
      <c r="P7" s="18"/>
    </row>
    <row r="8" spans="14:16" s="2" customFormat="1" ht="15.7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800</v>
      </c>
      <c r="G18" s="14" t="s">
        <v>9</v>
      </c>
    </row>
    <row r="19" ht="15">
      <c r="B19" s="13"/>
    </row>
    <row r="20" spans="2:15" s="49" customFormat="1" ht="15">
      <c r="B20" s="52"/>
      <c r="D20" s="136"/>
      <c r="E20" s="136"/>
      <c r="F20" s="578" t="s">
        <v>10</v>
      </c>
      <c r="G20" s="579"/>
      <c r="H20" s="580"/>
      <c r="J20" s="578" t="s">
        <v>11</v>
      </c>
      <c r="K20" s="579"/>
      <c r="L20" s="580"/>
      <c r="N20" s="578" t="s">
        <v>12</v>
      </c>
      <c r="O20" s="580"/>
    </row>
    <row r="21" spans="2:15" s="49" customFormat="1" ht="15">
      <c r="B21" s="52"/>
      <c r="D21" s="566" t="s">
        <v>13</v>
      </c>
      <c r="E21" s="135"/>
      <c r="F21" s="137" t="s">
        <v>14</v>
      </c>
      <c r="G21" s="137" t="s">
        <v>15</v>
      </c>
      <c r="H21" s="138" t="s">
        <v>16</v>
      </c>
      <c r="J21" s="137" t="s">
        <v>14</v>
      </c>
      <c r="K21" s="139" t="s">
        <v>15</v>
      </c>
      <c r="L21" s="138" t="s">
        <v>16</v>
      </c>
      <c r="N21" s="568" t="s">
        <v>17</v>
      </c>
      <c r="O21" s="570" t="s">
        <v>18</v>
      </c>
    </row>
    <row r="22" spans="2:15" s="49" customFormat="1" ht="15">
      <c r="B22" s="52"/>
      <c r="D22" s="567"/>
      <c r="E22" s="135"/>
      <c r="F22" s="140" t="s">
        <v>19</v>
      </c>
      <c r="G22" s="140"/>
      <c r="H22" s="141" t="s">
        <v>19</v>
      </c>
      <c r="J22" s="140" t="s">
        <v>19</v>
      </c>
      <c r="K22" s="141"/>
      <c r="L22" s="141" t="s">
        <v>19</v>
      </c>
      <c r="N22" s="569"/>
      <c r="O22" s="571"/>
    </row>
    <row r="23" spans="2:15" s="49" customFormat="1" ht="15.75" customHeight="1">
      <c r="B23" s="53" t="s">
        <v>20</v>
      </c>
      <c r="C23" s="53"/>
      <c r="D23" s="76" t="s">
        <v>62</v>
      </c>
      <c r="E23" s="77"/>
      <c r="F23" s="369">
        <f>'Res (100kWh)'!F23</f>
        <v>11.22</v>
      </c>
      <c r="G23" s="79">
        <v>1</v>
      </c>
      <c r="H23" s="80">
        <f>G23*F23</f>
        <v>11.22</v>
      </c>
      <c r="I23" s="62"/>
      <c r="J23" s="430">
        <f>'Res (100kWh)'!J23</f>
        <v>14.71</v>
      </c>
      <c r="K23" s="81">
        <v>1</v>
      </c>
      <c r="L23" s="80">
        <f>K23*J23</f>
        <v>14.71</v>
      </c>
      <c r="M23" s="62"/>
      <c r="N23" s="207">
        <f>L23-H23</f>
        <v>3.49</v>
      </c>
      <c r="O23" s="83">
        <f>IF((H23)=0,"",(N23/H23))</f>
        <v>0.31105169340463457</v>
      </c>
    </row>
    <row r="24" spans="2:15" s="49" customFormat="1" ht="30">
      <c r="B24" s="375" t="s">
        <v>64</v>
      </c>
      <c r="C24" s="53"/>
      <c r="D24" s="76" t="s">
        <v>62</v>
      </c>
      <c r="E24" s="77"/>
      <c r="F24" s="377">
        <f>'Res (100kWh)'!F24</f>
        <v>1.75</v>
      </c>
      <c r="G24" s="79">
        <v>1</v>
      </c>
      <c r="H24" s="80">
        <f>G24*F24</f>
        <v>1.75</v>
      </c>
      <c r="I24" s="62"/>
      <c r="J24" s="370">
        <f>'Res (100kWh)'!J24</f>
        <v>1.75</v>
      </c>
      <c r="K24" s="81">
        <v>1</v>
      </c>
      <c r="L24" s="80">
        <f>K24*J24</f>
        <v>1.75</v>
      </c>
      <c r="M24" s="62"/>
      <c r="N24" s="207">
        <f>L24-H24</f>
        <v>0</v>
      </c>
      <c r="O24" s="83">
        <f>IF((H24)=0,"",(N24/H24))</f>
        <v>0</v>
      </c>
    </row>
    <row r="25" spans="2:15" s="49" customFormat="1" ht="15" customHeight="1">
      <c r="B25" s="376" t="s">
        <v>66</v>
      </c>
      <c r="C25" s="53"/>
      <c r="D25" s="76" t="s">
        <v>62</v>
      </c>
      <c r="E25" s="77"/>
      <c r="F25" s="370">
        <v>0</v>
      </c>
      <c r="G25" s="79">
        <v>1</v>
      </c>
      <c r="H25" s="80">
        <f>G25*F25</f>
        <v>0</v>
      </c>
      <c r="I25" s="62"/>
      <c r="J25" s="467">
        <f>'Res (100kWh)'!J25</f>
        <v>-0.04</v>
      </c>
      <c r="K25" s="81">
        <v>1</v>
      </c>
      <c r="L25" s="80">
        <f>K25*J25</f>
        <v>-0.04</v>
      </c>
      <c r="M25" s="62"/>
      <c r="N25" s="207">
        <f>L25-H25</f>
        <v>-0.04</v>
      </c>
      <c r="O25" s="83">
        <f>IF((H25)=0,"",(N25/H25))</f>
      </c>
    </row>
    <row r="26" spans="2:15" s="49" customFormat="1" ht="15" hidden="1">
      <c r="B26" s="375"/>
      <c r="C26" s="53"/>
      <c r="D26" s="86" t="s">
        <v>62</v>
      </c>
      <c r="E26" s="88"/>
      <c r="F26" s="370">
        <f>'Res (100kWh)'!F26</f>
        <v>0</v>
      </c>
      <c r="G26" s="79">
        <v>1</v>
      </c>
      <c r="H26" s="80">
        <f aca="true" t="shared" si="0" ref="H26:H40">G26*F26</f>
        <v>0</v>
      </c>
      <c r="I26" s="62"/>
      <c r="J26" s="370">
        <f>'Res (100kWh)'!J26</f>
        <v>0</v>
      </c>
      <c r="K26" s="81">
        <v>1</v>
      </c>
      <c r="L26" s="80">
        <f aca="true" t="shared" si="1" ref="L26:L40">K26*J26</f>
        <v>0</v>
      </c>
      <c r="M26" s="62"/>
      <c r="N26" s="207">
        <f aca="true" t="shared" si="2" ref="N26:N71">L26-H26</f>
        <v>0</v>
      </c>
      <c r="O26" s="83">
        <f aca="true" t="shared" si="3" ref="O26:O50">IF((H26)=0,"",(N26/H26))</f>
      </c>
    </row>
    <row r="27" spans="2:15" s="49" customFormat="1" ht="15" hidden="1">
      <c r="B27" s="375" t="s">
        <v>65</v>
      </c>
      <c r="C27" s="53"/>
      <c r="D27" s="76" t="s">
        <v>62</v>
      </c>
      <c r="E27" s="77"/>
      <c r="F27" s="104">
        <f>'Res (100kWh)'!F27</f>
        <v>0</v>
      </c>
      <c r="G27" s="79">
        <v>1</v>
      </c>
      <c r="H27" s="80">
        <f t="shared" si="0"/>
        <v>0</v>
      </c>
      <c r="I27" s="62"/>
      <c r="J27" s="370">
        <f>'Res (100kWh)'!J27</f>
        <v>0</v>
      </c>
      <c r="K27" s="81">
        <v>1</v>
      </c>
      <c r="L27" s="80">
        <f t="shared" si="1"/>
        <v>0</v>
      </c>
      <c r="M27" s="62"/>
      <c r="N27" s="207">
        <f t="shared" si="2"/>
        <v>0</v>
      </c>
      <c r="O27" s="83">
        <f t="shared" si="3"/>
      </c>
    </row>
    <row r="28" spans="2:15" s="49" customFormat="1" ht="15" hidden="1">
      <c r="B28" s="376"/>
      <c r="C28" s="53"/>
      <c r="D28" s="76" t="s">
        <v>62</v>
      </c>
      <c r="E28" s="77"/>
      <c r="F28" s="104">
        <f>'Res (100kWh)'!F28</f>
        <v>0</v>
      </c>
      <c r="G28" s="79">
        <f aca="true" t="shared" si="4" ref="G28:G33">$F$18</f>
        <v>800</v>
      </c>
      <c r="H28" s="80">
        <f t="shared" si="0"/>
        <v>0</v>
      </c>
      <c r="I28" s="62"/>
      <c r="J28" s="370">
        <f>'Res (100kWh)'!J28</f>
        <v>0</v>
      </c>
      <c r="K28" s="79">
        <f>K27</f>
        <v>1</v>
      </c>
      <c r="L28" s="80">
        <f t="shared" si="1"/>
        <v>0</v>
      </c>
      <c r="M28" s="62"/>
      <c r="N28" s="207">
        <f t="shared" si="2"/>
        <v>0</v>
      </c>
      <c r="O28" s="83">
        <f t="shared" si="3"/>
      </c>
    </row>
    <row r="29" spans="2:15" s="49" customFormat="1" ht="15">
      <c r="B29" s="53" t="s">
        <v>108</v>
      </c>
      <c r="C29" s="53"/>
      <c r="D29" s="76" t="s">
        <v>63</v>
      </c>
      <c r="E29" s="77"/>
      <c r="F29" s="378">
        <f>'Res (100kWh)'!F29</f>
        <v>0</v>
      </c>
      <c r="G29" s="79">
        <f t="shared" si="4"/>
        <v>800</v>
      </c>
      <c r="H29" s="80">
        <f t="shared" si="0"/>
        <v>0</v>
      </c>
      <c r="I29" s="62"/>
      <c r="J29" s="432">
        <f>'Res (100kWh)'!J29</f>
        <v>0.0007</v>
      </c>
      <c r="K29" s="79">
        <f>$F$18</f>
        <v>800</v>
      </c>
      <c r="L29" s="80">
        <f>K29*J29</f>
        <v>0.5599999999999999</v>
      </c>
      <c r="M29" s="62"/>
      <c r="N29" s="207">
        <f t="shared" si="2"/>
        <v>0.5599999999999999</v>
      </c>
      <c r="O29" s="83">
        <f t="shared" si="3"/>
      </c>
    </row>
    <row r="30" spans="2:15" s="49" customFormat="1" ht="15" hidden="1">
      <c r="B30" s="56" t="s">
        <v>92</v>
      </c>
      <c r="C30" s="53"/>
      <c r="D30" s="76" t="s">
        <v>63</v>
      </c>
      <c r="E30" s="77"/>
      <c r="F30" s="104">
        <f>'Res (100kWh)'!F30</f>
        <v>0</v>
      </c>
      <c r="G30" s="79">
        <f t="shared" si="4"/>
        <v>800</v>
      </c>
      <c r="H30" s="80">
        <f t="shared" si="0"/>
        <v>0</v>
      </c>
      <c r="I30" s="62"/>
      <c r="J30" s="432">
        <f>'Res (100kWh)'!J30</f>
        <v>0</v>
      </c>
      <c r="K30" s="79">
        <f>$F$18</f>
        <v>800</v>
      </c>
      <c r="L30" s="80">
        <f>K30*J30</f>
        <v>0</v>
      </c>
      <c r="M30" s="62"/>
      <c r="N30" s="207">
        <f>L30-H30</f>
        <v>0</v>
      </c>
      <c r="O30" s="83">
        <f>IF((H30)=0,"",(N30/H30))</f>
      </c>
    </row>
    <row r="31" spans="2:17" s="49" customFormat="1" ht="15">
      <c r="B31" s="53" t="s">
        <v>21</v>
      </c>
      <c r="C31" s="53"/>
      <c r="D31" s="76" t="s">
        <v>63</v>
      </c>
      <c r="E31" s="77"/>
      <c r="F31" s="104">
        <f>'Res (100kWh)'!F31</f>
        <v>0.0211</v>
      </c>
      <c r="G31" s="79">
        <f t="shared" si="4"/>
        <v>800</v>
      </c>
      <c r="H31" s="80">
        <f t="shared" si="0"/>
        <v>16.88</v>
      </c>
      <c r="I31" s="62"/>
      <c r="J31" s="431">
        <f>'Res (100kWh)'!J31</f>
        <v>0.0169</v>
      </c>
      <c r="K31" s="79">
        <f>$F$18</f>
        <v>800</v>
      </c>
      <c r="L31" s="80">
        <f>K31*J31</f>
        <v>13.52</v>
      </c>
      <c r="M31" s="62"/>
      <c r="N31" s="207">
        <f t="shared" si="2"/>
        <v>-3.3599999999999994</v>
      </c>
      <c r="O31" s="83">
        <f t="shared" si="3"/>
        <v>-0.19905213270142177</v>
      </c>
      <c r="Q31" s="49" t="s">
        <v>163</v>
      </c>
    </row>
    <row r="32" spans="2:15" s="49" customFormat="1" ht="14.25" customHeight="1" hidden="1">
      <c r="B32" s="53" t="s">
        <v>22</v>
      </c>
      <c r="C32" s="53"/>
      <c r="D32" s="76"/>
      <c r="E32" s="77"/>
      <c r="F32" s="89">
        <f>'Res (100kWh)'!F32</f>
        <v>0</v>
      </c>
      <c r="G32" s="79">
        <f t="shared" si="4"/>
        <v>800</v>
      </c>
      <c r="H32" s="80">
        <f t="shared" si="0"/>
        <v>0</v>
      </c>
      <c r="I32" s="62"/>
      <c r="J32" s="103"/>
      <c r="K32" s="79">
        <f aca="true" t="shared" si="5" ref="K32:K40">$F$18</f>
        <v>800</v>
      </c>
      <c r="L32" s="80">
        <f t="shared" si="1"/>
        <v>0</v>
      </c>
      <c r="M32" s="62"/>
      <c r="N32" s="82">
        <f t="shared" si="2"/>
        <v>0</v>
      </c>
      <c r="O32" s="83">
        <f t="shared" si="3"/>
      </c>
    </row>
    <row r="33" spans="2:15" s="49" customFormat="1" ht="15" hidden="1">
      <c r="B33" s="53" t="s">
        <v>108</v>
      </c>
      <c r="C33" s="53"/>
      <c r="D33" s="76"/>
      <c r="E33" s="77"/>
      <c r="F33" s="89">
        <f>'Res (100kWh)'!F33</f>
        <v>0</v>
      </c>
      <c r="G33" s="79">
        <f t="shared" si="4"/>
        <v>800</v>
      </c>
      <c r="H33" s="80">
        <f t="shared" si="0"/>
        <v>0</v>
      </c>
      <c r="I33" s="62"/>
      <c r="J33" s="370">
        <f>'Res (100kWh)'!J33</f>
        <v>0</v>
      </c>
      <c r="K33" s="79">
        <f t="shared" si="5"/>
        <v>800</v>
      </c>
      <c r="L33" s="80">
        <f t="shared" si="1"/>
        <v>0</v>
      </c>
      <c r="M33" s="62"/>
      <c r="N33" s="82">
        <f t="shared" si="2"/>
        <v>0</v>
      </c>
      <c r="O33" s="83">
        <f t="shared" si="3"/>
      </c>
    </row>
    <row r="34" spans="2:15" s="49" customFormat="1" ht="15" hidden="1">
      <c r="B34" s="57"/>
      <c r="C34" s="53"/>
      <c r="D34" s="76"/>
      <c r="E34" s="77"/>
      <c r="F34" s="89">
        <f>'Res (100kWh)'!F34</f>
        <v>0</v>
      </c>
      <c r="G34" s="79">
        <f aca="true" t="shared" si="6" ref="G34:G40">$F$18</f>
        <v>800</v>
      </c>
      <c r="H34" s="80">
        <f t="shared" si="0"/>
        <v>0</v>
      </c>
      <c r="I34" s="62"/>
      <c r="J34" s="370">
        <f>'Res (100kWh)'!J34</f>
        <v>0</v>
      </c>
      <c r="K34" s="79">
        <f t="shared" si="5"/>
        <v>800</v>
      </c>
      <c r="L34" s="80">
        <f t="shared" si="1"/>
        <v>0</v>
      </c>
      <c r="M34" s="62"/>
      <c r="N34" s="82">
        <f t="shared" si="2"/>
        <v>0</v>
      </c>
      <c r="O34" s="83">
        <f t="shared" si="3"/>
      </c>
    </row>
    <row r="35" spans="2:15" s="49" customFormat="1" ht="15" hidden="1">
      <c r="B35" s="57"/>
      <c r="C35" s="53"/>
      <c r="D35" s="76"/>
      <c r="E35" s="77"/>
      <c r="F35" s="89">
        <f>'Res (100kWh)'!F35</f>
        <v>0</v>
      </c>
      <c r="G35" s="79">
        <f t="shared" si="6"/>
        <v>800</v>
      </c>
      <c r="H35" s="80">
        <f t="shared" si="0"/>
        <v>0</v>
      </c>
      <c r="I35" s="62"/>
      <c r="J35" s="370">
        <f>'Res (100kWh)'!J35</f>
        <v>0</v>
      </c>
      <c r="K35" s="79">
        <f t="shared" si="5"/>
        <v>800</v>
      </c>
      <c r="L35" s="80">
        <f t="shared" si="1"/>
        <v>0</v>
      </c>
      <c r="M35" s="62"/>
      <c r="N35" s="82">
        <f t="shared" si="2"/>
        <v>0</v>
      </c>
      <c r="O35" s="83">
        <f t="shared" si="3"/>
      </c>
    </row>
    <row r="36" spans="2:15" s="49" customFormat="1" ht="15" hidden="1">
      <c r="B36" s="57"/>
      <c r="C36" s="53"/>
      <c r="D36" s="76"/>
      <c r="E36" s="77"/>
      <c r="F36" s="89">
        <f>'Res (100kWh)'!F36</f>
        <v>0</v>
      </c>
      <c r="G36" s="79">
        <f t="shared" si="6"/>
        <v>800</v>
      </c>
      <c r="H36" s="80">
        <f t="shared" si="0"/>
        <v>0</v>
      </c>
      <c r="I36" s="62"/>
      <c r="J36" s="370">
        <f>'Res (100kWh)'!J36</f>
        <v>0</v>
      </c>
      <c r="K36" s="79">
        <f t="shared" si="5"/>
        <v>800</v>
      </c>
      <c r="L36" s="80">
        <f t="shared" si="1"/>
        <v>0</v>
      </c>
      <c r="M36" s="62"/>
      <c r="N36" s="82">
        <f t="shared" si="2"/>
        <v>0</v>
      </c>
      <c r="O36" s="83">
        <f t="shared" si="3"/>
      </c>
    </row>
    <row r="37" spans="2:15" s="49" customFormat="1" ht="15" hidden="1">
      <c r="B37" s="57"/>
      <c r="C37" s="53"/>
      <c r="D37" s="76"/>
      <c r="E37" s="77"/>
      <c r="F37" s="89">
        <f>'Res (100kWh)'!F37</f>
        <v>0</v>
      </c>
      <c r="G37" s="79">
        <f t="shared" si="6"/>
        <v>800</v>
      </c>
      <c r="H37" s="80">
        <f t="shared" si="0"/>
        <v>0</v>
      </c>
      <c r="I37" s="62"/>
      <c r="J37" s="370">
        <f>'Res (100kWh)'!J37</f>
        <v>0</v>
      </c>
      <c r="K37" s="79">
        <f t="shared" si="5"/>
        <v>800</v>
      </c>
      <c r="L37" s="80">
        <f t="shared" si="1"/>
        <v>0</v>
      </c>
      <c r="M37" s="62"/>
      <c r="N37" s="82">
        <f t="shared" si="2"/>
        <v>0</v>
      </c>
      <c r="O37" s="83">
        <f t="shared" si="3"/>
      </c>
    </row>
    <row r="38" spans="2:15" s="49" customFormat="1" ht="15" hidden="1">
      <c r="B38" s="57"/>
      <c r="C38" s="53"/>
      <c r="D38" s="76"/>
      <c r="E38" s="77"/>
      <c r="F38" s="89">
        <f>'Res (100kWh)'!F38</f>
        <v>0</v>
      </c>
      <c r="G38" s="79">
        <f t="shared" si="6"/>
        <v>800</v>
      </c>
      <c r="H38" s="80">
        <f t="shared" si="0"/>
        <v>0</v>
      </c>
      <c r="I38" s="62"/>
      <c r="J38" s="370">
        <f>'Res (100kWh)'!J38</f>
        <v>0</v>
      </c>
      <c r="K38" s="79">
        <f t="shared" si="5"/>
        <v>800</v>
      </c>
      <c r="L38" s="80">
        <f t="shared" si="1"/>
        <v>0</v>
      </c>
      <c r="M38" s="62"/>
      <c r="N38" s="82">
        <f t="shared" si="2"/>
        <v>0</v>
      </c>
      <c r="O38" s="83">
        <f t="shared" si="3"/>
      </c>
    </row>
    <row r="39" spans="2:15" s="49" customFormat="1" ht="15" hidden="1">
      <c r="B39" s="57"/>
      <c r="C39" s="53"/>
      <c r="D39" s="76"/>
      <c r="E39" s="77"/>
      <c r="F39" s="89">
        <f>'Res (100kWh)'!F39</f>
        <v>0</v>
      </c>
      <c r="G39" s="79">
        <f t="shared" si="6"/>
        <v>800</v>
      </c>
      <c r="H39" s="80">
        <f t="shared" si="0"/>
        <v>0</v>
      </c>
      <c r="I39" s="62"/>
      <c r="J39" s="370">
        <f>'Res (100kWh)'!J39</f>
        <v>0</v>
      </c>
      <c r="K39" s="79">
        <f t="shared" si="5"/>
        <v>800</v>
      </c>
      <c r="L39" s="80">
        <f t="shared" si="1"/>
        <v>0</v>
      </c>
      <c r="M39" s="62"/>
      <c r="N39" s="82">
        <f t="shared" si="2"/>
        <v>0</v>
      </c>
      <c r="O39" s="83">
        <f t="shared" si="3"/>
      </c>
    </row>
    <row r="40" spans="2:15" s="49" customFormat="1" ht="15" hidden="1">
      <c r="B40" s="57"/>
      <c r="C40" s="53"/>
      <c r="D40" s="76"/>
      <c r="E40" s="77"/>
      <c r="F40" s="89">
        <f>'Res (100kWh)'!F40</f>
        <v>0</v>
      </c>
      <c r="G40" s="79">
        <f t="shared" si="6"/>
        <v>800</v>
      </c>
      <c r="H40" s="80">
        <f t="shared" si="0"/>
        <v>0</v>
      </c>
      <c r="I40" s="62"/>
      <c r="J40" s="370">
        <f>'Res (100kWh)'!J40</f>
        <v>0</v>
      </c>
      <c r="K40" s="79">
        <f t="shared" si="5"/>
        <v>800</v>
      </c>
      <c r="L40" s="80">
        <f t="shared" si="1"/>
        <v>0</v>
      </c>
      <c r="M40" s="62"/>
      <c r="N40" s="82">
        <f t="shared" si="2"/>
        <v>0</v>
      </c>
      <c r="O40" s="83">
        <f t="shared" si="3"/>
      </c>
    </row>
    <row r="41" spans="2:22" s="99" customFormat="1" ht="15">
      <c r="B41" s="58" t="s">
        <v>24</v>
      </c>
      <c r="C41" s="91"/>
      <c r="D41" s="92"/>
      <c r="E41" s="91"/>
      <c r="F41" s="93"/>
      <c r="G41" s="94"/>
      <c r="H41" s="95">
        <f>SUM(H23:H40)</f>
        <v>29.85</v>
      </c>
      <c r="I41" s="96"/>
      <c r="J41" s="371"/>
      <c r="K41" s="98"/>
      <c r="L41" s="95">
        <f>SUM(L23:L40)</f>
        <v>30.5</v>
      </c>
      <c r="M41" s="96"/>
      <c r="N41" s="142">
        <f t="shared" si="2"/>
        <v>0.6499999999999986</v>
      </c>
      <c r="O41" s="143">
        <f t="shared" si="3"/>
        <v>0.021775544388609666</v>
      </c>
      <c r="Q41" s="538">
        <f>N41-N29-N25-N24</f>
        <v>0.12999999999999864</v>
      </c>
      <c r="R41" s="539">
        <f>(L41-L25-L29)/(H41-H25-H29)-1</f>
        <v>0.004355108877721836</v>
      </c>
      <c r="V41" s="49"/>
    </row>
    <row r="42" spans="2:15" s="49" customFormat="1" ht="15" hidden="1">
      <c r="B42" s="55"/>
      <c r="C42" s="53"/>
      <c r="D42" s="86" t="s">
        <v>62</v>
      </c>
      <c r="E42" s="77"/>
      <c r="F42" s="89">
        <f>'Res (100kWh)'!F42</f>
        <v>0</v>
      </c>
      <c r="G42" s="79">
        <v>1</v>
      </c>
      <c r="H42" s="80">
        <f>G42*F42</f>
        <v>0</v>
      </c>
      <c r="I42" s="62"/>
      <c r="J42" s="370"/>
      <c r="K42" s="81">
        <v>1</v>
      </c>
      <c r="L42" s="80">
        <f>K42*J42</f>
        <v>0</v>
      </c>
      <c r="M42" s="62"/>
      <c r="N42" s="82">
        <f>L42-H42</f>
        <v>0</v>
      </c>
      <c r="O42" s="83">
        <f>IF((H42)=0,"",(N42/H42))</f>
      </c>
    </row>
    <row r="43" spans="2:15" s="49" customFormat="1" ht="15">
      <c r="B43" s="376" t="s">
        <v>25</v>
      </c>
      <c r="C43" s="53"/>
      <c r="D43" s="86" t="s">
        <v>63</v>
      </c>
      <c r="E43" s="88"/>
      <c r="F43" s="372">
        <f>'Res (100kWh)'!F43</f>
        <v>-0.007</v>
      </c>
      <c r="G43" s="79">
        <f>$F$18</f>
        <v>800</v>
      </c>
      <c r="H43" s="80">
        <f aca="true" t="shared" si="7" ref="H43:H51">G43*F43</f>
        <v>-5.6000000000000005</v>
      </c>
      <c r="I43" s="62"/>
      <c r="J43" s="372">
        <f>'Res (100kWh)'!J43</f>
        <v>0.0021</v>
      </c>
      <c r="K43" s="79">
        <f>$F$18</f>
        <v>800</v>
      </c>
      <c r="L43" s="80">
        <f aca="true" t="shared" si="8" ref="L43:L51">K43*J43</f>
        <v>1.68</v>
      </c>
      <c r="M43" s="62"/>
      <c r="N43" s="207">
        <f t="shared" si="2"/>
        <v>7.28</v>
      </c>
      <c r="O43" s="83">
        <f t="shared" si="3"/>
        <v>-1.2999999999999998</v>
      </c>
    </row>
    <row r="44" spans="2:15" s="49" customFormat="1" ht="15" hidden="1">
      <c r="B44" s="56"/>
      <c r="C44" s="53"/>
      <c r="D44" s="76" t="s">
        <v>63</v>
      </c>
      <c r="E44" s="77"/>
      <c r="F44" s="104">
        <f>'Res (100kWh)'!F44</f>
        <v>0</v>
      </c>
      <c r="G44" s="79">
        <f>$F$18</f>
        <v>800</v>
      </c>
      <c r="H44" s="80">
        <f t="shared" si="7"/>
        <v>0</v>
      </c>
      <c r="I44" s="101"/>
      <c r="J44" s="103">
        <f>'Res (100kWh)'!J44</f>
        <v>0</v>
      </c>
      <c r="K44" s="79">
        <f>$F$18</f>
        <v>800</v>
      </c>
      <c r="L44" s="80">
        <f t="shared" si="8"/>
        <v>0</v>
      </c>
      <c r="M44" s="102"/>
      <c r="N44" s="207">
        <f t="shared" si="2"/>
        <v>0</v>
      </c>
      <c r="O44" s="83">
        <f t="shared" si="3"/>
      </c>
    </row>
    <row r="45" spans="2:15" s="49" customFormat="1" ht="15" hidden="1">
      <c r="B45" s="56"/>
      <c r="C45" s="53"/>
      <c r="D45" s="76" t="s">
        <v>63</v>
      </c>
      <c r="E45" s="77"/>
      <c r="F45" s="104">
        <f>'Res (100kWh)'!F45</f>
        <v>0</v>
      </c>
      <c r="G45" s="79">
        <f>$F$18</f>
        <v>800</v>
      </c>
      <c r="H45" s="80">
        <f t="shared" si="7"/>
        <v>0</v>
      </c>
      <c r="I45" s="101"/>
      <c r="J45" s="103">
        <f>'Res (100kWh)'!J45</f>
        <v>0</v>
      </c>
      <c r="K45" s="79">
        <f>$F$18</f>
        <v>800</v>
      </c>
      <c r="L45" s="80">
        <f t="shared" si="8"/>
        <v>0</v>
      </c>
      <c r="M45" s="102"/>
      <c r="N45" s="207">
        <f t="shared" si="2"/>
        <v>0</v>
      </c>
      <c r="O45" s="83">
        <f t="shared" si="3"/>
      </c>
    </row>
    <row r="46" spans="2:15" s="49" customFormat="1" ht="15" hidden="1">
      <c r="B46" s="375"/>
      <c r="C46" s="53"/>
      <c r="D46" s="76" t="s">
        <v>62</v>
      </c>
      <c r="E46" s="77"/>
      <c r="F46" s="104">
        <f>'Res (100kWh)'!F46</f>
        <v>0</v>
      </c>
      <c r="G46" s="79">
        <v>1</v>
      </c>
      <c r="H46" s="80">
        <f t="shared" si="7"/>
        <v>0</v>
      </c>
      <c r="I46" s="101"/>
      <c r="J46" s="103">
        <f>'Res (100kWh)'!J46</f>
        <v>0</v>
      </c>
      <c r="K46" s="79">
        <v>1</v>
      </c>
      <c r="L46" s="80">
        <f t="shared" si="8"/>
        <v>0</v>
      </c>
      <c r="M46" s="102"/>
      <c r="N46" s="207">
        <f t="shared" si="2"/>
        <v>0</v>
      </c>
      <c r="O46" s="83">
        <f t="shared" si="3"/>
      </c>
    </row>
    <row r="47" spans="2:15" s="49" customFormat="1" ht="15" hidden="1">
      <c r="B47" s="376"/>
      <c r="C47" s="53"/>
      <c r="D47" s="76" t="s">
        <v>62</v>
      </c>
      <c r="E47" s="77"/>
      <c r="F47" s="104">
        <f>'Res (100kWh)'!F47</f>
        <v>0</v>
      </c>
      <c r="G47" s="79">
        <v>1</v>
      </c>
      <c r="H47" s="80">
        <f t="shared" si="7"/>
        <v>0</v>
      </c>
      <c r="I47" s="62"/>
      <c r="J47" s="103">
        <f>'Res (100kWh)'!J47</f>
        <v>0</v>
      </c>
      <c r="K47" s="79">
        <v>1</v>
      </c>
      <c r="L47" s="80">
        <f t="shared" si="8"/>
        <v>0</v>
      </c>
      <c r="M47" s="62"/>
      <c r="N47" s="207">
        <f>L47-H47</f>
        <v>0</v>
      </c>
      <c r="O47" s="83">
        <f>IF((H47)=0,"",(N47/H47))</f>
      </c>
    </row>
    <row r="48" spans="2:15" s="49" customFormat="1" ht="15" hidden="1">
      <c r="B48" s="53"/>
      <c r="C48" s="53"/>
      <c r="D48" s="76" t="s">
        <v>63</v>
      </c>
      <c r="E48" s="77"/>
      <c r="F48" s="104">
        <f>'Res (100kWh)'!F48</f>
        <v>0</v>
      </c>
      <c r="G48" s="79">
        <f>$F$18</f>
        <v>800</v>
      </c>
      <c r="H48" s="80">
        <f t="shared" si="7"/>
        <v>0</v>
      </c>
      <c r="I48" s="62"/>
      <c r="J48" s="103">
        <f>'Res (100kWh)'!J48</f>
        <v>0</v>
      </c>
      <c r="K48" s="79">
        <f>$F$18</f>
        <v>800</v>
      </c>
      <c r="L48" s="80">
        <f t="shared" si="8"/>
        <v>0</v>
      </c>
      <c r="M48" s="62"/>
      <c r="N48" s="207">
        <f>L48-H48</f>
        <v>0</v>
      </c>
      <c r="O48" s="83">
        <f>IF((H48)=0,"",(N48/H48))</f>
      </c>
    </row>
    <row r="49" spans="2:15" s="49" customFormat="1" ht="15">
      <c r="B49" s="59" t="s">
        <v>26</v>
      </c>
      <c r="C49" s="53"/>
      <c r="D49" s="76" t="s">
        <v>63</v>
      </c>
      <c r="E49" s="77"/>
      <c r="F49" s="104">
        <f>'Res (100kWh)'!F49</f>
        <v>0.0024</v>
      </c>
      <c r="G49" s="79">
        <f>$F$18</f>
        <v>800</v>
      </c>
      <c r="H49" s="80">
        <f t="shared" si="7"/>
        <v>1.92</v>
      </c>
      <c r="I49" s="62"/>
      <c r="J49" s="103">
        <f>'Res (100kWh)'!J49</f>
        <v>0.0024</v>
      </c>
      <c r="K49" s="79">
        <f>$F$18</f>
        <v>800</v>
      </c>
      <c r="L49" s="80">
        <f t="shared" si="8"/>
        <v>1.92</v>
      </c>
      <c r="M49" s="62"/>
      <c r="N49" s="207">
        <f t="shared" si="2"/>
        <v>0</v>
      </c>
      <c r="O49" s="83">
        <f t="shared" si="3"/>
        <v>0</v>
      </c>
    </row>
    <row r="50" spans="2:15" s="99" customFormat="1" ht="15">
      <c r="B50" s="60" t="s">
        <v>27</v>
      </c>
      <c r="C50" s="77"/>
      <c r="D50" s="76" t="s">
        <v>63</v>
      </c>
      <c r="E50" s="77"/>
      <c r="F50" s="104">
        <f>IF(ISBLANK(D16)=TRUE,0,IF(D16="TOU",0.64*$F$61+0.18*$F$62+0.18*$F$63,IF(AND(D16="non-TOU",G65&gt;0),F65,F64)))</f>
        <v>0.10214000000000001</v>
      </c>
      <c r="G50" s="79">
        <f>$F$18*(1+$F$80)-$F$18</f>
        <v>39.600000000000136</v>
      </c>
      <c r="H50" s="105">
        <f t="shared" si="7"/>
        <v>4.044744000000014</v>
      </c>
      <c r="I50" s="88"/>
      <c r="J50" s="103">
        <f>0.64*$F$61+0.18*$F$62+0.18*$F$63</f>
        <v>0.10214000000000001</v>
      </c>
      <c r="K50" s="79">
        <f>$F$18*(1+$J$80)-$F$18</f>
        <v>39.600000000000136</v>
      </c>
      <c r="L50" s="105">
        <f t="shared" si="8"/>
        <v>4.044744000000014</v>
      </c>
      <c r="M50" s="88"/>
      <c r="N50" s="207">
        <f t="shared" si="2"/>
        <v>0</v>
      </c>
      <c r="O50" s="106">
        <f t="shared" si="3"/>
        <v>0</v>
      </c>
    </row>
    <row r="51" spans="2:15" s="49" customFormat="1" ht="15">
      <c r="B51" s="59" t="s">
        <v>28</v>
      </c>
      <c r="C51" s="53"/>
      <c r="D51" s="76" t="s">
        <v>62</v>
      </c>
      <c r="E51" s="77"/>
      <c r="F51" s="369">
        <f>'Res (100kWh)'!F51</f>
        <v>0.79</v>
      </c>
      <c r="G51" s="79">
        <v>1</v>
      </c>
      <c r="H51" s="80">
        <f t="shared" si="7"/>
        <v>0.79</v>
      </c>
      <c r="I51" s="62"/>
      <c r="J51" s="369">
        <f>'Res (100kWh)'!J51</f>
        <v>0.79</v>
      </c>
      <c r="K51" s="79">
        <v>1</v>
      </c>
      <c r="L51" s="80">
        <f t="shared" si="8"/>
        <v>0.79</v>
      </c>
      <c r="M51" s="62"/>
      <c r="N51" s="207">
        <f t="shared" si="2"/>
        <v>0</v>
      </c>
      <c r="O51" s="83"/>
    </row>
    <row r="52" spans="2:15" s="49" customFormat="1" ht="15">
      <c r="B52" s="61" t="s">
        <v>29</v>
      </c>
      <c r="C52" s="107"/>
      <c r="D52" s="107"/>
      <c r="E52" s="107"/>
      <c r="F52" s="108"/>
      <c r="G52" s="109"/>
      <c r="H52" s="144">
        <f>SUM(H42:H51)+H41</f>
        <v>31.004744000000017</v>
      </c>
      <c r="I52" s="96"/>
      <c r="J52" s="373"/>
      <c r="K52" s="110"/>
      <c r="L52" s="144">
        <f>SUM(L42:L51)+L41</f>
        <v>38.93474400000001</v>
      </c>
      <c r="M52" s="96"/>
      <c r="N52" s="142">
        <f t="shared" si="2"/>
        <v>7.929999999999993</v>
      </c>
      <c r="O52" s="143">
        <f aca="true" t="shared" si="9" ref="O52:O71">IF((H52)=0,"",(N52/H52))</f>
        <v>0.255767310963767</v>
      </c>
    </row>
    <row r="53" spans="2:15" s="49" customFormat="1" ht="15">
      <c r="B53" s="62" t="s">
        <v>30</v>
      </c>
      <c r="C53" s="62"/>
      <c r="D53" s="86" t="s">
        <v>63</v>
      </c>
      <c r="E53" s="88"/>
      <c r="F53" s="103">
        <f>'Res (100kWh)'!F53</f>
        <v>0.0048</v>
      </c>
      <c r="G53" s="468">
        <f>F18*(1+F80)</f>
        <v>839.6000000000001</v>
      </c>
      <c r="H53" s="105">
        <f>G53*F53</f>
        <v>4.03008</v>
      </c>
      <c r="I53" s="88"/>
      <c r="J53" s="103">
        <f>'Res (100kWh)'!J53</f>
        <v>0.0064</v>
      </c>
      <c r="K53" s="469">
        <f>F18*(1+J80)</f>
        <v>839.6000000000001</v>
      </c>
      <c r="L53" s="80">
        <f>K53*J53</f>
        <v>5.373440000000001</v>
      </c>
      <c r="M53" s="62"/>
      <c r="N53" s="207">
        <f t="shared" si="2"/>
        <v>1.3433600000000014</v>
      </c>
      <c r="O53" s="83">
        <f t="shared" si="9"/>
        <v>0.3333333333333337</v>
      </c>
    </row>
    <row r="54" spans="2:15" s="49" customFormat="1" ht="15">
      <c r="B54" s="63" t="s">
        <v>31</v>
      </c>
      <c r="C54" s="62"/>
      <c r="D54" s="86" t="s">
        <v>63</v>
      </c>
      <c r="E54" s="88"/>
      <c r="F54" s="103">
        <f>'Res (100kWh)'!F54</f>
        <v>0.0019</v>
      </c>
      <c r="G54" s="468">
        <f>G53</f>
        <v>839.6000000000001</v>
      </c>
      <c r="H54" s="105">
        <f>G54*F54</f>
        <v>1.5952400000000002</v>
      </c>
      <c r="I54" s="88"/>
      <c r="J54" s="103">
        <f>'Res (100kWh)'!J54</f>
        <v>0.003</v>
      </c>
      <c r="K54" s="469">
        <f>K53</f>
        <v>839.6000000000001</v>
      </c>
      <c r="L54" s="80">
        <f>K54*J54</f>
        <v>2.5188000000000006</v>
      </c>
      <c r="M54" s="62"/>
      <c r="N54" s="207">
        <f t="shared" si="2"/>
        <v>0.9235600000000004</v>
      </c>
      <c r="O54" s="83">
        <f t="shared" si="9"/>
        <v>0.5789473684210528</v>
      </c>
    </row>
    <row r="55" spans="2:15" s="49" customFormat="1" ht="15">
      <c r="B55" s="61" t="s">
        <v>32</v>
      </c>
      <c r="C55" s="91"/>
      <c r="D55" s="91"/>
      <c r="E55" s="91"/>
      <c r="F55" s="111"/>
      <c r="G55" s="109"/>
      <c r="H55" s="144">
        <f>SUM(H52:H54)</f>
        <v>36.63006400000001</v>
      </c>
      <c r="I55" s="145"/>
      <c r="J55" s="374"/>
      <c r="K55" s="147"/>
      <c r="L55" s="144">
        <f>SUM(L52:L54)</f>
        <v>46.82698400000001</v>
      </c>
      <c r="M55" s="145"/>
      <c r="N55" s="142">
        <f t="shared" si="2"/>
        <v>10.196919999999999</v>
      </c>
      <c r="O55" s="143">
        <f t="shared" si="9"/>
        <v>0.27837570799767086</v>
      </c>
    </row>
    <row r="56" spans="2:15" s="49" customFormat="1" ht="15">
      <c r="B56" s="54" t="s">
        <v>33</v>
      </c>
      <c r="C56" s="53"/>
      <c r="D56" s="76" t="s">
        <v>63</v>
      </c>
      <c r="E56" s="77"/>
      <c r="F56" s="104">
        <f>'Res (100kWh)'!F56</f>
        <v>0.0044</v>
      </c>
      <c r="G56" s="468">
        <f>G54</f>
        <v>839.6000000000001</v>
      </c>
      <c r="H56" s="105">
        <f aca="true" t="shared" si="10" ref="H56:H63">G56*F56</f>
        <v>3.6942400000000006</v>
      </c>
      <c r="I56" s="88"/>
      <c r="J56" s="432">
        <f>'Res (100kWh)'!J56</f>
        <v>0.0036</v>
      </c>
      <c r="K56" s="469">
        <f>K54</f>
        <v>839.6000000000001</v>
      </c>
      <c r="L56" s="80">
        <f aca="true" t="shared" si="11" ref="L56:L63">K56*J56</f>
        <v>3.0225600000000004</v>
      </c>
      <c r="M56" s="62"/>
      <c r="N56" s="207">
        <f t="shared" si="2"/>
        <v>-0.6716800000000003</v>
      </c>
      <c r="O56" s="83">
        <f t="shared" si="9"/>
        <v>-0.18181818181818185</v>
      </c>
    </row>
    <row r="57" spans="2:15" s="49" customFormat="1" ht="15">
      <c r="B57" s="54" t="s">
        <v>34</v>
      </c>
      <c r="C57" s="53"/>
      <c r="D57" s="76" t="s">
        <v>63</v>
      </c>
      <c r="E57" s="77"/>
      <c r="F57" s="104">
        <f>'Res (100kWh)'!F57</f>
        <v>0.0013</v>
      </c>
      <c r="G57" s="468">
        <f>G54</f>
        <v>839.6000000000001</v>
      </c>
      <c r="H57" s="105">
        <f t="shared" si="10"/>
        <v>1.0914800000000002</v>
      </c>
      <c r="I57" s="88"/>
      <c r="J57" s="103">
        <f>'Res (100kWh)'!J57</f>
        <v>0.0013</v>
      </c>
      <c r="K57" s="469">
        <f>K54</f>
        <v>839.6000000000001</v>
      </c>
      <c r="L57" s="80">
        <f t="shared" si="11"/>
        <v>1.0914800000000002</v>
      </c>
      <c r="M57" s="62"/>
      <c r="N57" s="207">
        <f t="shared" si="2"/>
        <v>0</v>
      </c>
      <c r="O57" s="83">
        <f t="shared" si="9"/>
        <v>0</v>
      </c>
    </row>
    <row r="58" spans="2:15" s="49" customFormat="1" ht="15">
      <c r="B58" s="54" t="s">
        <v>121</v>
      </c>
      <c r="C58" s="53"/>
      <c r="D58" s="76" t="s">
        <v>63</v>
      </c>
      <c r="E58" s="77"/>
      <c r="F58" s="104">
        <f>'Res (100kWh)'!F58</f>
        <v>0</v>
      </c>
      <c r="G58" s="468">
        <f>G54</f>
        <v>839.6000000000001</v>
      </c>
      <c r="H58" s="105">
        <f t="shared" si="10"/>
        <v>0</v>
      </c>
      <c r="I58" s="88"/>
      <c r="J58" s="432">
        <f>'Res (100kWh)'!J58</f>
        <v>0.0011</v>
      </c>
      <c r="K58" s="469">
        <f>K54</f>
        <v>839.6000000000001</v>
      </c>
      <c r="L58" s="80">
        <f t="shared" si="11"/>
        <v>0.9235600000000002</v>
      </c>
      <c r="M58" s="62"/>
      <c r="N58" s="207">
        <f t="shared" si="2"/>
        <v>0.9235600000000002</v>
      </c>
      <c r="O58" s="83">
        <f t="shared" si="9"/>
      </c>
    </row>
    <row r="59" spans="2:15" s="49" customFormat="1" ht="15">
      <c r="B59" s="53" t="s">
        <v>35</v>
      </c>
      <c r="C59" s="53"/>
      <c r="D59" s="76" t="s">
        <v>62</v>
      </c>
      <c r="E59" s="77"/>
      <c r="F59" s="369">
        <f>'Res (100kWh)'!F59</f>
        <v>0.25</v>
      </c>
      <c r="G59" s="79">
        <v>1</v>
      </c>
      <c r="H59" s="105">
        <f t="shared" si="10"/>
        <v>0.25</v>
      </c>
      <c r="I59" s="88"/>
      <c r="J59" s="370">
        <f>'Res (100kWh)'!J59</f>
        <v>0.25</v>
      </c>
      <c r="K59" s="81">
        <v>1</v>
      </c>
      <c r="L59" s="80">
        <f t="shared" si="11"/>
        <v>0.25</v>
      </c>
      <c r="M59" s="62"/>
      <c r="N59" s="207">
        <f t="shared" si="2"/>
        <v>0</v>
      </c>
      <c r="O59" s="83">
        <f t="shared" si="9"/>
        <v>0</v>
      </c>
    </row>
    <row r="60" spans="2:15" s="49" customFormat="1" ht="15">
      <c r="B60" s="53" t="s">
        <v>36</v>
      </c>
      <c r="C60" s="53"/>
      <c r="D60" s="76" t="s">
        <v>63</v>
      </c>
      <c r="E60" s="77"/>
      <c r="F60" s="104">
        <f>'Res (100kWh)'!F60</f>
        <v>0.007</v>
      </c>
      <c r="G60" s="112">
        <f>F18</f>
        <v>800</v>
      </c>
      <c r="H60" s="80">
        <f t="shared" si="10"/>
        <v>5.6000000000000005</v>
      </c>
      <c r="I60" s="62"/>
      <c r="J60" s="103">
        <f>'Res (100kWh)'!J60</f>
        <v>0</v>
      </c>
      <c r="K60" s="113">
        <f>F18</f>
        <v>800</v>
      </c>
      <c r="L60" s="80">
        <f t="shared" si="11"/>
        <v>0</v>
      </c>
      <c r="M60" s="62"/>
      <c r="N60" s="207">
        <f t="shared" si="2"/>
        <v>-5.6000000000000005</v>
      </c>
      <c r="O60" s="83">
        <f t="shared" si="9"/>
        <v>-1</v>
      </c>
    </row>
    <row r="61" spans="2:19" s="49" customFormat="1" ht="15">
      <c r="B61" s="59" t="s">
        <v>37</v>
      </c>
      <c r="C61" s="53"/>
      <c r="D61" s="76" t="s">
        <v>63</v>
      </c>
      <c r="E61" s="77"/>
      <c r="F61" s="104">
        <f>'Res (100kWh)'!F61</f>
        <v>0.08</v>
      </c>
      <c r="G61" s="112">
        <f>0.64*$F$18</f>
        <v>512</v>
      </c>
      <c r="H61" s="80">
        <f t="shared" si="10"/>
        <v>40.96</v>
      </c>
      <c r="I61" s="62"/>
      <c r="J61" s="104">
        <f>'Res (100kWh)'!J61</f>
        <v>0.08</v>
      </c>
      <c r="K61" s="112">
        <f>G61</f>
        <v>512</v>
      </c>
      <c r="L61" s="80">
        <f t="shared" si="11"/>
        <v>40.96</v>
      </c>
      <c r="M61" s="62"/>
      <c r="N61" s="207">
        <f t="shared" si="2"/>
        <v>0</v>
      </c>
      <c r="O61" s="83">
        <f t="shared" si="9"/>
        <v>0</v>
      </c>
      <c r="S61" s="114"/>
    </row>
    <row r="62" spans="2:19" s="49" customFormat="1" ht="15">
      <c r="B62" s="59" t="s">
        <v>38</v>
      </c>
      <c r="C62" s="53"/>
      <c r="D62" s="76" t="s">
        <v>63</v>
      </c>
      <c r="E62" s="77"/>
      <c r="F62" s="104">
        <f>'Res (100kWh)'!F62</f>
        <v>0.122</v>
      </c>
      <c r="G62" s="112">
        <f>0.18*$F$18</f>
        <v>144</v>
      </c>
      <c r="H62" s="80">
        <f t="shared" si="10"/>
        <v>17.567999999999998</v>
      </c>
      <c r="I62" s="62"/>
      <c r="J62" s="104">
        <f>'Res (100kWh)'!J62</f>
        <v>0.122</v>
      </c>
      <c r="K62" s="112">
        <f>G62</f>
        <v>144</v>
      </c>
      <c r="L62" s="80">
        <f t="shared" si="11"/>
        <v>17.567999999999998</v>
      </c>
      <c r="M62" s="62"/>
      <c r="N62" s="207">
        <f t="shared" si="2"/>
        <v>0</v>
      </c>
      <c r="O62" s="83">
        <f t="shared" si="9"/>
        <v>0</v>
      </c>
      <c r="S62" s="114"/>
    </row>
    <row r="63" spans="2:19" s="49" customFormat="1" ht="15">
      <c r="B63" s="52" t="s">
        <v>39</v>
      </c>
      <c r="C63" s="53"/>
      <c r="D63" s="76" t="s">
        <v>63</v>
      </c>
      <c r="E63" s="77"/>
      <c r="F63" s="104">
        <f>'Res (100kWh)'!F63</f>
        <v>0.161</v>
      </c>
      <c r="G63" s="112">
        <f>0.18*$F$18</f>
        <v>144</v>
      </c>
      <c r="H63" s="80">
        <f t="shared" si="10"/>
        <v>23.184</v>
      </c>
      <c r="I63" s="62"/>
      <c r="J63" s="104">
        <f>'Res (100kWh)'!J63</f>
        <v>0.161</v>
      </c>
      <c r="K63" s="112">
        <f>G63</f>
        <v>144</v>
      </c>
      <c r="L63" s="80">
        <f t="shared" si="11"/>
        <v>23.184</v>
      </c>
      <c r="M63" s="62"/>
      <c r="N63" s="207">
        <f t="shared" si="2"/>
        <v>0</v>
      </c>
      <c r="O63" s="83">
        <f t="shared" si="9"/>
        <v>0</v>
      </c>
      <c r="S63" s="114"/>
    </row>
    <row r="64" spans="2:15" s="152" customFormat="1" ht="15">
      <c r="B64" s="64" t="s">
        <v>40</v>
      </c>
      <c r="C64" s="64"/>
      <c r="D64" s="148" t="s">
        <v>63</v>
      </c>
      <c r="E64" s="149"/>
      <c r="F64" s="104">
        <f>'Res (100kWh)'!F64</f>
        <v>0.094</v>
      </c>
      <c r="G64" s="150">
        <f>IF(AND($T$1=1,F18&gt;=600),600,IF(AND($T$1=1,AND(F18&lt;600,F18&gt;=0)),F18,IF(AND($T$1=2,F18&gt;=1000),1000,IF(AND($T$1=2,AND(F18&lt;1000,F18&gt;=0)),F18))))</f>
        <v>600</v>
      </c>
      <c r="H64" s="80">
        <f>G64*F64</f>
        <v>56.4</v>
      </c>
      <c r="I64" s="151"/>
      <c r="J64" s="104">
        <f>'Res (100kWh)'!J64</f>
        <v>0.094</v>
      </c>
      <c r="K64" s="150">
        <f>G64</f>
        <v>600</v>
      </c>
      <c r="L64" s="80">
        <f>K64*J64</f>
        <v>56.4</v>
      </c>
      <c r="M64" s="151"/>
      <c r="N64" s="207">
        <f t="shared" si="2"/>
        <v>0</v>
      </c>
      <c r="O64" s="83">
        <f t="shared" si="9"/>
        <v>0</v>
      </c>
    </row>
    <row r="65" spans="2:15" s="152" customFormat="1" ht="15.75" thickBot="1">
      <c r="B65" s="64" t="s">
        <v>41</v>
      </c>
      <c r="C65" s="64"/>
      <c r="D65" s="148" t="s">
        <v>63</v>
      </c>
      <c r="E65" s="149"/>
      <c r="F65" s="104">
        <f>'Res (100kWh)'!F65</f>
        <v>0.11</v>
      </c>
      <c r="G65" s="150">
        <f>IF(AND($T$1=1,F18&gt;=600),F18-600,IF(AND($T$1=1,AND(F18&lt;600,F18&gt;=0)),0,IF(AND($T$1=2,F18&gt;=1000),F18-1000,IF(AND($T$1=2,AND(F18&lt;1000,F18&gt;=0)),0))))</f>
        <v>200</v>
      </c>
      <c r="H65" s="80">
        <f>G65*F65</f>
        <v>22</v>
      </c>
      <c r="I65" s="151"/>
      <c r="J65" s="104">
        <f>'Res (100kWh)'!J65</f>
        <v>0.11</v>
      </c>
      <c r="K65" s="150">
        <f>G65</f>
        <v>200</v>
      </c>
      <c r="L65" s="80">
        <f>K65*J65</f>
        <v>22</v>
      </c>
      <c r="M65" s="151"/>
      <c r="N65" s="207">
        <f t="shared" si="2"/>
        <v>0</v>
      </c>
      <c r="O65" s="83">
        <f t="shared" si="9"/>
        <v>0</v>
      </c>
    </row>
    <row r="66" spans="2:15" s="49" customFormat="1" ht="8.25" customHeight="1" thickBot="1">
      <c r="B66" s="65"/>
      <c r="C66" s="74"/>
      <c r="D66" s="75"/>
      <c r="E66" s="74"/>
      <c r="F66" s="115"/>
      <c r="G66" s="116"/>
      <c r="H66" s="117"/>
      <c r="I66" s="118"/>
      <c r="J66" s="115"/>
      <c r="K66" s="119"/>
      <c r="L66" s="117"/>
      <c r="M66" s="118"/>
      <c r="N66" s="120"/>
      <c r="O66" s="121"/>
    </row>
    <row r="67" spans="2:19" s="49" customFormat="1" ht="15">
      <c r="B67" s="66" t="s">
        <v>42</v>
      </c>
      <c r="C67" s="53"/>
      <c r="D67" s="53"/>
      <c r="E67" s="53"/>
      <c r="F67" s="122"/>
      <c r="G67" s="123"/>
      <c r="H67" s="153">
        <f>SUM(H56:H63,H55)</f>
        <v>128.977784</v>
      </c>
      <c r="I67" s="154"/>
      <c r="J67" s="155"/>
      <c r="K67" s="155"/>
      <c r="L67" s="156">
        <f>SUM(L56:L63,L55)</f>
        <v>133.82658400000003</v>
      </c>
      <c r="M67" s="157"/>
      <c r="N67" s="208">
        <f>L67-H67</f>
        <v>4.848800000000011</v>
      </c>
      <c r="O67" s="158">
        <f>IF((H67)=0,"",(N67/H67))</f>
        <v>0.037594071239431516</v>
      </c>
      <c r="S67" s="114"/>
    </row>
    <row r="68" spans="2:19" s="49" customFormat="1" ht="15">
      <c r="B68" s="67" t="s">
        <v>43</v>
      </c>
      <c r="C68" s="53"/>
      <c r="D68" s="53"/>
      <c r="E68" s="53"/>
      <c r="F68" s="124">
        <v>0.13</v>
      </c>
      <c r="G68" s="125"/>
      <c r="H68" s="159">
        <f>H67*F68</f>
        <v>16.76711192</v>
      </c>
      <c r="I68" s="160"/>
      <c r="J68" s="161">
        <v>0.13</v>
      </c>
      <c r="K68" s="160"/>
      <c r="L68" s="162">
        <f>L67*J68</f>
        <v>17.397455920000002</v>
      </c>
      <c r="M68" s="163"/>
      <c r="N68" s="207">
        <f t="shared" si="2"/>
        <v>0.6303440000000009</v>
      </c>
      <c r="O68" s="164">
        <f t="shared" si="9"/>
        <v>0.03759407123943149</v>
      </c>
      <c r="S68" s="114"/>
    </row>
    <row r="69" spans="2:19" s="49" customFormat="1" ht="15">
      <c r="B69" s="68" t="s">
        <v>123</v>
      </c>
      <c r="C69" s="53"/>
      <c r="D69" s="53"/>
      <c r="E69" s="53"/>
      <c r="F69" s="126"/>
      <c r="G69" s="125"/>
      <c r="H69" s="159">
        <f>H67+H68</f>
        <v>145.74489592</v>
      </c>
      <c r="I69" s="160"/>
      <c r="J69" s="160"/>
      <c r="K69" s="160"/>
      <c r="L69" s="162">
        <f>L67+L68</f>
        <v>151.22403992000002</v>
      </c>
      <c r="M69" s="163"/>
      <c r="N69" s="207">
        <f t="shared" si="2"/>
        <v>5.479144000000019</v>
      </c>
      <c r="O69" s="164">
        <f t="shared" si="9"/>
        <v>0.037594071239431565</v>
      </c>
      <c r="S69" s="114"/>
    </row>
    <row r="70" spans="2:15" s="49" customFormat="1" ht="15.75" customHeight="1">
      <c r="B70" s="572" t="s">
        <v>124</v>
      </c>
      <c r="C70" s="572"/>
      <c r="D70" s="572"/>
      <c r="E70" s="53"/>
      <c r="F70" s="126"/>
      <c r="G70" s="125"/>
      <c r="H70" s="165">
        <f>ROUND(-H69*10%,2)</f>
        <v>-14.57</v>
      </c>
      <c r="I70" s="160"/>
      <c r="J70" s="160"/>
      <c r="K70" s="160"/>
      <c r="L70" s="166">
        <v>0</v>
      </c>
      <c r="M70" s="163"/>
      <c r="N70" s="207">
        <f t="shared" si="2"/>
        <v>14.57</v>
      </c>
      <c r="O70" s="167">
        <f t="shared" si="9"/>
        <v>-1</v>
      </c>
    </row>
    <row r="71" spans="2:15" s="49" customFormat="1" ht="15.75" thickBot="1">
      <c r="B71" s="573" t="s">
        <v>46</v>
      </c>
      <c r="C71" s="573"/>
      <c r="D71" s="573"/>
      <c r="E71" s="127"/>
      <c r="F71" s="128"/>
      <c r="G71" s="129"/>
      <c r="H71" s="168">
        <f>H69+H70</f>
        <v>131.17489592</v>
      </c>
      <c r="I71" s="169"/>
      <c r="J71" s="169"/>
      <c r="K71" s="169"/>
      <c r="L71" s="170">
        <f>L69+L70</f>
        <v>151.22403992000002</v>
      </c>
      <c r="M71" s="171"/>
      <c r="N71" s="209">
        <f t="shared" si="2"/>
        <v>20.049144000000013</v>
      </c>
      <c r="O71" s="172">
        <f t="shared" si="9"/>
        <v>0.1528428428273916</v>
      </c>
    </row>
    <row r="72" spans="2:15" s="152" customFormat="1" ht="8.25" customHeight="1" thickBot="1">
      <c r="B72" s="69"/>
      <c r="C72" s="173"/>
      <c r="D72" s="174"/>
      <c r="E72" s="173"/>
      <c r="F72" s="115"/>
      <c r="G72" s="175"/>
      <c r="H72" s="117"/>
      <c r="I72" s="176"/>
      <c r="J72" s="115"/>
      <c r="K72" s="177"/>
      <c r="L72" s="117"/>
      <c r="M72" s="176"/>
      <c r="N72" s="178"/>
      <c r="O72" s="121"/>
    </row>
    <row r="73" spans="2:15" s="152" customFormat="1" ht="15">
      <c r="B73" s="70" t="s">
        <v>47</v>
      </c>
      <c r="C73" s="64"/>
      <c r="D73" s="64"/>
      <c r="E73" s="64"/>
      <c r="F73" s="179"/>
      <c r="G73" s="180"/>
      <c r="H73" s="181">
        <f>SUM(H64:H65,H55,H56:H60)</f>
        <v>125.66578400000002</v>
      </c>
      <c r="I73" s="182"/>
      <c r="J73" s="183"/>
      <c r="K73" s="183"/>
      <c r="L73" s="184">
        <f>SUM(L64:L65,L55,L56:L60)</f>
        <v>130.514584</v>
      </c>
      <c r="M73" s="185"/>
      <c r="N73" s="208">
        <f>L73-H73</f>
        <v>4.848799999999997</v>
      </c>
      <c r="O73" s="158">
        <f>IF((H73)=0,"",(N73/H73))</f>
        <v>0.038584886399944764</v>
      </c>
    </row>
    <row r="74" spans="2:15" s="152" customFormat="1" ht="15">
      <c r="B74" s="71" t="s">
        <v>43</v>
      </c>
      <c r="C74" s="64"/>
      <c r="D74" s="64"/>
      <c r="E74" s="64"/>
      <c r="F74" s="186">
        <v>0.13</v>
      </c>
      <c r="G74" s="180"/>
      <c r="H74" s="187">
        <f>H73*F74</f>
        <v>16.33655192</v>
      </c>
      <c r="I74" s="188"/>
      <c r="J74" s="186">
        <v>0.13</v>
      </c>
      <c r="K74" s="189"/>
      <c r="L74" s="190">
        <f>L73*J74</f>
        <v>16.966895920000002</v>
      </c>
      <c r="M74" s="191"/>
      <c r="N74" s="207">
        <f>L74-H74</f>
        <v>0.6303440000000009</v>
      </c>
      <c r="O74" s="164">
        <f>IF((H74)=0,"",(N74/H74))</f>
        <v>0.03858488639994485</v>
      </c>
    </row>
    <row r="75" spans="2:15" s="152" customFormat="1" ht="15">
      <c r="B75" s="72" t="s">
        <v>123</v>
      </c>
      <c r="C75" s="64"/>
      <c r="D75" s="64"/>
      <c r="E75" s="64"/>
      <c r="F75" s="192"/>
      <c r="G75" s="191"/>
      <c r="H75" s="187">
        <f>H73+H74</f>
        <v>142.00233592</v>
      </c>
      <c r="I75" s="188"/>
      <c r="J75" s="188"/>
      <c r="K75" s="188"/>
      <c r="L75" s="190">
        <f>L73+L74</f>
        <v>147.48147992000003</v>
      </c>
      <c r="M75" s="191"/>
      <c r="N75" s="207">
        <f>L75-H75</f>
        <v>5.479144000000019</v>
      </c>
      <c r="O75" s="164">
        <f>IF((H75)=0,"",(N75/H75))</f>
        <v>0.03858488639994493</v>
      </c>
    </row>
    <row r="76" spans="2:15" s="152" customFormat="1" ht="15.75" customHeight="1">
      <c r="B76" s="574" t="s">
        <v>124</v>
      </c>
      <c r="C76" s="574"/>
      <c r="D76" s="574"/>
      <c r="E76" s="64"/>
      <c r="F76" s="192"/>
      <c r="G76" s="191"/>
      <c r="H76" s="193">
        <f>ROUND(-H75*10%,2)</f>
        <v>-14.2</v>
      </c>
      <c r="I76" s="188"/>
      <c r="J76" s="188"/>
      <c r="K76" s="188"/>
      <c r="L76" s="194">
        <v>0</v>
      </c>
      <c r="M76" s="191"/>
      <c r="N76" s="207">
        <f>L76-H76</f>
        <v>14.2</v>
      </c>
      <c r="O76" s="167">
        <f>IF((H76)=0,"",(N76/H76))</f>
        <v>-1</v>
      </c>
    </row>
    <row r="77" spans="2:15" s="152" customFormat="1" ht="15.75" thickBot="1">
      <c r="B77" s="565" t="s">
        <v>48</v>
      </c>
      <c r="C77" s="565"/>
      <c r="D77" s="565"/>
      <c r="E77" s="195"/>
      <c r="F77" s="196"/>
      <c r="G77" s="197"/>
      <c r="H77" s="198">
        <f>SUM(H75:H76)</f>
        <v>127.80233592</v>
      </c>
      <c r="I77" s="199"/>
      <c r="J77" s="199"/>
      <c r="K77" s="199"/>
      <c r="L77" s="200">
        <f>SUM(L75:L76)</f>
        <v>147.48147992000003</v>
      </c>
      <c r="M77" s="201"/>
      <c r="N77" s="209">
        <f>L77-H77</f>
        <v>19.679144000000022</v>
      </c>
      <c r="O77" s="202">
        <f>IF((H77)=0,"",(N77/H77))</f>
        <v>0.15398109790668074</v>
      </c>
    </row>
    <row r="78" spans="2:15" s="152" customFormat="1" ht="8.25" customHeight="1" thickBot="1">
      <c r="B78" s="69"/>
      <c r="C78" s="173"/>
      <c r="D78" s="174"/>
      <c r="E78" s="173"/>
      <c r="F78" s="130"/>
      <c r="G78" s="203"/>
      <c r="H78" s="131"/>
      <c r="I78" s="204"/>
      <c r="J78" s="130"/>
      <c r="K78" s="175"/>
      <c r="L78" s="132"/>
      <c r="M78" s="176"/>
      <c r="N78" s="205"/>
      <c r="O78" s="121"/>
    </row>
    <row r="79" s="49" customFormat="1" ht="10.5" customHeight="1">
      <c r="L79" s="114"/>
    </row>
    <row r="80" spans="2:10" s="49" customFormat="1" ht="15">
      <c r="B80" s="73" t="s">
        <v>49</v>
      </c>
      <c r="F80" s="379">
        <f>'Res (100kWh)'!F80</f>
        <v>0.0495</v>
      </c>
      <c r="G80" s="99"/>
      <c r="H80" s="99"/>
      <c r="I80" s="99"/>
      <c r="J80" s="379">
        <f>'Res (100kWh)'!J80</f>
        <v>0.0495</v>
      </c>
    </row>
    <row r="81" s="49" customFormat="1" ht="10.5" customHeight="1"/>
    <row r="82" spans="2:15" s="49" customFormat="1" ht="15">
      <c r="B82" s="423" t="s">
        <v>140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99" customFormat="1" ht="15">
      <c r="B83" s="423" t="s">
        <v>141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49" customFormat="1" ht="17.25">
      <c r="A84" s="206" t="s">
        <v>125</v>
      </c>
    </row>
    <row r="85" s="49" customFormat="1" ht="10.5" customHeight="1"/>
    <row r="86" s="49" customFormat="1" ht="15">
      <c r="A86" s="49" t="s">
        <v>51</v>
      </c>
    </row>
    <row r="87" s="49" customFormat="1" ht="15">
      <c r="A87" s="49" t="s">
        <v>52</v>
      </c>
    </row>
    <row r="88" s="49" customFormat="1" ht="15"/>
    <row r="89" s="49" customFormat="1" ht="15">
      <c r="A89" s="52" t="s">
        <v>53</v>
      </c>
    </row>
    <row r="90" s="49" customFormat="1" ht="15">
      <c r="A90" s="52" t="s">
        <v>54</v>
      </c>
    </row>
    <row r="91" s="49" customFormat="1" ht="15"/>
    <row r="92" s="49" customFormat="1" ht="15">
      <c r="A92" s="49" t="s">
        <v>55</v>
      </c>
    </row>
    <row r="93" s="49" customFormat="1" ht="15">
      <c r="A93" s="49" t="s">
        <v>56</v>
      </c>
    </row>
    <row r="94" s="49" customFormat="1" ht="15">
      <c r="A94" s="49" t="s">
        <v>57</v>
      </c>
    </row>
    <row r="95" s="49" customFormat="1" ht="15">
      <c r="A95" s="49" t="s">
        <v>58</v>
      </c>
    </row>
    <row r="96" s="49" customFormat="1" ht="15">
      <c r="A96" s="49" t="s">
        <v>59</v>
      </c>
    </row>
    <row r="97" s="49" customFormat="1" ht="15"/>
    <row r="98" spans="1:2" s="49" customFormat="1" ht="15">
      <c r="A98" s="134"/>
      <c r="B98" s="49" t="s">
        <v>60</v>
      </c>
    </row>
    <row r="99" s="49" customFormat="1" ht="15"/>
    <row r="100" s="49" customFormat="1" ht="15"/>
  </sheetData>
  <sheetProtection/>
  <mergeCells count="21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'Res (800kWh)'!#REF!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53:E54 E42:E51 E66 E23:E40 E56:E63">
      <formula1>'Res (800kWh)'!#REF!</formula1>
    </dataValidation>
  </dataValidations>
  <printOptions/>
  <pageMargins left="0.7" right="0.7" top="0.75" bottom="0.75" header="0.3" footer="0.3"/>
  <pageSetup fitToHeight="1" fitToWidth="1" horizontalDpi="600" verticalDpi="600" orientation="portrait" scale="5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98"/>
  <sheetViews>
    <sheetView showGridLines="0" zoomScalePageLayoutView="0" workbookViewId="0" topLeftCell="A1">
      <selection activeCell="N4" sqref="N4:O4"/>
    </sheetView>
  </sheetViews>
  <sheetFormatPr defaultColWidth="9.140625" defaultRowHeight="15"/>
  <cols>
    <col min="1" max="1" width="2.140625" style="8" customWidth="1"/>
    <col min="2" max="2" width="56.574218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18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22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80</v>
      </c>
      <c r="O5" s="584"/>
      <c r="P5" s="20"/>
    </row>
    <row r="6" spans="12:16" s="2" customFormat="1" ht="9" customHeight="1">
      <c r="L6" s="3"/>
      <c r="N6" s="19"/>
      <c r="O6" s="4"/>
      <c r="P6" s="23"/>
    </row>
    <row r="7" spans="12:16" s="2" customFormat="1" ht="15">
      <c r="L7" s="3" t="s">
        <v>159</v>
      </c>
      <c r="N7" s="585">
        <v>42384</v>
      </c>
      <c r="O7" s="584"/>
      <c r="P7" s="20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1000</v>
      </c>
      <c r="G18" s="14" t="s">
        <v>9</v>
      </c>
    </row>
    <row r="19" ht="15">
      <c r="B19" s="13"/>
    </row>
    <row r="20" spans="2:15" s="49" customFormat="1" ht="15">
      <c r="B20" s="52"/>
      <c r="D20" s="136"/>
      <c r="E20" s="136"/>
      <c r="F20" s="578" t="s">
        <v>10</v>
      </c>
      <c r="G20" s="579"/>
      <c r="H20" s="580"/>
      <c r="J20" s="578" t="s">
        <v>11</v>
      </c>
      <c r="K20" s="579"/>
      <c r="L20" s="580"/>
      <c r="N20" s="578" t="s">
        <v>12</v>
      </c>
      <c r="O20" s="580"/>
    </row>
    <row r="21" spans="2:15" s="49" customFormat="1" ht="15">
      <c r="B21" s="52"/>
      <c r="D21" s="566" t="s">
        <v>13</v>
      </c>
      <c r="E21" s="135"/>
      <c r="F21" s="137" t="s">
        <v>14</v>
      </c>
      <c r="G21" s="137" t="s">
        <v>15</v>
      </c>
      <c r="H21" s="138" t="s">
        <v>16</v>
      </c>
      <c r="J21" s="137" t="s">
        <v>14</v>
      </c>
      <c r="K21" s="139" t="s">
        <v>15</v>
      </c>
      <c r="L21" s="138" t="s">
        <v>16</v>
      </c>
      <c r="N21" s="568" t="s">
        <v>17</v>
      </c>
      <c r="O21" s="570" t="s">
        <v>18</v>
      </c>
    </row>
    <row r="22" spans="2:15" s="49" customFormat="1" ht="15">
      <c r="B22" s="52"/>
      <c r="D22" s="567"/>
      <c r="E22" s="135"/>
      <c r="F22" s="140" t="s">
        <v>19</v>
      </c>
      <c r="G22" s="140"/>
      <c r="H22" s="141" t="s">
        <v>19</v>
      </c>
      <c r="J22" s="140" t="s">
        <v>19</v>
      </c>
      <c r="K22" s="141"/>
      <c r="L22" s="141" t="s">
        <v>19</v>
      </c>
      <c r="N22" s="569"/>
      <c r="O22" s="571"/>
    </row>
    <row r="23" spans="2:15" s="49" customFormat="1" ht="15">
      <c r="B23" s="53" t="s">
        <v>20</v>
      </c>
      <c r="C23" s="53"/>
      <c r="D23" s="76" t="s">
        <v>62</v>
      </c>
      <c r="E23" s="77"/>
      <c r="F23" s="369">
        <f>'Res (100kWh)'!F23</f>
        <v>11.22</v>
      </c>
      <c r="G23" s="79">
        <v>1</v>
      </c>
      <c r="H23" s="80">
        <f>G23*F23</f>
        <v>11.22</v>
      </c>
      <c r="I23" s="62"/>
      <c r="J23" s="430">
        <f>'Res (100kWh)'!J23</f>
        <v>14.71</v>
      </c>
      <c r="K23" s="81">
        <v>1</v>
      </c>
      <c r="L23" s="80">
        <f>K23*J23</f>
        <v>14.71</v>
      </c>
      <c r="M23" s="62"/>
      <c r="N23" s="207">
        <f>L23-H23</f>
        <v>3.49</v>
      </c>
      <c r="O23" s="83">
        <f>IF((H23)=0,"",(N23/H23))</f>
        <v>0.31105169340463457</v>
      </c>
    </row>
    <row r="24" spans="2:15" s="49" customFormat="1" ht="30">
      <c r="B24" s="375" t="s">
        <v>64</v>
      </c>
      <c r="C24" s="53"/>
      <c r="D24" s="76" t="s">
        <v>62</v>
      </c>
      <c r="E24" s="77"/>
      <c r="F24" s="377">
        <f>'Res (100kWh)'!F24</f>
        <v>1.75</v>
      </c>
      <c r="G24" s="79">
        <v>1</v>
      </c>
      <c r="H24" s="80">
        <f>G24*F24</f>
        <v>1.75</v>
      </c>
      <c r="I24" s="62"/>
      <c r="J24" s="370">
        <f>'Res (100kWh)'!J24</f>
        <v>1.75</v>
      </c>
      <c r="K24" s="81">
        <v>1</v>
      </c>
      <c r="L24" s="80">
        <f>K24*J24</f>
        <v>1.75</v>
      </c>
      <c r="M24" s="62"/>
      <c r="N24" s="207">
        <f>L24-H24</f>
        <v>0</v>
      </c>
      <c r="O24" s="83">
        <f>IF((H24)=0,"",(N24/H24))</f>
        <v>0</v>
      </c>
    </row>
    <row r="25" spans="2:15" s="49" customFormat="1" ht="15" customHeight="1">
      <c r="B25" s="376" t="s">
        <v>66</v>
      </c>
      <c r="C25" s="53"/>
      <c r="D25" s="76" t="s">
        <v>62</v>
      </c>
      <c r="E25" s="77"/>
      <c r="F25" s="370">
        <v>0</v>
      </c>
      <c r="G25" s="79">
        <v>1</v>
      </c>
      <c r="H25" s="80">
        <f>G25*F25</f>
        <v>0</v>
      </c>
      <c r="I25" s="62"/>
      <c r="J25" s="467">
        <f>'Res (100kWh)'!J25</f>
        <v>-0.04</v>
      </c>
      <c r="K25" s="81">
        <v>1</v>
      </c>
      <c r="L25" s="80">
        <f>K25*J25</f>
        <v>-0.04</v>
      </c>
      <c r="M25" s="62"/>
      <c r="N25" s="207">
        <f>L25-H25</f>
        <v>-0.04</v>
      </c>
      <c r="O25" s="83">
        <f>IF((H25)=0,"",(N25/H25))</f>
      </c>
    </row>
    <row r="26" spans="2:15" s="49" customFormat="1" ht="15" hidden="1">
      <c r="B26" s="375"/>
      <c r="C26" s="53"/>
      <c r="D26" s="86" t="s">
        <v>62</v>
      </c>
      <c r="E26" s="88"/>
      <c r="F26" s="370">
        <f>'Res (100kWh)'!F26</f>
        <v>0</v>
      </c>
      <c r="G26" s="79">
        <v>1</v>
      </c>
      <c r="H26" s="80">
        <f aca="true" t="shared" si="0" ref="H26:H40">G26*F26</f>
        <v>0</v>
      </c>
      <c r="I26" s="62"/>
      <c r="J26" s="370">
        <f>'Res (100kWh)'!J26</f>
        <v>0</v>
      </c>
      <c r="K26" s="81">
        <v>1</v>
      </c>
      <c r="L26" s="80">
        <f aca="true" t="shared" si="1" ref="L26:L40">K26*J26</f>
        <v>0</v>
      </c>
      <c r="M26" s="62"/>
      <c r="N26" s="207">
        <f aca="true" t="shared" si="2" ref="N26:N71">L26-H26</f>
        <v>0</v>
      </c>
      <c r="O26" s="83">
        <f aca="true" t="shared" si="3" ref="O26:O50">IF((H26)=0,"",(N26/H26))</f>
      </c>
    </row>
    <row r="27" spans="2:15" s="49" customFormat="1" ht="15" hidden="1">
      <c r="B27" s="375" t="s">
        <v>65</v>
      </c>
      <c r="C27" s="53"/>
      <c r="D27" s="76" t="s">
        <v>62</v>
      </c>
      <c r="E27" s="77"/>
      <c r="F27" s="104">
        <f>'Res (100kWh)'!F27</f>
        <v>0</v>
      </c>
      <c r="G27" s="79">
        <v>1</v>
      </c>
      <c r="H27" s="80">
        <f t="shared" si="0"/>
        <v>0</v>
      </c>
      <c r="I27" s="62"/>
      <c r="J27" s="370">
        <f>'Res (100kWh)'!J27</f>
        <v>0</v>
      </c>
      <c r="K27" s="81">
        <v>1</v>
      </c>
      <c r="L27" s="80">
        <f t="shared" si="1"/>
        <v>0</v>
      </c>
      <c r="M27" s="62"/>
      <c r="N27" s="207">
        <f t="shared" si="2"/>
        <v>0</v>
      </c>
      <c r="O27" s="83">
        <f t="shared" si="3"/>
      </c>
    </row>
    <row r="28" spans="2:15" s="49" customFormat="1" ht="15" hidden="1">
      <c r="B28" s="376"/>
      <c r="C28" s="53"/>
      <c r="D28" s="76" t="s">
        <v>62</v>
      </c>
      <c r="E28" s="77"/>
      <c r="F28" s="104">
        <f>'Res (100kWh)'!F28</f>
        <v>0</v>
      </c>
      <c r="G28" s="79">
        <v>1</v>
      </c>
      <c r="H28" s="80">
        <f t="shared" si="0"/>
        <v>0</v>
      </c>
      <c r="I28" s="62"/>
      <c r="J28" s="370">
        <f>'Res (100kWh)'!J28</f>
        <v>0</v>
      </c>
      <c r="K28" s="79">
        <v>1</v>
      </c>
      <c r="L28" s="80">
        <f t="shared" si="1"/>
        <v>0</v>
      </c>
      <c r="M28" s="62"/>
      <c r="N28" s="207">
        <f t="shared" si="2"/>
        <v>0</v>
      </c>
      <c r="O28" s="83">
        <f t="shared" si="3"/>
      </c>
    </row>
    <row r="29" spans="2:15" s="49" customFormat="1" ht="15">
      <c r="B29" s="53" t="s">
        <v>108</v>
      </c>
      <c r="C29" s="53"/>
      <c r="D29" s="76" t="s">
        <v>63</v>
      </c>
      <c r="E29" s="77"/>
      <c r="F29" s="378">
        <f>'Res (100kWh)'!F29</f>
        <v>0</v>
      </c>
      <c r="G29" s="79">
        <f>$F$18</f>
        <v>1000</v>
      </c>
      <c r="H29" s="80">
        <f t="shared" si="0"/>
        <v>0</v>
      </c>
      <c r="I29" s="62"/>
      <c r="J29" s="432">
        <f>'Res (100kWh)'!J29</f>
        <v>0.0007</v>
      </c>
      <c r="K29" s="79">
        <f>$F$18</f>
        <v>1000</v>
      </c>
      <c r="L29" s="80">
        <f t="shared" si="1"/>
        <v>0.7</v>
      </c>
      <c r="M29" s="62"/>
      <c r="N29" s="207">
        <f t="shared" si="2"/>
        <v>0.7</v>
      </c>
      <c r="O29" s="83">
        <f t="shared" si="3"/>
      </c>
    </row>
    <row r="30" spans="2:15" s="49" customFormat="1" ht="15" hidden="1">
      <c r="B30" s="56" t="s">
        <v>92</v>
      </c>
      <c r="C30" s="53"/>
      <c r="D30" s="76" t="s">
        <v>63</v>
      </c>
      <c r="E30" s="77"/>
      <c r="F30" s="104">
        <f>'Res (100kWh)'!F30</f>
        <v>0</v>
      </c>
      <c r="G30" s="79">
        <f>$F$18</f>
        <v>1000</v>
      </c>
      <c r="H30" s="80">
        <f t="shared" si="0"/>
        <v>0</v>
      </c>
      <c r="I30" s="62"/>
      <c r="J30" s="103">
        <f>'Res (100kWh)'!J30</f>
        <v>0</v>
      </c>
      <c r="K30" s="79">
        <f>$F$18</f>
        <v>1000</v>
      </c>
      <c r="L30" s="80">
        <f>K30*J30</f>
        <v>0</v>
      </c>
      <c r="M30" s="62"/>
      <c r="N30" s="207">
        <f>L30-H30</f>
        <v>0</v>
      </c>
      <c r="O30" s="83">
        <f>IF((H30)=0,"",(N30/H30))</f>
      </c>
    </row>
    <row r="31" spans="2:15" s="49" customFormat="1" ht="15">
      <c r="B31" s="53" t="s">
        <v>21</v>
      </c>
      <c r="C31" s="53"/>
      <c r="D31" s="76" t="s">
        <v>63</v>
      </c>
      <c r="E31" s="77"/>
      <c r="F31" s="104">
        <f>'Res (100kWh)'!F31</f>
        <v>0.0211</v>
      </c>
      <c r="G31" s="79">
        <f>$F$18</f>
        <v>1000</v>
      </c>
      <c r="H31" s="80">
        <f t="shared" si="0"/>
        <v>21.1</v>
      </c>
      <c r="I31" s="62"/>
      <c r="J31" s="431">
        <f>'Res (100kWh)'!J31</f>
        <v>0.0169</v>
      </c>
      <c r="K31" s="79">
        <f>$F$18</f>
        <v>1000</v>
      </c>
      <c r="L31" s="80">
        <f t="shared" si="1"/>
        <v>16.9</v>
      </c>
      <c r="M31" s="62"/>
      <c r="N31" s="207">
        <f t="shared" si="2"/>
        <v>-4.200000000000003</v>
      </c>
      <c r="O31" s="83">
        <f t="shared" si="3"/>
        <v>-0.1990521327014219</v>
      </c>
    </row>
    <row r="32" spans="2:15" s="49" customFormat="1" ht="14.25" customHeight="1" hidden="1">
      <c r="B32" s="53" t="s">
        <v>22</v>
      </c>
      <c r="C32" s="53"/>
      <c r="D32" s="76"/>
      <c r="E32" s="77"/>
      <c r="F32" s="89">
        <f>'Res (100kWh)'!F32</f>
        <v>0</v>
      </c>
      <c r="G32" s="79">
        <f>$F$18</f>
        <v>1000</v>
      </c>
      <c r="H32" s="80">
        <f t="shared" si="0"/>
        <v>0</v>
      </c>
      <c r="I32" s="62"/>
      <c r="J32" s="103">
        <f>'Res (100kWh)'!J32</f>
        <v>0</v>
      </c>
      <c r="K32" s="79">
        <f aca="true" t="shared" si="4" ref="K32:K40">$F$18</f>
        <v>1000</v>
      </c>
      <c r="L32" s="80">
        <f t="shared" si="1"/>
        <v>0</v>
      </c>
      <c r="M32" s="62"/>
      <c r="N32" s="82">
        <f t="shared" si="2"/>
        <v>0</v>
      </c>
      <c r="O32" s="83">
        <f t="shared" si="3"/>
      </c>
    </row>
    <row r="33" spans="2:15" s="49" customFormat="1" ht="15" hidden="1">
      <c r="B33" s="53" t="s">
        <v>108</v>
      </c>
      <c r="C33" s="53"/>
      <c r="D33" s="76"/>
      <c r="E33" s="77"/>
      <c r="F33" s="89">
        <f>'Res (100kWh)'!F33</f>
        <v>0</v>
      </c>
      <c r="G33" s="79">
        <f>$F$18</f>
        <v>1000</v>
      </c>
      <c r="H33" s="80">
        <f t="shared" si="0"/>
        <v>0</v>
      </c>
      <c r="I33" s="62"/>
      <c r="J33" s="103">
        <f>'Res (100kWh)'!J33</f>
        <v>0</v>
      </c>
      <c r="K33" s="79">
        <f t="shared" si="4"/>
        <v>1000</v>
      </c>
      <c r="L33" s="80">
        <f t="shared" si="1"/>
        <v>0</v>
      </c>
      <c r="M33" s="62"/>
      <c r="N33" s="82">
        <f t="shared" si="2"/>
        <v>0</v>
      </c>
      <c r="O33" s="83">
        <f t="shared" si="3"/>
      </c>
    </row>
    <row r="34" spans="2:15" s="49" customFormat="1" ht="15" hidden="1">
      <c r="B34" s="57"/>
      <c r="C34" s="53"/>
      <c r="D34" s="76"/>
      <c r="E34" s="77"/>
      <c r="F34" s="89">
        <f>'Res (100kWh)'!F34</f>
        <v>0</v>
      </c>
      <c r="G34" s="79">
        <f aca="true" t="shared" si="5" ref="G34:G40">$F$18</f>
        <v>1000</v>
      </c>
      <c r="H34" s="80">
        <f t="shared" si="0"/>
        <v>0</v>
      </c>
      <c r="I34" s="62"/>
      <c r="J34" s="103">
        <f>'Res (100kWh)'!J34</f>
        <v>0</v>
      </c>
      <c r="K34" s="79">
        <f t="shared" si="4"/>
        <v>1000</v>
      </c>
      <c r="L34" s="80">
        <f t="shared" si="1"/>
        <v>0</v>
      </c>
      <c r="M34" s="62"/>
      <c r="N34" s="82">
        <f t="shared" si="2"/>
        <v>0</v>
      </c>
      <c r="O34" s="83">
        <f t="shared" si="3"/>
      </c>
    </row>
    <row r="35" spans="2:15" s="49" customFormat="1" ht="15" hidden="1">
      <c r="B35" s="57"/>
      <c r="C35" s="53"/>
      <c r="D35" s="76"/>
      <c r="E35" s="77"/>
      <c r="F35" s="89">
        <f>'Res (100kWh)'!F35</f>
        <v>0</v>
      </c>
      <c r="G35" s="79">
        <f t="shared" si="5"/>
        <v>1000</v>
      </c>
      <c r="H35" s="80">
        <f t="shared" si="0"/>
        <v>0</v>
      </c>
      <c r="I35" s="62"/>
      <c r="J35" s="103">
        <f>'Res (100kWh)'!J35</f>
        <v>0</v>
      </c>
      <c r="K35" s="79">
        <f t="shared" si="4"/>
        <v>1000</v>
      </c>
      <c r="L35" s="80">
        <f t="shared" si="1"/>
        <v>0</v>
      </c>
      <c r="M35" s="62"/>
      <c r="N35" s="82">
        <f t="shared" si="2"/>
        <v>0</v>
      </c>
      <c r="O35" s="83">
        <f t="shared" si="3"/>
      </c>
    </row>
    <row r="36" spans="2:15" s="49" customFormat="1" ht="15" hidden="1">
      <c r="B36" s="57"/>
      <c r="C36" s="53"/>
      <c r="D36" s="76"/>
      <c r="E36" s="77"/>
      <c r="F36" s="89">
        <f>'Res (100kWh)'!F36</f>
        <v>0</v>
      </c>
      <c r="G36" s="79">
        <f t="shared" si="5"/>
        <v>1000</v>
      </c>
      <c r="H36" s="80">
        <f t="shared" si="0"/>
        <v>0</v>
      </c>
      <c r="I36" s="62"/>
      <c r="J36" s="103">
        <f>'Res (100kWh)'!J36</f>
        <v>0</v>
      </c>
      <c r="K36" s="79">
        <f t="shared" si="4"/>
        <v>1000</v>
      </c>
      <c r="L36" s="80">
        <f t="shared" si="1"/>
        <v>0</v>
      </c>
      <c r="M36" s="62"/>
      <c r="N36" s="82">
        <f t="shared" si="2"/>
        <v>0</v>
      </c>
      <c r="O36" s="83">
        <f t="shared" si="3"/>
      </c>
    </row>
    <row r="37" spans="2:15" s="49" customFormat="1" ht="15" hidden="1">
      <c r="B37" s="57"/>
      <c r="C37" s="53"/>
      <c r="D37" s="76"/>
      <c r="E37" s="77"/>
      <c r="F37" s="89">
        <f>'Res (100kWh)'!F37</f>
        <v>0</v>
      </c>
      <c r="G37" s="79">
        <f t="shared" si="5"/>
        <v>1000</v>
      </c>
      <c r="H37" s="80">
        <f t="shared" si="0"/>
        <v>0</v>
      </c>
      <c r="I37" s="62"/>
      <c r="J37" s="103">
        <f>'Res (100kWh)'!J37</f>
        <v>0</v>
      </c>
      <c r="K37" s="79">
        <f t="shared" si="4"/>
        <v>1000</v>
      </c>
      <c r="L37" s="80">
        <f t="shared" si="1"/>
        <v>0</v>
      </c>
      <c r="M37" s="62"/>
      <c r="N37" s="82">
        <f t="shared" si="2"/>
        <v>0</v>
      </c>
      <c r="O37" s="83">
        <f t="shared" si="3"/>
      </c>
    </row>
    <row r="38" spans="2:15" s="49" customFormat="1" ht="15" hidden="1">
      <c r="B38" s="57"/>
      <c r="C38" s="53"/>
      <c r="D38" s="76"/>
      <c r="E38" s="77"/>
      <c r="F38" s="89">
        <f>'Res (100kWh)'!F38</f>
        <v>0</v>
      </c>
      <c r="G38" s="79">
        <f t="shared" si="5"/>
        <v>1000</v>
      </c>
      <c r="H38" s="80">
        <f t="shared" si="0"/>
        <v>0</v>
      </c>
      <c r="I38" s="62"/>
      <c r="J38" s="103">
        <f>'Res (100kWh)'!J38</f>
        <v>0</v>
      </c>
      <c r="K38" s="79">
        <f t="shared" si="4"/>
        <v>1000</v>
      </c>
      <c r="L38" s="80">
        <f t="shared" si="1"/>
        <v>0</v>
      </c>
      <c r="M38" s="62"/>
      <c r="N38" s="82">
        <f t="shared" si="2"/>
        <v>0</v>
      </c>
      <c r="O38" s="83">
        <f t="shared" si="3"/>
      </c>
    </row>
    <row r="39" spans="2:15" s="49" customFormat="1" ht="15" hidden="1">
      <c r="B39" s="57"/>
      <c r="C39" s="53"/>
      <c r="D39" s="76"/>
      <c r="E39" s="77"/>
      <c r="F39" s="89">
        <f>'Res (100kWh)'!F39</f>
        <v>0</v>
      </c>
      <c r="G39" s="79">
        <f t="shared" si="5"/>
        <v>1000</v>
      </c>
      <c r="H39" s="80">
        <f t="shared" si="0"/>
        <v>0</v>
      </c>
      <c r="I39" s="62"/>
      <c r="J39" s="103">
        <f>'Res (100kWh)'!J39</f>
        <v>0</v>
      </c>
      <c r="K39" s="79">
        <f t="shared" si="4"/>
        <v>1000</v>
      </c>
      <c r="L39" s="80">
        <f t="shared" si="1"/>
        <v>0</v>
      </c>
      <c r="M39" s="62"/>
      <c r="N39" s="82">
        <f t="shared" si="2"/>
        <v>0</v>
      </c>
      <c r="O39" s="83">
        <f t="shared" si="3"/>
      </c>
    </row>
    <row r="40" spans="2:15" s="49" customFormat="1" ht="15" hidden="1">
      <c r="B40" s="57"/>
      <c r="C40" s="53"/>
      <c r="D40" s="76"/>
      <c r="E40" s="77"/>
      <c r="F40" s="89">
        <f>'Res (100kWh)'!F40</f>
        <v>0</v>
      </c>
      <c r="G40" s="79">
        <f t="shared" si="5"/>
        <v>1000</v>
      </c>
      <c r="H40" s="80">
        <f t="shared" si="0"/>
        <v>0</v>
      </c>
      <c r="I40" s="62"/>
      <c r="J40" s="103">
        <f>'Res (100kWh)'!J40</f>
        <v>0</v>
      </c>
      <c r="K40" s="79">
        <f t="shared" si="4"/>
        <v>1000</v>
      </c>
      <c r="L40" s="80">
        <f t="shared" si="1"/>
        <v>0</v>
      </c>
      <c r="M40" s="62"/>
      <c r="N40" s="82">
        <f t="shared" si="2"/>
        <v>0</v>
      </c>
      <c r="O40" s="83">
        <f t="shared" si="3"/>
      </c>
    </row>
    <row r="41" spans="2:22" s="99" customFormat="1" ht="15">
      <c r="B41" s="58" t="s">
        <v>24</v>
      </c>
      <c r="C41" s="91"/>
      <c r="D41" s="92"/>
      <c r="E41" s="91"/>
      <c r="F41" s="93"/>
      <c r="G41" s="94"/>
      <c r="H41" s="95">
        <f>SUM(H23:H40)</f>
        <v>34.07</v>
      </c>
      <c r="I41" s="96"/>
      <c r="J41" s="371"/>
      <c r="K41" s="98"/>
      <c r="L41" s="95">
        <f>SUM(L23:L40)</f>
        <v>34.019999999999996</v>
      </c>
      <c r="M41" s="96"/>
      <c r="N41" s="142">
        <f t="shared" si="2"/>
        <v>-0.05000000000000426</v>
      </c>
      <c r="O41" s="143">
        <f t="shared" si="3"/>
        <v>-0.0014675667742883552</v>
      </c>
      <c r="V41" s="49"/>
    </row>
    <row r="42" spans="2:15" s="49" customFormat="1" ht="15" hidden="1">
      <c r="B42" s="55"/>
      <c r="C42" s="53"/>
      <c r="D42" s="86" t="s">
        <v>62</v>
      </c>
      <c r="E42" s="77"/>
      <c r="F42" s="89">
        <f>'Res (100kWh)'!F42</f>
        <v>0</v>
      </c>
      <c r="G42" s="79">
        <v>1</v>
      </c>
      <c r="H42" s="80">
        <f>G42*F42</f>
        <v>0</v>
      </c>
      <c r="I42" s="62"/>
      <c r="J42" s="370"/>
      <c r="K42" s="81">
        <v>1</v>
      </c>
      <c r="L42" s="80">
        <f>K42*J42</f>
        <v>0</v>
      </c>
      <c r="M42" s="62"/>
      <c r="N42" s="82">
        <f>L42-H42</f>
        <v>0</v>
      </c>
      <c r="O42" s="83">
        <f>IF((H42)=0,"",(N42/H42))</f>
      </c>
    </row>
    <row r="43" spans="2:15" s="49" customFormat="1" ht="15">
      <c r="B43" s="376" t="s">
        <v>25</v>
      </c>
      <c r="C43" s="53"/>
      <c r="D43" s="86" t="s">
        <v>63</v>
      </c>
      <c r="E43" s="88"/>
      <c r="F43" s="372">
        <f>'Res (100kWh)'!F43</f>
        <v>-0.007</v>
      </c>
      <c r="G43" s="79">
        <f>$F$18</f>
        <v>1000</v>
      </c>
      <c r="H43" s="80">
        <f aca="true" t="shared" si="6" ref="H43:H51">G43*F43</f>
        <v>-7</v>
      </c>
      <c r="I43" s="62"/>
      <c r="J43" s="372">
        <f>'Res (100kWh)'!J43</f>
        <v>0.0021</v>
      </c>
      <c r="K43" s="79">
        <f>$F$18</f>
        <v>1000</v>
      </c>
      <c r="L43" s="80">
        <f aca="true" t="shared" si="7" ref="L43:L51">K43*J43</f>
        <v>2.1</v>
      </c>
      <c r="M43" s="62"/>
      <c r="N43" s="207">
        <f t="shared" si="2"/>
        <v>9.1</v>
      </c>
      <c r="O43" s="83">
        <f t="shared" si="3"/>
        <v>-1.3</v>
      </c>
    </row>
    <row r="44" spans="2:15" s="49" customFormat="1" ht="15" hidden="1">
      <c r="B44" s="56"/>
      <c r="C44" s="53"/>
      <c r="D44" s="76" t="s">
        <v>63</v>
      </c>
      <c r="E44" s="77"/>
      <c r="F44" s="104">
        <f>'Res (100kWh)'!F44</f>
        <v>0</v>
      </c>
      <c r="G44" s="79">
        <f>$F$18</f>
        <v>1000</v>
      </c>
      <c r="H44" s="80">
        <f t="shared" si="6"/>
        <v>0</v>
      </c>
      <c r="I44" s="101"/>
      <c r="J44" s="372">
        <f>'Res (100kWh)'!J44</f>
        <v>0</v>
      </c>
      <c r="K44" s="79">
        <f>$F$18</f>
        <v>1000</v>
      </c>
      <c r="L44" s="80">
        <f t="shared" si="7"/>
        <v>0</v>
      </c>
      <c r="M44" s="102"/>
      <c r="N44" s="207">
        <f t="shared" si="2"/>
        <v>0</v>
      </c>
      <c r="O44" s="83">
        <f t="shared" si="3"/>
      </c>
    </row>
    <row r="45" spans="2:15" s="49" customFormat="1" ht="15" hidden="1">
      <c r="B45" s="56"/>
      <c r="C45" s="53"/>
      <c r="D45" s="76" t="s">
        <v>63</v>
      </c>
      <c r="E45" s="77"/>
      <c r="F45" s="104">
        <f>'Res (100kWh)'!F45</f>
        <v>0</v>
      </c>
      <c r="G45" s="79">
        <f>$F$18</f>
        <v>1000</v>
      </c>
      <c r="H45" s="80">
        <f t="shared" si="6"/>
        <v>0</v>
      </c>
      <c r="I45" s="101"/>
      <c r="J45" s="372">
        <f>'Res (100kWh)'!J45</f>
        <v>0</v>
      </c>
      <c r="K45" s="79">
        <f>$F$18</f>
        <v>1000</v>
      </c>
      <c r="L45" s="80">
        <f t="shared" si="7"/>
        <v>0</v>
      </c>
      <c r="M45" s="102"/>
      <c r="N45" s="207">
        <f t="shared" si="2"/>
        <v>0</v>
      </c>
      <c r="O45" s="83">
        <f t="shared" si="3"/>
      </c>
    </row>
    <row r="46" spans="2:15" s="49" customFormat="1" ht="15" hidden="1">
      <c r="B46" s="375"/>
      <c r="C46" s="53"/>
      <c r="D46" s="76" t="s">
        <v>62</v>
      </c>
      <c r="E46" s="77"/>
      <c r="F46" s="104">
        <f>'Res (100kWh)'!F46</f>
        <v>0</v>
      </c>
      <c r="G46" s="79">
        <v>1</v>
      </c>
      <c r="H46" s="80">
        <f t="shared" si="6"/>
        <v>0</v>
      </c>
      <c r="I46" s="101"/>
      <c r="J46" s="372">
        <f>'Res (100kWh)'!J46</f>
        <v>0</v>
      </c>
      <c r="K46" s="79">
        <v>1</v>
      </c>
      <c r="L46" s="80">
        <f t="shared" si="7"/>
        <v>0</v>
      </c>
      <c r="M46" s="102"/>
      <c r="N46" s="207">
        <f t="shared" si="2"/>
        <v>0</v>
      </c>
      <c r="O46" s="83">
        <f t="shared" si="3"/>
      </c>
    </row>
    <row r="47" spans="2:15" s="49" customFormat="1" ht="15" hidden="1">
      <c r="B47" s="376"/>
      <c r="C47" s="53"/>
      <c r="D47" s="76" t="s">
        <v>62</v>
      </c>
      <c r="E47" s="77"/>
      <c r="F47" s="104">
        <f>'Res (100kWh)'!F47</f>
        <v>0</v>
      </c>
      <c r="G47" s="79">
        <v>1</v>
      </c>
      <c r="H47" s="80">
        <f t="shared" si="6"/>
        <v>0</v>
      </c>
      <c r="I47" s="62"/>
      <c r="J47" s="372">
        <f>'Res (100kWh)'!J47</f>
        <v>0</v>
      </c>
      <c r="K47" s="79">
        <v>1</v>
      </c>
      <c r="L47" s="80">
        <f t="shared" si="7"/>
        <v>0</v>
      </c>
      <c r="M47" s="62"/>
      <c r="N47" s="207">
        <f>L47-H47</f>
        <v>0</v>
      </c>
      <c r="O47" s="83">
        <f>IF((H47)=0,"",(N47/H47))</f>
      </c>
    </row>
    <row r="48" spans="2:15" s="49" customFormat="1" ht="15" hidden="1">
      <c r="B48" s="53"/>
      <c r="C48" s="53"/>
      <c r="D48" s="76" t="s">
        <v>63</v>
      </c>
      <c r="E48" s="77"/>
      <c r="F48" s="104">
        <f>'Res (100kWh)'!F48</f>
        <v>0</v>
      </c>
      <c r="G48" s="79">
        <f>$F$18</f>
        <v>1000</v>
      </c>
      <c r="H48" s="80">
        <f t="shared" si="6"/>
        <v>0</v>
      </c>
      <c r="I48" s="62"/>
      <c r="J48" s="372">
        <f>'Res (100kWh)'!J48</f>
        <v>0</v>
      </c>
      <c r="K48" s="79">
        <f>$F$18</f>
        <v>1000</v>
      </c>
      <c r="L48" s="80">
        <f t="shared" si="7"/>
        <v>0</v>
      </c>
      <c r="M48" s="62"/>
      <c r="N48" s="207">
        <f>L48-H48</f>
        <v>0</v>
      </c>
      <c r="O48" s="83">
        <f>IF((H48)=0,"",(N48/H48))</f>
      </c>
    </row>
    <row r="49" spans="2:15" s="49" customFormat="1" ht="15">
      <c r="B49" s="59" t="s">
        <v>26</v>
      </c>
      <c r="C49" s="53"/>
      <c r="D49" s="76" t="s">
        <v>63</v>
      </c>
      <c r="E49" s="77"/>
      <c r="F49" s="104">
        <f>'Res (100kWh)'!F49</f>
        <v>0.0024</v>
      </c>
      <c r="G49" s="79">
        <f>$F$18</f>
        <v>1000</v>
      </c>
      <c r="H49" s="80">
        <f t="shared" si="6"/>
        <v>2.4</v>
      </c>
      <c r="I49" s="62"/>
      <c r="J49" s="103">
        <f>'Res (100kWh)'!J49</f>
        <v>0.0024</v>
      </c>
      <c r="K49" s="79">
        <f>$F$18</f>
        <v>1000</v>
      </c>
      <c r="L49" s="80">
        <f t="shared" si="7"/>
        <v>2.4</v>
      </c>
      <c r="M49" s="62"/>
      <c r="N49" s="207">
        <f t="shared" si="2"/>
        <v>0</v>
      </c>
      <c r="O49" s="83">
        <f t="shared" si="3"/>
        <v>0</v>
      </c>
    </row>
    <row r="50" spans="2:15" s="99" customFormat="1" ht="15">
      <c r="B50" s="60" t="s">
        <v>27</v>
      </c>
      <c r="C50" s="77"/>
      <c r="D50" s="76" t="s">
        <v>63</v>
      </c>
      <c r="E50" s="77"/>
      <c r="F50" s="104">
        <f>IF(ISBLANK(D16)=TRUE,0,IF(D16="TOU",0.64*$F$61+0.18*$F$62+0.18*$F$63,IF(AND(D16="non-TOU",G65&gt;0),F65,F64)))</f>
        <v>0.10214000000000001</v>
      </c>
      <c r="G50" s="79">
        <f>$F$18*(1+$F$80)-$F$18</f>
        <v>49.5</v>
      </c>
      <c r="H50" s="105">
        <f t="shared" si="6"/>
        <v>5.05593</v>
      </c>
      <c r="I50" s="88"/>
      <c r="J50" s="103">
        <f>0.64*$F$61+0.18*$F$62+0.18*$F$63</f>
        <v>0.10214000000000001</v>
      </c>
      <c r="K50" s="79">
        <f>$F$18*(1+$J$80)-$F$18</f>
        <v>49.5</v>
      </c>
      <c r="L50" s="105">
        <f t="shared" si="7"/>
        <v>5.05593</v>
      </c>
      <c r="M50" s="88"/>
      <c r="N50" s="207">
        <f t="shared" si="2"/>
        <v>0</v>
      </c>
      <c r="O50" s="106">
        <f t="shared" si="3"/>
        <v>0</v>
      </c>
    </row>
    <row r="51" spans="2:15" s="49" customFormat="1" ht="15">
      <c r="B51" s="59" t="s">
        <v>28</v>
      </c>
      <c r="C51" s="53"/>
      <c r="D51" s="76" t="s">
        <v>62</v>
      </c>
      <c r="E51" s="77"/>
      <c r="F51" s="369">
        <f>'Res (100kWh)'!F51</f>
        <v>0.79</v>
      </c>
      <c r="G51" s="79">
        <v>1</v>
      </c>
      <c r="H51" s="80">
        <f t="shared" si="6"/>
        <v>0.79</v>
      </c>
      <c r="I51" s="62"/>
      <c r="J51" s="369">
        <f>'Res (100kWh)'!J51</f>
        <v>0.79</v>
      </c>
      <c r="K51" s="79">
        <v>1</v>
      </c>
      <c r="L51" s="80">
        <f t="shared" si="7"/>
        <v>0.79</v>
      </c>
      <c r="M51" s="62"/>
      <c r="N51" s="207">
        <f t="shared" si="2"/>
        <v>0</v>
      </c>
      <c r="O51" s="83"/>
    </row>
    <row r="52" spans="2:15" s="49" customFormat="1" ht="30">
      <c r="B52" s="61" t="s">
        <v>29</v>
      </c>
      <c r="C52" s="107"/>
      <c r="D52" s="107"/>
      <c r="E52" s="107"/>
      <c r="F52" s="108"/>
      <c r="G52" s="109"/>
      <c r="H52" s="144">
        <f>SUM(H42:H51)+H41</f>
        <v>35.31593</v>
      </c>
      <c r="I52" s="96"/>
      <c r="J52" s="373"/>
      <c r="K52" s="110"/>
      <c r="L52" s="144">
        <f>SUM(L42:L51)+L41</f>
        <v>44.36592999999999</v>
      </c>
      <c r="M52" s="96"/>
      <c r="N52" s="142">
        <f>L52-H52</f>
        <v>9.04999999999999</v>
      </c>
      <c r="O52" s="143">
        <f>IF((H52)=0,"",(N52/H52))</f>
        <v>0.2562582947695272</v>
      </c>
    </row>
    <row r="53" spans="2:15" s="49" customFormat="1" ht="15">
      <c r="B53" s="62" t="s">
        <v>30</v>
      </c>
      <c r="C53" s="62"/>
      <c r="D53" s="86" t="s">
        <v>63</v>
      </c>
      <c r="E53" s="88"/>
      <c r="F53" s="103">
        <f>'Res (100kWh)'!F53</f>
        <v>0.0048</v>
      </c>
      <c r="G53" s="468">
        <f>F18*(1+F80)</f>
        <v>1049.5</v>
      </c>
      <c r="H53" s="105">
        <f>G53*F53</f>
        <v>5.037599999999999</v>
      </c>
      <c r="I53" s="88"/>
      <c r="J53" s="103">
        <f>'Res (100kWh)'!J53</f>
        <v>0.0064</v>
      </c>
      <c r="K53" s="469">
        <f>F18*(1+J80)</f>
        <v>1049.5</v>
      </c>
      <c r="L53" s="80">
        <f>K53*J53</f>
        <v>6.7168</v>
      </c>
      <c r="M53" s="62"/>
      <c r="N53" s="207">
        <f t="shared" si="2"/>
        <v>1.6792000000000007</v>
      </c>
      <c r="O53" s="83">
        <f aca="true" t="shared" si="8" ref="O53:O71">IF((H53)=0,"",(N53/H53))</f>
        <v>0.33333333333333354</v>
      </c>
    </row>
    <row r="54" spans="2:15" s="49" customFormat="1" ht="15">
      <c r="B54" s="63" t="s">
        <v>31</v>
      </c>
      <c r="C54" s="62"/>
      <c r="D54" s="86" t="s">
        <v>63</v>
      </c>
      <c r="E54" s="88"/>
      <c r="F54" s="103">
        <f>'Res (100kWh)'!F54</f>
        <v>0.0019</v>
      </c>
      <c r="G54" s="468">
        <f>G53</f>
        <v>1049.5</v>
      </c>
      <c r="H54" s="105">
        <f>G54*F54</f>
        <v>1.99405</v>
      </c>
      <c r="I54" s="88"/>
      <c r="J54" s="103">
        <f>'Res (100kWh)'!J54</f>
        <v>0.003</v>
      </c>
      <c r="K54" s="469">
        <f>K53</f>
        <v>1049.5</v>
      </c>
      <c r="L54" s="80">
        <f>K54*J54</f>
        <v>3.1485</v>
      </c>
      <c r="M54" s="62"/>
      <c r="N54" s="207">
        <f t="shared" si="2"/>
        <v>1.1544499999999998</v>
      </c>
      <c r="O54" s="83">
        <f t="shared" si="8"/>
        <v>0.5789473684210524</v>
      </c>
    </row>
    <row r="55" spans="2:15" s="49" customFormat="1" ht="15">
      <c r="B55" s="61" t="s">
        <v>32</v>
      </c>
      <c r="C55" s="91"/>
      <c r="D55" s="91"/>
      <c r="E55" s="91"/>
      <c r="F55" s="111"/>
      <c r="G55" s="109"/>
      <c r="H55" s="144">
        <f>SUM(H52:H54)</f>
        <v>42.34758</v>
      </c>
      <c r="I55" s="145"/>
      <c r="J55" s="374"/>
      <c r="K55" s="147"/>
      <c r="L55" s="144">
        <f>SUM(L52:L54)</f>
        <v>54.23122999999999</v>
      </c>
      <c r="M55" s="145"/>
      <c r="N55" s="142">
        <f t="shared" si="2"/>
        <v>11.883649999999989</v>
      </c>
      <c r="O55" s="143">
        <f t="shared" si="8"/>
        <v>0.28062170258607433</v>
      </c>
    </row>
    <row r="56" spans="2:15" s="49" customFormat="1" ht="15">
      <c r="B56" s="54" t="s">
        <v>33</v>
      </c>
      <c r="C56" s="53"/>
      <c r="D56" s="76" t="s">
        <v>63</v>
      </c>
      <c r="E56" s="77"/>
      <c r="F56" s="104">
        <f>'Res (100kWh)'!F56</f>
        <v>0.0044</v>
      </c>
      <c r="G56" s="468">
        <f>G54</f>
        <v>1049.5</v>
      </c>
      <c r="H56" s="105">
        <f aca="true" t="shared" si="9" ref="H56:H63">G56*F56</f>
        <v>4.6178</v>
      </c>
      <c r="I56" s="88"/>
      <c r="J56" s="432">
        <f>'Res (100kWh)'!J56</f>
        <v>0.0036</v>
      </c>
      <c r="K56" s="469">
        <f>K54</f>
        <v>1049.5</v>
      </c>
      <c r="L56" s="80">
        <f aca="true" t="shared" si="10" ref="L56:L63">K56*J56</f>
        <v>3.7782</v>
      </c>
      <c r="M56" s="62"/>
      <c r="N56" s="207">
        <f t="shared" si="2"/>
        <v>-0.8395999999999999</v>
      </c>
      <c r="O56" s="83">
        <f t="shared" si="8"/>
        <v>-0.1818181818181818</v>
      </c>
    </row>
    <row r="57" spans="2:15" s="49" customFormat="1" ht="15">
      <c r="B57" s="54" t="s">
        <v>34</v>
      </c>
      <c r="C57" s="53"/>
      <c r="D57" s="76" t="s">
        <v>63</v>
      </c>
      <c r="E57" s="77"/>
      <c r="F57" s="104">
        <f>'Res (100kWh)'!F57</f>
        <v>0.0013</v>
      </c>
      <c r="G57" s="468">
        <f>G54</f>
        <v>1049.5</v>
      </c>
      <c r="H57" s="105">
        <f t="shared" si="9"/>
        <v>1.36435</v>
      </c>
      <c r="I57" s="88"/>
      <c r="J57" s="103">
        <f>'Res (100kWh)'!J57</f>
        <v>0.0013</v>
      </c>
      <c r="K57" s="469">
        <f>K54</f>
        <v>1049.5</v>
      </c>
      <c r="L57" s="80">
        <f t="shared" si="10"/>
        <v>1.36435</v>
      </c>
      <c r="M57" s="62"/>
      <c r="N57" s="207">
        <f t="shared" si="2"/>
        <v>0</v>
      </c>
      <c r="O57" s="83">
        <f t="shared" si="8"/>
        <v>0</v>
      </c>
    </row>
    <row r="58" spans="2:15" s="49" customFormat="1" ht="15">
      <c r="B58" s="54" t="s">
        <v>121</v>
      </c>
      <c r="C58" s="53"/>
      <c r="D58" s="76" t="s">
        <v>63</v>
      </c>
      <c r="E58" s="77"/>
      <c r="F58" s="104">
        <f>'Res (100kWh)'!F58</f>
        <v>0</v>
      </c>
      <c r="G58" s="468">
        <f>G54</f>
        <v>1049.5</v>
      </c>
      <c r="H58" s="105">
        <f t="shared" si="9"/>
        <v>0</v>
      </c>
      <c r="I58" s="88"/>
      <c r="J58" s="432">
        <f>'Res (100kWh)'!J58</f>
        <v>0.0011</v>
      </c>
      <c r="K58" s="469">
        <f>K54</f>
        <v>1049.5</v>
      </c>
      <c r="L58" s="80">
        <f t="shared" si="10"/>
        <v>1.15445</v>
      </c>
      <c r="M58" s="62"/>
      <c r="N58" s="207">
        <f t="shared" si="2"/>
        <v>1.15445</v>
      </c>
      <c r="O58" s="83">
        <f t="shared" si="8"/>
      </c>
    </row>
    <row r="59" spans="2:15" s="49" customFormat="1" ht="15">
      <c r="B59" s="53" t="s">
        <v>35</v>
      </c>
      <c r="C59" s="53"/>
      <c r="D59" s="76" t="s">
        <v>62</v>
      </c>
      <c r="E59" s="77"/>
      <c r="F59" s="369">
        <f>'Res (100kWh)'!F59</f>
        <v>0.25</v>
      </c>
      <c r="G59" s="79">
        <v>1</v>
      </c>
      <c r="H59" s="105">
        <f t="shared" si="9"/>
        <v>0.25</v>
      </c>
      <c r="I59" s="88"/>
      <c r="J59" s="370">
        <f>'Res (100kWh)'!J59</f>
        <v>0.25</v>
      </c>
      <c r="K59" s="81">
        <v>1</v>
      </c>
      <c r="L59" s="80">
        <f t="shared" si="10"/>
        <v>0.25</v>
      </c>
      <c r="M59" s="62"/>
      <c r="N59" s="207">
        <f t="shared" si="2"/>
        <v>0</v>
      </c>
      <c r="O59" s="83">
        <f t="shared" si="8"/>
        <v>0</v>
      </c>
    </row>
    <row r="60" spans="2:15" s="49" customFormat="1" ht="15">
      <c r="B60" s="53" t="s">
        <v>36</v>
      </c>
      <c r="C60" s="53"/>
      <c r="D60" s="76" t="s">
        <v>63</v>
      </c>
      <c r="E60" s="77"/>
      <c r="F60" s="104">
        <f>'Res (100kWh)'!F60</f>
        <v>0.007</v>
      </c>
      <c r="G60" s="112">
        <f>F18</f>
        <v>1000</v>
      </c>
      <c r="H60" s="80">
        <f t="shared" si="9"/>
        <v>7</v>
      </c>
      <c r="I60" s="62"/>
      <c r="J60" s="103">
        <f>'Res (100kWh)'!J60</f>
        <v>0</v>
      </c>
      <c r="K60" s="113">
        <f>F18</f>
        <v>1000</v>
      </c>
      <c r="L60" s="80">
        <f t="shared" si="10"/>
        <v>0</v>
      </c>
      <c r="M60" s="62"/>
      <c r="N60" s="207">
        <f t="shared" si="2"/>
        <v>-7</v>
      </c>
      <c r="O60" s="83">
        <f t="shared" si="8"/>
        <v>-1</v>
      </c>
    </row>
    <row r="61" spans="2:19" s="49" customFormat="1" ht="15">
      <c r="B61" s="59" t="s">
        <v>37</v>
      </c>
      <c r="C61" s="53"/>
      <c r="D61" s="76" t="s">
        <v>63</v>
      </c>
      <c r="E61" s="77"/>
      <c r="F61" s="104">
        <f>'Res (100kWh)'!F61</f>
        <v>0.08</v>
      </c>
      <c r="G61" s="112">
        <f>0.64*$F$18</f>
        <v>640</v>
      </c>
      <c r="H61" s="80">
        <f t="shared" si="9"/>
        <v>51.2</v>
      </c>
      <c r="I61" s="62"/>
      <c r="J61" s="104">
        <f>'Res (100kWh)'!J61</f>
        <v>0.08</v>
      </c>
      <c r="K61" s="112">
        <f>G61</f>
        <v>640</v>
      </c>
      <c r="L61" s="80">
        <f t="shared" si="10"/>
        <v>51.2</v>
      </c>
      <c r="M61" s="62"/>
      <c r="N61" s="207">
        <f t="shared" si="2"/>
        <v>0</v>
      </c>
      <c r="O61" s="83">
        <f t="shared" si="8"/>
        <v>0</v>
      </c>
      <c r="S61" s="114"/>
    </row>
    <row r="62" spans="2:19" s="49" customFormat="1" ht="15">
      <c r="B62" s="59" t="s">
        <v>38</v>
      </c>
      <c r="C62" s="53"/>
      <c r="D62" s="76" t="s">
        <v>63</v>
      </c>
      <c r="E62" s="77"/>
      <c r="F62" s="104">
        <f>'Res (100kWh)'!F62</f>
        <v>0.122</v>
      </c>
      <c r="G62" s="112">
        <f>0.18*$F$18</f>
        <v>180</v>
      </c>
      <c r="H62" s="80">
        <f t="shared" si="9"/>
        <v>21.96</v>
      </c>
      <c r="I62" s="62"/>
      <c r="J62" s="104">
        <f>'Res (100kWh)'!J62</f>
        <v>0.122</v>
      </c>
      <c r="K62" s="112">
        <f>G62</f>
        <v>180</v>
      </c>
      <c r="L62" s="80">
        <f t="shared" si="10"/>
        <v>21.96</v>
      </c>
      <c r="M62" s="62"/>
      <c r="N62" s="207">
        <f t="shared" si="2"/>
        <v>0</v>
      </c>
      <c r="O62" s="83">
        <f t="shared" si="8"/>
        <v>0</v>
      </c>
      <c r="S62" s="114"/>
    </row>
    <row r="63" spans="2:19" s="49" customFormat="1" ht="15">
      <c r="B63" s="52" t="s">
        <v>39</v>
      </c>
      <c r="C63" s="53"/>
      <c r="D63" s="76" t="s">
        <v>63</v>
      </c>
      <c r="E63" s="77"/>
      <c r="F63" s="104">
        <f>'Res (100kWh)'!F63</f>
        <v>0.161</v>
      </c>
      <c r="G63" s="112">
        <f>0.18*$F$18</f>
        <v>180</v>
      </c>
      <c r="H63" s="80">
        <f t="shared" si="9"/>
        <v>28.98</v>
      </c>
      <c r="I63" s="62"/>
      <c r="J63" s="104">
        <f>'Res (100kWh)'!J63</f>
        <v>0.161</v>
      </c>
      <c r="K63" s="112">
        <f>G63</f>
        <v>180</v>
      </c>
      <c r="L63" s="80">
        <f t="shared" si="10"/>
        <v>28.98</v>
      </c>
      <c r="M63" s="62"/>
      <c r="N63" s="207">
        <f t="shared" si="2"/>
        <v>0</v>
      </c>
      <c r="O63" s="83">
        <f t="shared" si="8"/>
        <v>0</v>
      </c>
      <c r="S63" s="114"/>
    </row>
    <row r="64" spans="2:15" s="152" customFormat="1" ht="15">
      <c r="B64" s="64" t="s">
        <v>40</v>
      </c>
      <c r="C64" s="64"/>
      <c r="D64" s="148" t="s">
        <v>63</v>
      </c>
      <c r="E64" s="149"/>
      <c r="F64" s="104">
        <f>'Res (100kWh)'!F64</f>
        <v>0.094</v>
      </c>
      <c r="G64" s="150">
        <f>IF(AND($T$1=1,F18&gt;=600),600,IF(AND($T$1=1,AND(F18&lt;600,F18&gt;=0)),F18,IF(AND($T$1=2,F18&gt;=1000),1000,IF(AND($T$1=2,AND(F18&lt;1000,F18&gt;=0)),F18))))</f>
        <v>600</v>
      </c>
      <c r="H64" s="80">
        <f>G64*F64</f>
        <v>56.4</v>
      </c>
      <c r="I64" s="151"/>
      <c r="J64" s="104">
        <f>'Res (100kWh)'!J64</f>
        <v>0.094</v>
      </c>
      <c r="K64" s="150">
        <f>G64</f>
        <v>600</v>
      </c>
      <c r="L64" s="80">
        <f>K64*J64</f>
        <v>56.4</v>
      </c>
      <c r="M64" s="151"/>
      <c r="N64" s="207">
        <f t="shared" si="2"/>
        <v>0</v>
      </c>
      <c r="O64" s="83">
        <f t="shared" si="8"/>
        <v>0</v>
      </c>
    </row>
    <row r="65" spans="2:15" s="152" customFormat="1" ht="15.75" thickBot="1">
      <c r="B65" s="64" t="s">
        <v>41</v>
      </c>
      <c r="C65" s="64"/>
      <c r="D65" s="148" t="s">
        <v>63</v>
      </c>
      <c r="E65" s="149"/>
      <c r="F65" s="104">
        <f>'Res (100kWh)'!F65</f>
        <v>0.11</v>
      </c>
      <c r="G65" s="150">
        <f>IF(AND($T$1=1,F18&gt;=600),F18-600,IF(AND($T$1=1,AND(F18&lt;600,F18&gt;=0)),0,IF(AND($T$1=2,F18&gt;=1000),F18-1000,IF(AND($T$1=2,AND(F18&lt;1000,F18&gt;=0)),0))))</f>
        <v>400</v>
      </c>
      <c r="H65" s="80">
        <f>G65*F65</f>
        <v>44</v>
      </c>
      <c r="I65" s="151"/>
      <c r="J65" s="104">
        <f>'Res (100kWh)'!J65</f>
        <v>0.11</v>
      </c>
      <c r="K65" s="150">
        <f>G65</f>
        <v>400</v>
      </c>
      <c r="L65" s="80">
        <f>K65*J65</f>
        <v>44</v>
      </c>
      <c r="M65" s="151"/>
      <c r="N65" s="207">
        <f t="shared" si="2"/>
        <v>0</v>
      </c>
      <c r="O65" s="83">
        <f t="shared" si="8"/>
        <v>0</v>
      </c>
    </row>
    <row r="66" spans="2:15" s="49" customFormat="1" ht="8.25" customHeight="1" thickBot="1">
      <c r="B66" s="65"/>
      <c r="C66" s="74"/>
      <c r="D66" s="75"/>
      <c r="E66" s="74"/>
      <c r="F66" s="115"/>
      <c r="G66" s="116"/>
      <c r="H66" s="117"/>
      <c r="I66" s="118"/>
      <c r="J66" s="115"/>
      <c r="K66" s="119"/>
      <c r="L66" s="117"/>
      <c r="M66" s="118"/>
      <c r="N66" s="120"/>
      <c r="O66" s="121"/>
    </row>
    <row r="67" spans="2:19" s="49" customFormat="1" ht="15">
      <c r="B67" s="66" t="s">
        <v>42</v>
      </c>
      <c r="C67" s="53"/>
      <c r="D67" s="53"/>
      <c r="E67" s="53"/>
      <c r="F67" s="122"/>
      <c r="G67" s="123"/>
      <c r="H67" s="153">
        <f>SUM(H56:H63,H55)</f>
        <v>157.71973000000003</v>
      </c>
      <c r="I67" s="154"/>
      <c r="J67" s="155"/>
      <c r="K67" s="155"/>
      <c r="L67" s="156">
        <f>SUM(L56:L63,L55)</f>
        <v>162.91823</v>
      </c>
      <c r="M67" s="157"/>
      <c r="N67" s="208">
        <f>L67-H67</f>
        <v>5.198499999999967</v>
      </c>
      <c r="O67" s="158">
        <f>IF((H67)=0,"",(N67/H67))</f>
        <v>0.03296036583374804</v>
      </c>
      <c r="S67" s="114"/>
    </row>
    <row r="68" spans="2:19" s="49" customFormat="1" ht="15">
      <c r="B68" s="67" t="s">
        <v>43</v>
      </c>
      <c r="C68" s="53"/>
      <c r="D68" s="53"/>
      <c r="E68" s="53"/>
      <c r="F68" s="124">
        <v>0.13</v>
      </c>
      <c r="G68" s="125"/>
      <c r="H68" s="159">
        <f>H67*F68</f>
        <v>20.503564900000004</v>
      </c>
      <c r="I68" s="160"/>
      <c r="J68" s="161">
        <v>0.13</v>
      </c>
      <c r="K68" s="160"/>
      <c r="L68" s="162">
        <f>L67*J68</f>
        <v>21.1793699</v>
      </c>
      <c r="M68" s="163"/>
      <c r="N68" s="207">
        <f t="shared" si="2"/>
        <v>0.6758049999999969</v>
      </c>
      <c r="O68" s="164">
        <f t="shared" si="8"/>
        <v>0.0329603658337481</v>
      </c>
      <c r="S68" s="114"/>
    </row>
    <row r="69" spans="2:19" s="49" customFormat="1" ht="15">
      <c r="B69" s="68" t="s">
        <v>123</v>
      </c>
      <c r="C69" s="53"/>
      <c r="D69" s="53"/>
      <c r="E69" s="53"/>
      <c r="F69" s="126"/>
      <c r="G69" s="125"/>
      <c r="H69" s="159">
        <f>H67+H68</f>
        <v>178.22329490000004</v>
      </c>
      <c r="I69" s="160"/>
      <c r="J69" s="160"/>
      <c r="K69" s="160"/>
      <c r="L69" s="162">
        <f>L67+L68</f>
        <v>184.0975999</v>
      </c>
      <c r="M69" s="163"/>
      <c r="N69" s="207">
        <f t="shared" si="2"/>
        <v>5.874304999999964</v>
      </c>
      <c r="O69" s="164">
        <f t="shared" si="8"/>
        <v>0.03296036583374805</v>
      </c>
      <c r="S69" s="114"/>
    </row>
    <row r="70" spans="2:15" s="49" customFormat="1" ht="15.75" customHeight="1">
      <c r="B70" s="572" t="s">
        <v>124</v>
      </c>
      <c r="C70" s="572"/>
      <c r="D70" s="572"/>
      <c r="E70" s="53"/>
      <c r="F70" s="126"/>
      <c r="G70" s="125"/>
      <c r="H70" s="165">
        <f>ROUND(-H69*10%,2)</f>
        <v>-17.82</v>
      </c>
      <c r="I70" s="160"/>
      <c r="J70" s="160"/>
      <c r="K70" s="160"/>
      <c r="L70" s="166">
        <v>0</v>
      </c>
      <c r="M70" s="163"/>
      <c r="N70" s="207">
        <f t="shared" si="2"/>
        <v>17.82</v>
      </c>
      <c r="O70" s="167">
        <f t="shared" si="8"/>
        <v>-1</v>
      </c>
    </row>
    <row r="71" spans="2:15" s="49" customFormat="1" ht="15.75" thickBot="1">
      <c r="B71" s="573" t="s">
        <v>46</v>
      </c>
      <c r="C71" s="573"/>
      <c r="D71" s="573"/>
      <c r="E71" s="127"/>
      <c r="F71" s="128"/>
      <c r="G71" s="129"/>
      <c r="H71" s="168">
        <f>H69+H70</f>
        <v>160.40329490000005</v>
      </c>
      <c r="I71" s="169"/>
      <c r="J71" s="169"/>
      <c r="K71" s="169"/>
      <c r="L71" s="170">
        <f>L69+L70</f>
        <v>184.0975999</v>
      </c>
      <c r="M71" s="171"/>
      <c r="N71" s="209">
        <f t="shared" si="2"/>
        <v>23.694304999999957</v>
      </c>
      <c r="O71" s="172">
        <f t="shared" si="8"/>
        <v>0.14771707161484218</v>
      </c>
    </row>
    <row r="72" spans="2:15" s="152" customFormat="1" ht="8.25" customHeight="1" thickBot="1">
      <c r="B72" s="69"/>
      <c r="C72" s="173"/>
      <c r="D72" s="174"/>
      <c r="E72" s="173"/>
      <c r="F72" s="115"/>
      <c r="G72" s="175"/>
      <c r="H72" s="117"/>
      <c r="I72" s="176"/>
      <c r="J72" s="115"/>
      <c r="K72" s="177"/>
      <c r="L72" s="117"/>
      <c r="M72" s="176"/>
      <c r="N72" s="178"/>
      <c r="O72" s="121"/>
    </row>
    <row r="73" spans="2:15" s="152" customFormat="1" ht="15">
      <c r="B73" s="70" t="s">
        <v>47</v>
      </c>
      <c r="C73" s="64"/>
      <c r="D73" s="64"/>
      <c r="E73" s="64"/>
      <c r="F73" s="179"/>
      <c r="G73" s="180"/>
      <c r="H73" s="181">
        <f>SUM(H64:H65,H55,H56:H60)</f>
        <v>155.97973</v>
      </c>
      <c r="I73" s="182"/>
      <c r="J73" s="183"/>
      <c r="K73" s="183"/>
      <c r="L73" s="184">
        <f>SUM(L64:L65,L55,L56:L60)</f>
        <v>161.17822999999999</v>
      </c>
      <c r="M73" s="185"/>
      <c r="N73" s="208">
        <f>L73-H73</f>
        <v>5.198499999999996</v>
      </c>
      <c r="O73" s="158">
        <f>IF((H73)=0,"",(N73/H73))</f>
        <v>0.03332804845860418</v>
      </c>
    </row>
    <row r="74" spans="2:15" s="152" customFormat="1" ht="15">
      <c r="B74" s="71" t="s">
        <v>43</v>
      </c>
      <c r="C74" s="64"/>
      <c r="D74" s="64"/>
      <c r="E74" s="64"/>
      <c r="F74" s="186">
        <v>0.13</v>
      </c>
      <c r="G74" s="180"/>
      <c r="H74" s="187">
        <f>H73*F74</f>
        <v>20.2773649</v>
      </c>
      <c r="I74" s="188"/>
      <c r="J74" s="186">
        <v>0.13</v>
      </c>
      <c r="K74" s="189"/>
      <c r="L74" s="190">
        <f>L73*J74</f>
        <v>20.9531699</v>
      </c>
      <c r="M74" s="191"/>
      <c r="N74" s="207">
        <f>L74-H74</f>
        <v>0.6758050000000004</v>
      </c>
      <c r="O74" s="164">
        <f>IF((H74)=0,"",(N74/H74))</f>
        <v>0.03332804845860423</v>
      </c>
    </row>
    <row r="75" spans="2:15" s="152" customFormat="1" ht="15">
      <c r="B75" s="72" t="s">
        <v>123</v>
      </c>
      <c r="C75" s="64"/>
      <c r="D75" s="64"/>
      <c r="E75" s="64"/>
      <c r="F75" s="192"/>
      <c r="G75" s="191"/>
      <c r="H75" s="187">
        <f>H73+H74</f>
        <v>176.2570949</v>
      </c>
      <c r="I75" s="188"/>
      <c r="J75" s="188"/>
      <c r="K75" s="188"/>
      <c r="L75" s="190">
        <f>L73+L74</f>
        <v>182.1313999</v>
      </c>
      <c r="M75" s="191"/>
      <c r="N75" s="207">
        <f>L75-H75</f>
        <v>5.874304999999993</v>
      </c>
      <c r="O75" s="164">
        <f>IF((H75)=0,"",(N75/H75))</f>
        <v>0.03332804845860416</v>
      </c>
    </row>
    <row r="76" spans="2:15" s="152" customFormat="1" ht="15.75" customHeight="1">
      <c r="B76" s="574" t="s">
        <v>124</v>
      </c>
      <c r="C76" s="574"/>
      <c r="D76" s="574"/>
      <c r="E76" s="64"/>
      <c r="F76" s="192"/>
      <c r="G76" s="191"/>
      <c r="H76" s="193">
        <f>ROUND(-H75*10%,2)</f>
        <v>-17.63</v>
      </c>
      <c r="I76" s="188"/>
      <c r="J76" s="188"/>
      <c r="K76" s="188"/>
      <c r="L76" s="194">
        <v>0</v>
      </c>
      <c r="M76" s="191"/>
      <c r="N76" s="207">
        <f>L76-H76</f>
        <v>17.63</v>
      </c>
      <c r="O76" s="167">
        <f>IF((H76)=0,"",(N76/H76))</f>
        <v>-1</v>
      </c>
    </row>
    <row r="77" spans="2:15" s="152" customFormat="1" ht="15.75" thickBot="1">
      <c r="B77" s="565" t="s">
        <v>48</v>
      </c>
      <c r="C77" s="565"/>
      <c r="D77" s="565"/>
      <c r="E77" s="195"/>
      <c r="F77" s="196"/>
      <c r="G77" s="197"/>
      <c r="H77" s="198">
        <f>SUM(H75:H76)</f>
        <v>158.6270949</v>
      </c>
      <c r="I77" s="199"/>
      <c r="J77" s="199"/>
      <c r="K77" s="199"/>
      <c r="L77" s="200">
        <f>SUM(L75:L76)</f>
        <v>182.1313999</v>
      </c>
      <c r="M77" s="201"/>
      <c r="N77" s="209">
        <f>L77-H77</f>
        <v>23.504304999999988</v>
      </c>
      <c r="O77" s="202">
        <f>IF((H77)=0,"",(N77/H77))</f>
        <v>0.1481733307592711</v>
      </c>
    </row>
    <row r="78" spans="2:15" s="152" customFormat="1" ht="8.25" customHeight="1" thickBot="1">
      <c r="B78" s="69"/>
      <c r="C78" s="173"/>
      <c r="D78" s="174"/>
      <c r="E78" s="173"/>
      <c r="F78" s="130"/>
      <c r="G78" s="203"/>
      <c r="H78" s="131"/>
      <c r="I78" s="204"/>
      <c r="J78" s="130"/>
      <c r="K78" s="175"/>
      <c r="L78" s="132"/>
      <c r="M78" s="176"/>
      <c r="N78" s="205"/>
      <c r="O78" s="121"/>
    </row>
    <row r="79" s="49" customFormat="1" ht="10.5" customHeight="1">
      <c r="L79" s="114"/>
    </row>
    <row r="80" spans="2:10" s="49" customFormat="1" ht="15">
      <c r="B80" s="73" t="s">
        <v>49</v>
      </c>
      <c r="F80" s="379">
        <f>'Res (100kWh)'!F80</f>
        <v>0.0495</v>
      </c>
      <c r="G80" s="99"/>
      <c r="H80" s="99"/>
      <c r="I80" s="99"/>
      <c r="J80" s="379">
        <f>'Res (100kWh)'!J80</f>
        <v>0.0495</v>
      </c>
    </row>
    <row r="81" s="49" customFormat="1" ht="10.5" customHeight="1"/>
    <row r="82" spans="2:15" s="49" customFormat="1" ht="15">
      <c r="B82" s="423" t="s">
        <v>140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99" customFormat="1" ht="15">
      <c r="B83" s="423" t="s">
        <v>141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49" customFormat="1" ht="17.25">
      <c r="A84" s="206" t="s">
        <v>125</v>
      </c>
    </row>
    <row r="85" s="49" customFormat="1" ht="10.5" customHeight="1"/>
    <row r="86" s="49" customFormat="1" ht="15">
      <c r="A86" s="49" t="s">
        <v>51</v>
      </c>
    </row>
    <row r="87" s="49" customFormat="1" ht="15">
      <c r="A87" s="49" t="s">
        <v>52</v>
      </c>
    </row>
    <row r="88" s="49" customFormat="1" ht="15"/>
    <row r="89" s="49" customFormat="1" ht="15">
      <c r="A89" s="52" t="s">
        <v>53</v>
      </c>
    </row>
    <row r="90" s="49" customFormat="1" ht="15">
      <c r="A90" s="52" t="s">
        <v>54</v>
      </c>
    </row>
    <row r="91" s="49" customFormat="1" ht="15"/>
    <row r="92" s="49" customFormat="1" ht="15">
      <c r="A92" s="49" t="s">
        <v>55</v>
      </c>
    </row>
    <row r="93" s="49" customFormat="1" ht="15">
      <c r="A93" s="49" t="s">
        <v>56</v>
      </c>
    </row>
    <row r="94" s="49" customFormat="1" ht="15">
      <c r="A94" s="49" t="s">
        <v>57</v>
      </c>
    </row>
    <row r="95" s="49" customFormat="1" ht="15">
      <c r="A95" s="49" t="s">
        <v>58</v>
      </c>
    </row>
    <row r="96" s="49" customFormat="1" ht="15">
      <c r="A96" s="49" t="s">
        <v>59</v>
      </c>
    </row>
    <row r="97" s="49" customFormat="1" ht="15"/>
    <row r="98" spans="1:2" s="49" customFormat="1" ht="15">
      <c r="A98" s="134"/>
      <c r="B98" s="49" t="s">
        <v>60</v>
      </c>
    </row>
    <row r="99" s="49" customFormat="1" ht="15"/>
    <row r="100" s="49" customFormat="1" ht="15"/>
    <row r="101" s="49" customFormat="1" ht="15"/>
    <row r="102" s="49" customFormat="1" ht="15"/>
  </sheetData>
  <sheetProtection/>
  <mergeCells count="21">
    <mergeCell ref="N1:O1"/>
    <mergeCell ref="N2:O2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42:E51 E66 E23:E40 E56:E63">
      <formula1>'Res (1,000kWh)'!#REF!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'Res (1,000kWh)'!#REF!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zoomScalePageLayoutView="0" workbookViewId="0" topLeftCell="A1">
      <selection activeCell="N4" sqref="N4:O4"/>
    </sheetView>
  </sheetViews>
  <sheetFormatPr defaultColWidth="9.140625" defaultRowHeight="15"/>
  <cols>
    <col min="1" max="1" width="2.140625" style="8" customWidth="1"/>
    <col min="2" max="2" width="58.2812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5742187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23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81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0"/>
    </row>
    <row r="8" spans="14:16" s="2" customFormat="1" ht="14.2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1500</v>
      </c>
      <c r="G18" s="14" t="s">
        <v>9</v>
      </c>
    </row>
    <row r="19" ht="15">
      <c r="B19" s="13"/>
    </row>
    <row r="20" spans="2:15" s="210" customFormat="1" ht="15">
      <c r="B20" s="330"/>
      <c r="D20" s="331"/>
      <c r="E20" s="331"/>
      <c r="F20" s="596" t="s">
        <v>10</v>
      </c>
      <c r="G20" s="597"/>
      <c r="H20" s="598"/>
      <c r="J20" s="596" t="s">
        <v>11</v>
      </c>
      <c r="K20" s="597"/>
      <c r="L20" s="598"/>
      <c r="N20" s="596" t="s">
        <v>12</v>
      </c>
      <c r="O20" s="598"/>
    </row>
    <row r="21" spans="2:15" s="210" customFormat="1" ht="15">
      <c r="B21" s="330"/>
      <c r="D21" s="587" t="s">
        <v>13</v>
      </c>
      <c r="E21" s="332"/>
      <c r="F21" s="333" t="s">
        <v>14</v>
      </c>
      <c r="G21" s="333" t="s">
        <v>15</v>
      </c>
      <c r="H21" s="334" t="s">
        <v>16</v>
      </c>
      <c r="J21" s="333" t="s">
        <v>14</v>
      </c>
      <c r="K21" s="335" t="s">
        <v>15</v>
      </c>
      <c r="L21" s="334" t="s">
        <v>16</v>
      </c>
      <c r="N21" s="589" t="s">
        <v>17</v>
      </c>
      <c r="O21" s="591" t="s">
        <v>18</v>
      </c>
    </row>
    <row r="22" spans="2:15" s="210" customFormat="1" ht="15">
      <c r="B22" s="330"/>
      <c r="D22" s="588"/>
      <c r="E22" s="332"/>
      <c r="F22" s="336" t="s">
        <v>19</v>
      </c>
      <c r="G22" s="336"/>
      <c r="H22" s="337" t="s">
        <v>19</v>
      </c>
      <c r="J22" s="336" t="s">
        <v>19</v>
      </c>
      <c r="K22" s="337"/>
      <c r="L22" s="337" t="s">
        <v>19</v>
      </c>
      <c r="N22" s="590"/>
      <c r="O22" s="592"/>
    </row>
    <row r="23" spans="2:15" s="210" customFormat="1" ht="15">
      <c r="B23" s="53" t="s">
        <v>20</v>
      </c>
      <c r="C23" s="53"/>
      <c r="D23" s="76" t="s">
        <v>62</v>
      </c>
      <c r="E23" s="213"/>
      <c r="F23" s="369">
        <f>'Res (100kWh)'!F23</f>
        <v>11.22</v>
      </c>
      <c r="G23" s="215">
        <v>1</v>
      </c>
      <c r="H23" s="216">
        <f>G23*F23</f>
        <v>11.22</v>
      </c>
      <c r="I23" s="217"/>
      <c r="J23" s="430">
        <f>'Res (100kWh)'!J23</f>
        <v>14.71</v>
      </c>
      <c r="K23" s="218">
        <v>1</v>
      </c>
      <c r="L23" s="216">
        <f>K23*J23</f>
        <v>14.71</v>
      </c>
      <c r="M23" s="217"/>
      <c r="N23" s="219">
        <f>L23-H23</f>
        <v>3.49</v>
      </c>
      <c r="O23" s="220">
        <f>IF((H23)=0,"",(N23/H23))</f>
        <v>0.31105169340463457</v>
      </c>
    </row>
    <row r="24" spans="2:15" s="210" customFormat="1" ht="30">
      <c r="B24" s="375" t="s">
        <v>64</v>
      </c>
      <c r="C24" s="53"/>
      <c r="D24" s="76" t="s">
        <v>62</v>
      </c>
      <c r="E24" s="213"/>
      <c r="F24" s="377">
        <f>'Res (100kWh)'!F24</f>
        <v>1.75</v>
      </c>
      <c r="G24" s="215">
        <v>1</v>
      </c>
      <c r="H24" s="216">
        <f>G24*F24</f>
        <v>1.75</v>
      </c>
      <c r="I24" s="217"/>
      <c r="J24" s="370">
        <f>'Res (100kWh)'!J24</f>
        <v>1.75</v>
      </c>
      <c r="K24" s="218">
        <v>1</v>
      </c>
      <c r="L24" s="216">
        <f>K24*J24</f>
        <v>1.75</v>
      </c>
      <c r="M24" s="217"/>
      <c r="N24" s="219">
        <f>L24-H24</f>
        <v>0</v>
      </c>
      <c r="O24" s="220">
        <f>IF((H24)=0,"",(N24/H24))</f>
        <v>0</v>
      </c>
    </row>
    <row r="25" spans="2:15" s="210" customFormat="1" ht="15">
      <c r="B25" s="376" t="s">
        <v>66</v>
      </c>
      <c r="C25" s="53"/>
      <c r="D25" s="76" t="s">
        <v>62</v>
      </c>
      <c r="E25" s="213"/>
      <c r="F25" s="370">
        <f>'Res (100kWh)'!F25</f>
        <v>0</v>
      </c>
      <c r="G25" s="215">
        <v>1</v>
      </c>
      <c r="H25" s="216">
        <f>G25*F25</f>
        <v>0</v>
      </c>
      <c r="I25" s="217"/>
      <c r="J25" s="467">
        <f>'Res (100kWh)'!J25</f>
        <v>-0.04</v>
      </c>
      <c r="K25" s="218">
        <v>1</v>
      </c>
      <c r="L25" s="216">
        <f>K25*J25</f>
        <v>-0.04</v>
      </c>
      <c r="M25" s="217"/>
      <c r="N25" s="219">
        <f>L25-H25</f>
        <v>-0.04</v>
      </c>
      <c r="O25" s="220">
        <f>IF((H25)=0,"",(N25/H25))</f>
      </c>
    </row>
    <row r="26" spans="2:15" s="210" customFormat="1" ht="15" hidden="1">
      <c r="B26" s="375"/>
      <c r="C26" s="53"/>
      <c r="D26" s="86" t="s">
        <v>62</v>
      </c>
      <c r="E26" s="227"/>
      <c r="F26" s="370">
        <f>'Res (100kWh)'!F26</f>
        <v>0</v>
      </c>
      <c r="G26" s="215">
        <v>1</v>
      </c>
      <c r="H26" s="216">
        <f aca="true" t="shared" si="0" ref="H26:H40">G26*F26</f>
        <v>0</v>
      </c>
      <c r="I26" s="217"/>
      <c r="J26" s="370">
        <f>'Res (100kWh)'!J26</f>
        <v>0</v>
      </c>
      <c r="K26" s="218">
        <v>1</v>
      </c>
      <c r="L26" s="216">
        <f aca="true" t="shared" si="1" ref="L26:L40">K26*J26</f>
        <v>0</v>
      </c>
      <c r="M26" s="217"/>
      <c r="N26" s="219">
        <f aca="true" t="shared" si="2" ref="N26:N71">L26-H26</f>
        <v>0</v>
      </c>
      <c r="O26" s="220">
        <f aca="true" t="shared" si="3" ref="O26:O50">IF((H26)=0,"",(N26/H26))</f>
      </c>
    </row>
    <row r="27" spans="2:15" s="210" customFormat="1" ht="15" hidden="1">
      <c r="B27" s="375" t="s">
        <v>65</v>
      </c>
      <c r="C27" s="53"/>
      <c r="D27" s="76" t="s">
        <v>62</v>
      </c>
      <c r="E27" s="213"/>
      <c r="F27" s="104">
        <f>'Res (100kWh)'!F27</f>
        <v>0</v>
      </c>
      <c r="G27" s="215">
        <v>1</v>
      </c>
      <c r="H27" s="216">
        <f t="shared" si="0"/>
        <v>0</v>
      </c>
      <c r="I27" s="217"/>
      <c r="J27" s="370">
        <f>'Res (100kWh)'!J27</f>
        <v>0</v>
      </c>
      <c r="K27" s="218">
        <v>1</v>
      </c>
      <c r="L27" s="216">
        <f t="shared" si="1"/>
        <v>0</v>
      </c>
      <c r="M27" s="217"/>
      <c r="N27" s="219">
        <f t="shared" si="2"/>
        <v>0</v>
      </c>
      <c r="O27" s="220">
        <f t="shared" si="3"/>
      </c>
    </row>
    <row r="28" spans="2:15" s="210" customFormat="1" ht="15" hidden="1">
      <c r="B28" s="376"/>
      <c r="C28" s="53"/>
      <c r="D28" s="76" t="s">
        <v>62</v>
      </c>
      <c r="E28" s="213"/>
      <c r="F28" s="104">
        <f>'Res (100kWh)'!F28</f>
        <v>0</v>
      </c>
      <c r="G28" s="215">
        <v>1</v>
      </c>
      <c r="H28" s="216">
        <f t="shared" si="0"/>
        <v>0</v>
      </c>
      <c r="I28" s="217"/>
      <c r="J28" s="370">
        <f>'Res (100kWh)'!J28</f>
        <v>0</v>
      </c>
      <c r="K28" s="215">
        <v>1</v>
      </c>
      <c r="L28" s="216">
        <f t="shared" si="1"/>
        <v>0</v>
      </c>
      <c r="M28" s="217"/>
      <c r="N28" s="219">
        <f t="shared" si="2"/>
        <v>0</v>
      </c>
      <c r="O28" s="220">
        <f t="shared" si="3"/>
      </c>
    </row>
    <row r="29" spans="2:15" s="210" customFormat="1" ht="15.75" customHeight="1">
      <c r="B29" s="53" t="s">
        <v>108</v>
      </c>
      <c r="C29" s="53"/>
      <c r="D29" s="76" t="s">
        <v>63</v>
      </c>
      <c r="E29" s="213"/>
      <c r="F29" s="378">
        <f>'Res (100kWh)'!F29</f>
        <v>0</v>
      </c>
      <c r="G29" s="215">
        <f>$F$18</f>
        <v>1500</v>
      </c>
      <c r="H29" s="216">
        <f t="shared" si="0"/>
        <v>0</v>
      </c>
      <c r="I29" s="217"/>
      <c r="J29" s="432">
        <f>'Res (100kWh)'!J29</f>
        <v>0.0007</v>
      </c>
      <c r="K29" s="215">
        <f>$F$18</f>
        <v>1500</v>
      </c>
      <c r="L29" s="216">
        <f t="shared" si="1"/>
        <v>1.05</v>
      </c>
      <c r="M29" s="217"/>
      <c r="N29" s="219">
        <f t="shared" si="2"/>
        <v>1.05</v>
      </c>
      <c r="O29" s="220">
        <f t="shared" si="3"/>
      </c>
    </row>
    <row r="30" spans="2:15" s="210" customFormat="1" ht="15" hidden="1">
      <c r="B30" s="56" t="s">
        <v>92</v>
      </c>
      <c r="C30" s="53"/>
      <c r="D30" s="76" t="s">
        <v>63</v>
      </c>
      <c r="E30" s="213"/>
      <c r="F30" s="104">
        <f>'Res (100kWh)'!F30</f>
        <v>0</v>
      </c>
      <c r="G30" s="215">
        <f>$F$18</f>
        <v>1500</v>
      </c>
      <c r="H30" s="216">
        <f>G30*F30</f>
        <v>0</v>
      </c>
      <c r="I30" s="217"/>
      <c r="J30" s="432">
        <f>'Res (100kWh)'!J30</f>
        <v>0</v>
      </c>
      <c r="K30" s="215">
        <f>$F$18</f>
        <v>1500</v>
      </c>
      <c r="L30" s="216">
        <f>K30*J30</f>
        <v>0</v>
      </c>
      <c r="M30" s="217"/>
      <c r="N30" s="219">
        <f>L30-H30</f>
        <v>0</v>
      </c>
      <c r="O30" s="220">
        <f>IF((H30)=0,"",(N30/H30))</f>
      </c>
    </row>
    <row r="31" spans="2:15" s="210" customFormat="1" ht="15">
      <c r="B31" s="53" t="s">
        <v>21</v>
      </c>
      <c r="C31" s="53"/>
      <c r="D31" s="76" t="s">
        <v>63</v>
      </c>
      <c r="E31" s="213"/>
      <c r="F31" s="104">
        <f>'Res (100kWh)'!F31</f>
        <v>0.0211</v>
      </c>
      <c r="G31" s="215">
        <f>$F$18</f>
        <v>1500</v>
      </c>
      <c r="H31" s="216">
        <f t="shared" si="0"/>
        <v>31.650000000000002</v>
      </c>
      <c r="I31" s="217"/>
      <c r="J31" s="431">
        <f>'Res (100kWh)'!J31</f>
        <v>0.0169</v>
      </c>
      <c r="K31" s="215">
        <f>$F$18</f>
        <v>1500</v>
      </c>
      <c r="L31" s="216">
        <f t="shared" si="1"/>
        <v>25.349999999999998</v>
      </c>
      <c r="M31" s="217"/>
      <c r="N31" s="219">
        <f t="shared" si="2"/>
        <v>-6.300000000000004</v>
      </c>
      <c r="O31" s="220">
        <f t="shared" si="3"/>
        <v>-0.1990521327014219</v>
      </c>
    </row>
    <row r="32" spans="2:15" s="210" customFormat="1" ht="15" hidden="1">
      <c r="B32" s="53" t="s">
        <v>22</v>
      </c>
      <c r="C32" s="53"/>
      <c r="D32" s="76"/>
      <c r="E32" s="213"/>
      <c r="F32" s="89">
        <f>'Res (100kWh)'!F32</f>
        <v>0</v>
      </c>
      <c r="G32" s="215">
        <f>$F$18</f>
        <v>1500</v>
      </c>
      <c r="H32" s="216">
        <f t="shared" si="0"/>
        <v>0</v>
      </c>
      <c r="I32" s="217"/>
      <c r="J32" s="103">
        <f>'Res (100kWh)'!J32</f>
        <v>0</v>
      </c>
      <c r="K32" s="215">
        <f aca="true" t="shared" si="4" ref="K32:K40">$F$18</f>
        <v>1500</v>
      </c>
      <c r="L32" s="216">
        <f t="shared" si="1"/>
        <v>0</v>
      </c>
      <c r="M32" s="217"/>
      <c r="N32" s="230">
        <f t="shared" si="2"/>
        <v>0</v>
      </c>
      <c r="O32" s="220">
        <f t="shared" si="3"/>
      </c>
    </row>
    <row r="33" spans="2:15" s="210" customFormat="1" ht="15" hidden="1">
      <c r="B33" s="53" t="s">
        <v>108</v>
      </c>
      <c r="C33" s="53"/>
      <c r="D33" s="76"/>
      <c r="E33" s="213"/>
      <c r="F33" s="89">
        <f>'Res (100kWh)'!F33</f>
        <v>0</v>
      </c>
      <c r="G33" s="215">
        <f>$F$18</f>
        <v>1500</v>
      </c>
      <c r="H33" s="216">
        <f t="shared" si="0"/>
        <v>0</v>
      </c>
      <c r="I33" s="217"/>
      <c r="J33" s="103">
        <f>'Res (100kWh)'!J33</f>
        <v>0</v>
      </c>
      <c r="K33" s="215">
        <f t="shared" si="4"/>
        <v>1500</v>
      </c>
      <c r="L33" s="216">
        <f t="shared" si="1"/>
        <v>0</v>
      </c>
      <c r="M33" s="217"/>
      <c r="N33" s="230">
        <f t="shared" si="2"/>
        <v>0</v>
      </c>
      <c r="O33" s="220">
        <f t="shared" si="3"/>
      </c>
    </row>
    <row r="34" spans="2:15" s="210" customFormat="1" ht="15" hidden="1">
      <c r="B34" s="57"/>
      <c r="C34" s="53"/>
      <c r="D34" s="76"/>
      <c r="E34" s="213"/>
      <c r="F34" s="89">
        <f>'Res (100kWh)'!F34</f>
        <v>0</v>
      </c>
      <c r="G34" s="215">
        <f aca="true" t="shared" si="5" ref="G34:G40">$F$18</f>
        <v>1500</v>
      </c>
      <c r="H34" s="216">
        <f t="shared" si="0"/>
        <v>0</v>
      </c>
      <c r="I34" s="217"/>
      <c r="J34" s="103">
        <f>'Res (100kWh)'!J34</f>
        <v>0</v>
      </c>
      <c r="K34" s="215">
        <f t="shared" si="4"/>
        <v>1500</v>
      </c>
      <c r="L34" s="216">
        <f t="shared" si="1"/>
        <v>0</v>
      </c>
      <c r="M34" s="217"/>
      <c r="N34" s="230">
        <f t="shared" si="2"/>
        <v>0</v>
      </c>
      <c r="O34" s="220">
        <f t="shared" si="3"/>
      </c>
    </row>
    <row r="35" spans="2:15" s="210" customFormat="1" ht="15" hidden="1">
      <c r="B35" s="57"/>
      <c r="C35" s="53"/>
      <c r="D35" s="76"/>
      <c r="E35" s="213"/>
      <c r="F35" s="89">
        <f>'Res (100kWh)'!F35</f>
        <v>0</v>
      </c>
      <c r="G35" s="215">
        <f t="shared" si="5"/>
        <v>1500</v>
      </c>
      <c r="H35" s="216">
        <f t="shared" si="0"/>
        <v>0</v>
      </c>
      <c r="I35" s="217"/>
      <c r="J35" s="103">
        <f>'Res (100kWh)'!J35</f>
        <v>0</v>
      </c>
      <c r="K35" s="215">
        <f t="shared" si="4"/>
        <v>1500</v>
      </c>
      <c r="L35" s="216">
        <f t="shared" si="1"/>
        <v>0</v>
      </c>
      <c r="M35" s="217"/>
      <c r="N35" s="230">
        <f t="shared" si="2"/>
        <v>0</v>
      </c>
      <c r="O35" s="220">
        <f t="shared" si="3"/>
      </c>
    </row>
    <row r="36" spans="2:15" s="210" customFormat="1" ht="15" hidden="1">
      <c r="B36" s="57"/>
      <c r="C36" s="53"/>
      <c r="D36" s="76"/>
      <c r="E36" s="213"/>
      <c r="F36" s="89">
        <f>'Res (100kWh)'!F36</f>
        <v>0</v>
      </c>
      <c r="G36" s="215">
        <f t="shared" si="5"/>
        <v>1500</v>
      </c>
      <c r="H36" s="216">
        <f t="shared" si="0"/>
        <v>0</v>
      </c>
      <c r="I36" s="217"/>
      <c r="J36" s="103">
        <f>'Res (100kWh)'!J36</f>
        <v>0</v>
      </c>
      <c r="K36" s="215">
        <f t="shared" si="4"/>
        <v>1500</v>
      </c>
      <c r="L36" s="216">
        <f t="shared" si="1"/>
        <v>0</v>
      </c>
      <c r="M36" s="217"/>
      <c r="N36" s="230">
        <f t="shared" si="2"/>
        <v>0</v>
      </c>
      <c r="O36" s="220">
        <f t="shared" si="3"/>
      </c>
    </row>
    <row r="37" spans="2:15" s="210" customFormat="1" ht="15" hidden="1">
      <c r="B37" s="57"/>
      <c r="C37" s="53"/>
      <c r="D37" s="76"/>
      <c r="E37" s="213"/>
      <c r="F37" s="89">
        <f>'Res (100kWh)'!F37</f>
        <v>0</v>
      </c>
      <c r="G37" s="215">
        <f t="shared" si="5"/>
        <v>1500</v>
      </c>
      <c r="H37" s="216">
        <f t="shared" si="0"/>
        <v>0</v>
      </c>
      <c r="I37" s="217"/>
      <c r="J37" s="103">
        <f>'Res (100kWh)'!J37</f>
        <v>0</v>
      </c>
      <c r="K37" s="215">
        <f t="shared" si="4"/>
        <v>1500</v>
      </c>
      <c r="L37" s="216">
        <f t="shared" si="1"/>
        <v>0</v>
      </c>
      <c r="M37" s="217"/>
      <c r="N37" s="230">
        <f t="shared" si="2"/>
        <v>0</v>
      </c>
      <c r="O37" s="220">
        <f t="shared" si="3"/>
      </c>
    </row>
    <row r="38" spans="2:15" s="210" customFormat="1" ht="15" hidden="1">
      <c r="B38" s="57"/>
      <c r="C38" s="53"/>
      <c r="D38" s="76"/>
      <c r="E38" s="213"/>
      <c r="F38" s="89">
        <f>'Res (100kWh)'!F38</f>
        <v>0</v>
      </c>
      <c r="G38" s="215">
        <f t="shared" si="5"/>
        <v>1500</v>
      </c>
      <c r="H38" s="216">
        <f t="shared" si="0"/>
        <v>0</v>
      </c>
      <c r="I38" s="217"/>
      <c r="J38" s="103">
        <f>'Res (100kWh)'!J38</f>
        <v>0</v>
      </c>
      <c r="K38" s="215">
        <f t="shared" si="4"/>
        <v>1500</v>
      </c>
      <c r="L38" s="216">
        <f t="shared" si="1"/>
        <v>0</v>
      </c>
      <c r="M38" s="217"/>
      <c r="N38" s="230">
        <f t="shared" si="2"/>
        <v>0</v>
      </c>
      <c r="O38" s="220">
        <f t="shared" si="3"/>
      </c>
    </row>
    <row r="39" spans="2:15" s="210" customFormat="1" ht="15" hidden="1">
      <c r="B39" s="57"/>
      <c r="C39" s="53"/>
      <c r="D39" s="76"/>
      <c r="E39" s="213"/>
      <c r="F39" s="89">
        <f>'Res (100kWh)'!F39</f>
        <v>0</v>
      </c>
      <c r="G39" s="215">
        <f t="shared" si="5"/>
        <v>1500</v>
      </c>
      <c r="H39" s="216">
        <f t="shared" si="0"/>
        <v>0</v>
      </c>
      <c r="I39" s="217"/>
      <c r="J39" s="103">
        <f>'Res (100kWh)'!J39</f>
        <v>0</v>
      </c>
      <c r="K39" s="215">
        <f t="shared" si="4"/>
        <v>1500</v>
      </c>
      <c r="L39" s="216">
        <f t="shared" si="1"/>
        <v>0</v>
      </c>
      <c r="M39" s="217"/>
      <c r="N39" s="230">
        <f t="shared" si="2"/>
        <v>0</v>
      </c>
      <c r="O39" s="220">
        <f t="shared" si="3"/>
      </c>
    </row>
    <row r="40" spans="2:15" s="210" customFormat="1" ht="15" hidden="1">
      <c r="B40" s="57"/>
      <c r="C40" s="53"/>
      <c r="D40" s="76"/>
      <c r="E40" s="213"/>
      <c r="F40" s="89">
        <f>'Res (100kWh)'!F40</f>
        <v>0</v>
      </c>
      <c r="G40" s="215">
        <f t="shared" si="5"/>
        <v>1500</v>
      </c>
      <c r="H40" s="216">
        <f t="shared" si="0"/>
        <v>0</v>
      </c>
      <c r="I40" s="217"/>
      <c r="J40" s="103">
        <f>'Res (100kWh)'!J40</f>
        <v>0</v>
      </c>
      <c r="K40" s="215">
        <f t="shared" si="4"/>
        <v>1500</v>
      </c>
      <c r="L40" s="216">
        <f t="shared" si="1"/>
        <v>0</v>
      </c>
      <c r="M40" s="217"/>
      <c r="N40" s="230">
        <f t="shared" si="2"/>
        <v>0</v>
      </c>
      <c r="O40" s="220">
        <f t="shared" si="3"/>
      </c>
    </row>
    <row r="41" spans="2:15" s="241" customFormat="1" ht="15">
      <c r="B41" s="58" t="s">
        <v>24</v>
      </c>
      <c r="C41" s="91"/>
      <c r="D41" s="92"/>
      <c r="E41" s="232"/>
      <c r="F41" s="93"/>
      <c r="G41" s="235"/>
      <c r="H41" s="236">
        <f>SUM(H23:H40)</f>
        <v>44.620000000000005</v>
      </c>
      <c r="I41" s="237"/>
      <c r="J41" s="371"/>
      <c r="K41" s="239"/>
      <c r="L41" s="236">
        <f>SUM(L23:L40)</f>
        <v>42.82</v>
      </c>
      <c r="M41" s="237"/>
      <c r="N41" s="240">
        <f t="shared" si="2"/>
        <v>-1.8000000000000043</v>
      </c>
      <c r="O41" s="340">
        <f t="shared" si="3"/>
        <v>-0.0403406544150606</v>
      </c>
    </row>
    <row r="42" spans="2:15" s="210" customFormat="1" ht="15" hidden="1">
      <c r="B42" s="55"/>
      <c r="C42" s="53"/>
      <c r="D42" s="86" t="s">
        <v>62</v>
      </c>
      <c r="E42" s="213"/>
      <c r="F42" s="89">
        <f>'Res (100kWh)'!F42</f>
        <v>0</v>
      </c>
      <c r="G42" s="215">
        <v>1</v>
      </c>
      <c r="H42" s="216">
        <f>G42*F42</f>
        <v>0</v>
      </c>
      <c r="I42" s="217"/>
      <c r="J42" s="370"/>
      <c r="K42" s="218">
        <v>1</v>
      </c>
      <c r="L42" s="216">
        <f>K42*J42</f>
        <v>0</v>
      </c>
      <c r="M42" s="217"/>
      <c r="N42" s="230">
        <f>L42-H42</f>
        <v>0</v>
      </c>
      <c r="O42" s="220">
        <f>IF((H42)=0,"",(N42/H42))</f>
      </c>
    </row>
    <row r="43" spans="2:15" s="210" customFormat="1" ht="15">
      <c r="B43" s="376" t="s">
        <v>25</v>
      </c>
      <c r="C43" s="53"/>
      <c r="D43" s="86" t="s">
        <v>63</v>
      </c>
      <c r="E43" s="227"/>
      <c r="F43" s="372">
        <f>'Res (100kWh)'!F43</f>
        <v>-0.007</v>
      </c>
      <c r="G43" s="215">
        <f>$F$18</f>
        <v>1500</v>
      </c>
      <c r="H43" s="216">
        <f aca="true" t="shared" si="6" ref="H43:H51">G43*F43</f>
        <v>-10.5</v>
      </c>
      <c r="I43" s="217"/>
      <c r="J43" s="372">
        <f>'Res (100kWh)'!J43</f>
        <v>0.0021</v>
      </c>
      <c r="K43" s="215">
        <f>$F$18</f>
        <v>1500</v>
      </c>
      <c r="L43" s="216">
        <f aca="true" t="shared" si="7" ref="L43:L51">K43*J43</f>
        <v>3.15</v>
      </c>
      <c r="M43" s="217"/>
      <c r="N43" s="219">
        <f t="shared" si="2"/>
        <v>13.65</v>
      </c>
      <c r="O43" s="220">
        <f t="shared" si="3"/>
        <v>-1.3</v>
      </c>
    </row>
    <row r="44" spans="2:15" s="210" customFormat="1" ht="15" hidden="1">
      <c r="B44" s="56"/>
      <c r="C44" s="53"/>
      <c r="D44" s="76" t="s">
        <v>63</v>
      </c>
      <c r="E44" s="213"/>
      <c r="F44" s="104">
        <f>'Res (100kWh)'!F44</f>
        <v>0</v>
      </c>
      <c r="G44" s="215">
        <f>$F$18</f>
        <v>1500</v>
      </c>
      <c r="H44" s="216">
        <f t="shared" si="6"/>
        <v>0</v>
      </c>
      <c r="I44" s="243"/>
      <c r="J44" s="103">
        <f>'Res (100kWh)'!J44</f>
        <v>0</v>
      </c>
      <c r="K44" s="215">
        <f>$F$18</f>
        <v>1500</v>
      </c>
      <c r="L44" s="216">
        <f t="shared" si="7"/>
        <v>0</v>
      </c>
      <c r="M44" s="244"/>
      <c r="N44" s="219">
        <f t="shared" si="2"/>
        <v>0</v>
      </c>
      <c r="O44" s="220">
        <f t="shared" si="3"/>
      </c>
    </row>
    <row r="45" spans="2:15" s="210" customFormat="1" ht="15" hidden="1">
      <c r="B45" s="56"/>
      <c r="C45" s="53"/>
      <c r="D45" s="76" t="s">
        <v>63</v>
      </c>
      <c r="E45" s="213"/>
      <c r="F45" s="104">
        <f>'Res (100kWh)'!F45</f>
        <v>0</v>
      </c>
      <c r="G45" s="215">
        <f>$F$18</f>
        <v>1500</v>
      </c>
      <c r="H45" s="216">
        <f t="shared" si="6"/>
        <v>0</v>
      </c>
      <c r="I45" s="243"/>
      <c r="J45" s="103">
        <f>'Res (100kWh)'!J45</f>
        <v>0</v>
      </c>
      <c r="K45" s="215">
        <f>$F$18</f>
        <v>1500</v>
      </c>
      <c r="L45" s="216">
        <f t="shared" si="7"/>
        <v>0</v>
      </c>
      <c r="M45" s="244"/>
      <c r="N45" s="219">
        <f t="shared" si="2"/>
        <v>0</v>
      </c>
      <c r="O45" s="220">
        <f t="shared" si="3"/>
      </c>
    </row>
    <row r="46" spans="2:15" s="210" customFormat="1" ht="15" hidden="1">
      <c r="B46" s="375"/>
      <c r="C46" s="53"/>
      <c r="D46" s="76" t="s">
        <v>62</v>
      </c>
      <c r="E46" s="213"/>
      <c r="F46" s="104">
        <f>'Res (100kWh)'!F46</f>
        <v>0</v>
      </c>
      <c r="G46" s="215">
        <v>1</v>
      </c>
      <c r="H46" s="216">
        <f t="shared" si="6"/>
        <v>0</v>
      </c>
      <c r="I46" s="243"/>
      <c r="J46" s="103">
        <f>'Res (100kWh)'!J46</f>
        <v>0</v>
      </c>
      <c r="K46" s="215">
        <v>1</v>
      </c>
      <c r="L46" s="216">
        <f t="shared" si="7"/>
        <v>0</v>
      </c>
      <c r="M46" s="244"/>
      <c r="N46" s="219">
        <f t="shared" si="2"/>
        <v>0</v>
      </c>
      <c r="O46" s="220">
        <f t="shared" si="3"/>
      </c>
    </row>
    <row r="47" spans="2:15" s="210" customFormat="1" ht="15" hidden="1">
      <c r="B47" s="376"/>
      <c r="C47" s="53"/>
      <c r="D47" s="76" t="s">
        <v>62</v>
      </c>
      <c r="E47" s="213"/>
      <c r="F47" s="104">
        <f>'Res (100kWh)'!F47</f>
        <v>0</v>
      </c>
      <c r="G47" s="215">
        <v>1</v>
      </c>
      <c r="H47" s="216">
        <f t="shared" si="6"/>
        <v>0</v>
      </c>
      <c r="I47" s="217"/>
      <c r="J47" s="207">
        <f>'Res (100kWh)'!J47</f>
        <v>0</v>
      </c>
      <c r="K47" s="215">
        <v>1</v>
      </c>
      <c r="L47" s="216">
        <f t="shared" si="7"/>
        <v>0</v>
      </c>
      <c r="M47" s="217"/>
      <c r="N47" s="219">
        <f>L47-H47</f>
        <v>0</v>
      </c>
      <c r="O47" s="220">
        <f>IF((H47)=0,"",(N47/H47))</f>
      </c>
    </row>
    <row r="48" spans="2:15" s="210" customFormat="1" ht="15" hidden="1">
      <c r="B48" s="53"/>
      <c r="C48" s="53"/>
      <c r="D48" s="76" t="s">
        <v>63</v>
      </c>
      <c r="E48" s="213"/>
      <c r="F48" s="104">
        <f>'Res (100kWh)'!F48</f>
        <v>0</v>
      </c>
      <c r="G48" s="215">
        <f>$F$18</f>
        <v>1500</v>
      </c>
      <c r="H48" s="216">
        <f t="shared" si="6"/>
        <v>0</v>
      </c>
      <c r="I48" s="217"/>
      <c r="J48" s="103">
        <f>'Res (100kWh)'!J48</f>
        <v>0</v>
      </c>
      <c r="K48" s="215">
        <f>$F$18</f>
        <v>1500</v>
      </c>
      <c r="L48" s="216">
        <f t="shared" si="7"/>
        <v>0</v>
      </c>
      <c r="M48" s="217"/>
      <c r="N48" s="219">
        <f>L48-H48</f>
        <v>0</v>
      </c>
      <c r="O48" s="220">
        <f>IF((H48)=0,"",(N48/H48))</f>
      </c>
    </row>
    <row r="49" spans="2:15" s="210" customFormat="1" ht="15">
      <c r="B49" s="59" t="s">
        <v>26</v>
      </c>
      <c r="C49" s="53"/>
      <c r="D49" s="76" t="s">
        <v>63</v>
      </c>
      <c r="E49" s="213"/>
      <c r="F49" s="104">
        <f>'Res (100kWh)'!F49</f>
        <v>0.0024</v>
      </c>
      <c r="G49" s="215">
        <f>$F$18</f>
        <v>1500</v>
      </c>
      <c r="H49" s="216">
        <f t="shared" si="6"/>
        <v>3.5999999999999996</v>
      </c>
      <c r="I49" s="217"/>
      <c r="J49" s="103">
        <f>'Res (100kWh)'!J49</f>
        <v>0.0024</v>
      </c>
      <c r="K49" s="215">
        <f>$F$18</f>
        <v>1500</v>
      </c>
      <c r="L49" s="216">
        <f t="shared" si="7"/>
        <v>3.5999999999999996</v>
      </c>
      <c r="M49" s="217"/>
      <c r="N49" s="219">
        <f t="shared" si="2"/>
        <v>0</v>
      </c>
      <c r="O49" s="220">
        <f t="shared" si="3"/>
        <v>0</v>
      </c>
    </row>
    <row r="50" spans="2:15" s="241" customFormat="1" ht="15">
      <c r="B50" s="60" t="s">
        <v>27</v>
      </c>
      <c r="C50" s="77"/>
      <c r="D50" s="76" t="s">
        <v>63</v>
      </c>
      <c r="E50" s="213"/>
      <c r="F50" s="104">
        <f>IF(ISBLANK(D16)=TRUE,0,IF(D16="TOU",0.64*$F$61+0.18*$F$62+0.18*$F$63,IF(AND(D16="non-TOU",G65&gt;0),F65,F64)))</f>
        <v>0.10214000000000001</v>
      </c>
      <c r="G50" s="215">
        <f>$F$18*(1+$F$80)-$F$18</f>
        <v>74.25000000000023</v>
      </c>
      <c r="H50" s="247">
        <f t="shared" si="6"/>
        <v>7.583895000000024</v>
      </c>
      <c r="I50" s="227"/>
      <c r="J50" s="103">
        <f>'Res (100kWh)'!J50</f>
        <v>0.10214000000000001</v>
      </c>
      <c r="K50" s="215">
        <f>$F$18*(1+$J$80)-$F$18</f>
        <v>74.25000000000023</v>
      </c>
      <c r="L50" s="247">
        <f t="shared" si="7"/>
        <v>7.583895000000024</v>
      </c>
      <c r="M50" s="227"/>
      <c r="N50" s="219">
        <f t="shared" si="2"/>
        <v>0</v>
      </c>
      <c r="O50" s="248">
        <f t="shared" si="3"/>
        <v>0</v>
      </c>
    </row>
    <row r="51" spans="2:15" s="210" customFormat="1" ht="15">
      <c r="B51" s="59" t="s">
        <v>28</v>
      </c>
      <c r="C51" s="53"/>
      <c r="D51" s="76" t="s">
        <v>62</v>
      </c>
      <c r="E51" s="213"/>
      <c r="F51" s="369">
        <f>'Res (100kWh)'!F51</f>
        <v>0.79</v>
      </c>
      <c r="G51" s="215">
        <v>1</v>
      </c>
      <c r="H51" s="216">
        <f t="shared" si="6"/>
        <v>0.79</v>
      </c>
      <c r="I51" s="217"/>
      <c r="J51" s="369">
        <f>'Res (100kWh)'!J51</f>
        <v>0.79</v>
      </c>
      <c r="K51" s="215">
        <v>1</v>
      </c>
      <c r="L51" s="216">
        <f t="shared" si="7"/>
        <v>0.79</v>
      </c>
      <c r="M51" s="217"/>
      <c r="N51" s="219">
        <f t="shared" si="2"/>
        <v>0</v>
      </c>
      <c r="O51" s="220"/>
    </row>
    <row r="52" spans="2:15" s="210" customFormat="1" ht="15">
      <c r="B52" s="343" t="s">
        <v>29</v>
      </c>
      <c r="C52" s="250"/>
      <c r="D52" s="250"/>
      <c r="E52" s="250"/>
      <c r="F52" s="108"/>
      <c r="G52" s="251"/>
      <c r="H52" s="252">
        <f>SUM(H42:H51)+H41</f>
        <v>46.09389500000003</v>
      </c>
      <c r="I52" s="237"/>
      <c r="J52" s="373"/>
      <c r="K52" s="253"/>
      <c r="L52" s="252">
        <f>SUM(L42:L51)+L41</f>
        <v>57.943895000000026</v>
      </c>
      <c r="M52" s="237"/>
      <c r="N52" s="240">
        <f t="shared" si="2"/>
        <v>11.849999999999994</v>
      </c>
      <c r="O52" s="340">
        <f aca="true" t="shared" si="8" ref="O52:O71">IF((H52)=0,"",(N52/H52))</f>
        <v>0.2570839370376486</v>
      </c>
    </row>
    <row r="53" spans="2:15" s="210" customFormat="1" ht="15">
      <c r="B53" s="217" t="s">
        <v>30</v>
      </c>
      <c r="C53" s="217"/>
      <c r="D53" s="224" t="s">
        <v>63</v>
      </c>
      <c r="E53" s="227"/>
      <c r="F53" s="103">
        <f>'Res (100kWh)'!F53</f>
        <v>0.0048</v>
      </c>
      <c r="G53" s="468">
        <f>F18*(1+F80)</f>
        <v>1574.2500000000002</v>
      </c>
      <c r="H53" s="247">
        <f>G53*F53</f>
        <v>7.5564</v>
      </c>
      <c r="I53" s="227"/>
      <c r="J53" s="103">
        <f>'Res (100kWh)'!J53</f>
        <v>0.0064</v>
      </c>
      <c r="K53" s="469">
        <f>F18*(1+J80)</f>
        <v>1574.2500000000002</v>
      </c>
      <c r="L53" s="216">
        <f>K53*J53</f>
        <v>10.075200000000002</v>
      </c>
      <c r="M53" s="217"/>
      <c r="N53" s="219">
        <f t="shared" si="2"/>
        <v>2.5188000000000024</v>
      </c>
      <c r="O53" s="220">
        <f t="shared" si="8"/>
        <v>0.33333333333333365</v>
      </c>
    </row>
    <row r="54" spans="2:15" s="210" customFormat="1" ht="15">
      <c r="B54" s="255" t="s">
        <v>31</v>
      </c>
      <c r="C54" s="217"/>
      <c r="D54" s="224" t="s">
        <v>63</v>
      </c>
      <c r="E54" s="227"/>
      <c r="F54" s="103">
        <f>'Res (100kWh)'!F54</f>
        <v>0.0019</v>
      </c>
      <c r="G54" s="468">
        <f>G53</f>
        <v>1574.2500000000002</v>
      </c>
      <c r="H54" s="247">
        <f>G54*F54</f>
        <v>2.9910750000000004</v>
      </c>
      <c r="I54" s="227"/>
      <c r="J54" s="103">
        <f>'Res (100kWh)'!J54</f>
        <v>0.003</v>
      </c>
      <c r="K54" s="469">
        <f>K53</f>
        <v>1574.2500000000002</v>
      </c>
      <c r="L54" s="216">
        <f>K54*J54</f>
        <v>4.7227500000000004</v>
      </c>
      <c r="M54" s="217"/>
      <c r="N54" s="219">
        <f t="shared" si="2"/>
        <v>1.731675</v>
      </c>
      <c r="O54" s="220">
        <f t="shared" si="8"/>
        <v>0.5789473684210525</v>
      </c>
    </row>
    <row r="55" spans="2:15" s="210" customFormat="1" ht="15">
      <c r="B55" s="343" t="s">
        <v>32</v>
      </c>
      <c r="C55" s="232"/>
      <c r="D55" s="232"/>
      <c r="E55" s="232"/>
      <c r="F55" s="111"/>
      <c r="G55" s="109"/>
      <c r="H55" s="252">
        <f>SUM(H52:H54)</f>
        <v>56.64137000000003</v>
      </c>
      <c r="I55" s="256"/>
      <c r="J55" s="374"/>
      <c r="K55" s="147"/>
      <c r="L55" s="252">
        <f>SUM(L52:L54)</f>
        <v>72.74184500000003</v>
      </c>
      <c r="M55" s="256"/>
      <c r="N55" s="240">
        <f t="shared" si="2"/>
        <v>16.100474999999996</v>
      </c>
      <c r="O55" s="340">
        <f t="shared" si="8"/>
        <v>0.28425292326086016</v>
      </c>
    </row>
    <row r="56" spans="2:15" s="210" customFormat="1" ht="15">
      <c r="B56" s="223" t="s">
        <v>33</v>
      </c>
      <c r="C56" s="211"/>
      <c r="D56" s="212" t="s">
        <v>63</v>
      </c>
      <c r="E56" s="213"/>
      <c r="F56" s="104">
        <f>'Res (100kWh)'!F56</f>
        <v>0.0044</v>
      </c>
      <c r="G56" s="468">
        <f>G54</f>
        <v>1574.2500000000002</v>
      </c>
      <c r="H56" s="247">
        <f aca="true" t="shared" si="9" ref="H56:H63">G56*F56</f>
        <v>6.926700000000001</v>
      </c>
      <c r="I56" s="227"/>
      <c r="J56" s="432">
        <f>'Res (100kWh)'!J56</f>
        <v>0.0036</v>
      </c>
      <c r="K56" s="469">
        <f>K54</f>
        <v>1574.2500000000002</v>
      </c>
      <c r="L56" s="216">
        <f aca="true" t="shared" si="10" ref="L56:L63">K56*J56</f>
        <v>5.667300000000001</v>
      </c>
      <c r="M56" s="217"/>
      <c r="N56" s="219">
        <f t="shared" si="2"/>
        <v>-1.2594000000000003</v>
      </c>
      <c r="O56" s="220">
        <f t="shared" si="8"/>
        <v>-0.18181818181818182</v>
      </c>
    </row>
    <row r="57" spans="2:15" s="210" customFormat="1" ht="15">
      <c r="B57" s="223" t="s">
        <v>34</v>
      </c>
      <c r="C57" s="211"/>
      <c r="D57" s="212" t="s">
        <v>63</v>
      </c>
      <c r="E57" s="213"/>
      <c r="F57" s="104">
        <f>'Res (100kWh)'!F57</f>
        <v>0.0013</v>
      </c>
      <c r="G57" s="468">
        <f>G54</f>
        <v>1574.2500000000002</v>
      </c>
      <c r="H57" s="247">
        <f t="shared" si="9"/>
        <v>2.0465250000000004</v>
      </c>
      <c r="I57" s="227"/>
      <c r="J57" s="103">
        <f>'Res (100kWh)'!J57</f>
        <v>0.0013</v>
      </c>
      <c r="K57" s="469">
        <f>K54</f>
        <v>1574.2500000000002</v>
      </c>
      <c r="L57" s="216">
        <f t="shared" si="10"/>
        <v>2.0465250000000004</v>
      </c>
      <c r="M57" s="217"/>
      <c r="N57" s="219">
        <f t="shared" si="2"/>
        <v>0</v>
      </c>
      <c r="O57" s="220">
        <f t="shared" si="8"/>
        <v>0</v>
      </c>
    </row>
    <row r="58" spans="2:15" s="210" customFormat="1" ht="15">
      <c r="B58" s="223" t="s">
        <v>121</v>
      </c>
      <c r="C58" s="211"/>
      <c r="D58" s="212" t="s">
        <v>63</v>
      </c>
      <c r="E58" s="213"/>
      <c r="F58" s="104">
        <f>'Res (100kWh)'!F58</f>
        <v>0</v>
      </c>
      <c r="G58" s="468">
        <f>G54</f>
        <v>1574.2500000000002</v>
      </c>
      <c r="H58" s="247">
        <f t="shared" si="9"/>
        <v>0</v>
      </c>
      <c r="I58" s="227"/>
      <c r="J58" s="432">
        <f>'Res (100kWh)'!J58</f>
        <v>0.0011</v>
      </c>
      <c r="K58" s="469">
        <f>K54</f>
        <v>1574.2500000000002</v>
      </c>
      <c r="L58" s="216">
        <f t="shared" si="10"/>
        <v>1.7316750000000003</v>
      </c>
      <c r="M58" s="217"/>
      <c r="N58" s="219">
        <f t="shared" si="2"/>
        <v>1.7316750000000003</v>
      </c>
      <c r="O58" s="220">
        <f t="shared" si="8"/>
      </c>
    </row>
    <row r="59" spans="2:15" s="210" customFormat="1" ht="14.25" customHeight="1">
      <c r="B59" s="211" t="s">
        <v>35</v>
      </c>
      <c r="C59" s="211"/>
      <c r="D59" s="212" t="s">
        <v>62</v>
      </c>
      <c r="E59" s="213"/>
      <c r="F59" s="369">
        <f>'Res (100kWh)'!F59</f>
        <v>0.25</v>
      </c>
      <c r="G59" s="215">
        <v>1</v>
      </c>
      <c r="H59" s="247">
        <f t="shared" si="9"/>
        <v>0.25</v>
      </c>
      <c r="I59" s="227"/>
      <c r="J59" s="370">
        <f>'Res (100kWh)'!J59</f>
        <v>0.25</v>
      </c>
      <c r="K59" s="218">
        <v>1</v>
      </c>
      <c r="L59" s="216">
        <f t="shared" si="10"/>
        <v>0.25</v>
      </c>
      <c r="M59" s="217"/>
      <c r="N59" s="219">
        <f t="shared" si="2"/>
        <v>0</v>
      </c>
      <c r="O59" s="220">
        <f t="shared" si="8"/>
        <v>0</v>
      </c>
    </row>
    <row r="60" spans="2:15" s="210" customFormat="1" ht="15">
      <c r="B60" s="211" t="s">
        <v>36</v>
      </c>
      <c r="C60" s="211"/>
      <c r="D60" s="212" t="s">
        <v>63</v>
      </c>
      <c r="E60" s="213"/>
      <c r="F60" s="104">
        <f>'Res (100kWh)'!F60</f>
        <v>0.007</v>
      </c>
      <c r="G60" s="259">
        <f>F18</f>
        <v>1500</v>
      </c>
      <c r="H60" s="247">
        <f t="shared" si="9"/>
        <v>10.5</v>
      </c>
      <c r="I60" s="227"/>
      <c r="J60" s="103">
        <f>'Res (100kWh)'!J60</f>
        <v>0</v>
      </c>
      <c r="K60" s="260">
        <f>F18</f>
        <v>1500</v>
      </c>
      <c r="L60" s="216">
        <f t="shared" si="10"/>
        <v>0</v>
      </c>
      <c r="M60" s="217"/>
      <c r="N60" s="219">
        <f t="shared" si="2"/>
        <v>-10.5</v>
      </c>
      <c r="O60" s="220">
        <f t="shared" si="8"/>
        <v>-1</v>
      </c>
    </row>
    <row r="61" spans="2:19" s="210" customFormat="1" ht="15">
      <c r="B61" s="341" t="s">
        <v>37</v>
      </c>
      <c r="C61" s="211"/>
      <c r="D61" s="212" t="s">
        <v>63</v>
      </c>
      <c r="E61" s="213"/>
      <c r="F61" s="104">
        <f>'Res (100kWh)'!F61</f>
        <v>0.08</v>
      </c>
      <c r="G61" s="259">
        <f>0.64*$F$18</f>
        <v>960</v>
      </c>
      <c r="H61" s="216">
        <f t="shared" si="9"/>
        <v>76.8</v>
      </c>
      <c r="I61" s="217"/>
      <c r="J61" s="104">
        <f>'Res (100kWh)'!J61</f>
        <v>0.08</v>
      </c>
      <c r="K61" s="259">
        <f>G61</f>
        <v>960</v>
      </c>
      <c r="L61" s="216">
        <f t="shared" si="10"/>
        <v>76.8</v>
      </c>
      <c r="M61" s="217"/>
      <c r="N61" s="219">
        <f t="shared" si="2"/>
        <v>0</v>
      </c>
      <c r="O61" s="220">
        <f t="shared" si="8"/>
        <v>0</v>
      </c>
      <c r="S61" s="261"/>
    </row>
    <row r="62" spans="2:19" s="210" customFormat="1" ht="15">
      <c r="B62" s="341" t="s">
        <v>38</v>
      </c>
      <c r="C62" s="211"/>
      <c r="D62" s="212" t="s">
        <v>63</v>
      </c>
      <c r="E62" s="213"/>
      <c r="F62" s="104">
        <f>'Res (100kWh)'!F62</f>
        <v>0.122</v>
      </c>
      <c r="G62" s="259">
        <f>0.18*$F$18</f>
        <v>270</v>
      </c>
      <c r="H62" s="216">
        <f t="shared" si="9"/>
        <v>32.94</v>
      </c>
      <c r="I62" s="217"/>
      <c r="J62" s="104">
        <f>'Res (100kWh)'!J62</f>
        <v>0.122</v>
      </c>
      <c r="K62" s="259">
        <f>G62</f>
        <v>270</v>
      </c>
      <c r="L62" s="216">
        <f t="shared" si="10"/>
        <v>32.94</v>
      </c>
      <c r="M62" s="217"/>
      <c r="N62" s="219">
        <f t="shared" si="2"/>
        <v>0</v>
      </c>
      <c r="O62" s="220">
        <f t="shared" si="8"/>
        <v>0</v>
      </c>
      <c r="S62" s="261"/>
    </row>
    <row r="63" spans="2:19" s="210" customFormat="1" ht="15">
      <c r="B63" s="330" t="s">
        <v>39</v>
      </c>
      <c r="C63" s="211"/>
      <c r="D63" s="212" t="s">
        <v>63</v>
      </c>
      <c r="E63" s="213"/>
      <c r="F63" s="104">
        <f>'Res (100kWh)'!F63</f>
        <v>0.161</v>
      </c>
      <c r="G63" s="259">
        <f>0.18*$F$18</f>
        <v>270</v>
      </c>
      <c r="H63" s="216">
        <f t="shared" si="9"/>
        <v>43.47</v>
      </c>
      <c r="I63" s="217"/>
      <c r="J63" s="104">
        <f>'Res (100kWh)'!J63</f>
        <v>0.161</v>
      </c>
      <c r="K63" s="259">
        <f>G63</f>
        <v>270</v>
      </c>
      <c r="L63" s="216">
        <f t="shared" si="10"/>
        <v>43.47</v>
      </c>
      <c r="M63" s="217"/>
      <c r="N63" s="219">
        <f t="shared" si="2"/>
        <v>0</v>
      </c>
      <c r="O63" s="220">
        <f t="shared" si="8"/>
        <v>0</v>
      </c>
      <c r="S63" s="261"/>
    </row>
    <row r="64" spans="2:15" s="347" customFormat="1" ht="15">
      <c r="B64" s="344" t="s">
        <v>40</v>
      </c>
      <c r="C64" s="344"/>
      <c r="D64" s="345" t="s">
        <v>63</v>
      </c>
      <c r="E64" s="346"/>
      <c r="F64" s="104">
        <f>'Res (100kWh)'!F64</f>
        <v>0.094</v>
      </c>
      <c r="G64" s="262">
        <f>IF(AND($T$1=1,F18&gt;=600),600,IF(AND($T$1=1,AND(F18&lt;600,F18&gt;=0)),F18,IF(AND($T$1=2,F18&gt;=1000),1000,IF(AND($T$1=2,AND(F18&lt;1000,F18&gt;=0)),F18))))</f>
        <v>600</v>
      </c>
      <c r="H64" s="216">
        <f>G64*F64</f>
        <v>56.4</v>
      </c>
      <c r="I64" s="263"/>
      <c r="J64" s="104">
        <f>'Res (100kWh)'!J64</f>
        <v>0.094</v>
      </c>
      <c r="K64" s="262">
        <f>G64</f>
        <v>600</v>
      </c>
      <c r="L64" s="216">
        <f>K64*J64</f>
        <v>56.4</v>
      </c>
      <c r="M64" s="263"/>
      <c r="N64" s="219">
        <f t="shared" si="2"/>
        <v>0</v>
      </c>
      <c r="O64" s="220">
        <f t="shared" si="8"/>
        <v>0</v>
      </c>
    </row>
    <row r="65" spans="2:15" s="347" customFormat="1" ht="15.75" thickBot="1">
      <c r="B65" s="344" t="s">
        <v>41</v>
      </c>
      <c r="C65" s="344"/>
      <c r="D65" s="345" t="s">
        <v>63</v>
      </c>
      <c r="E65" s="346"/>
      <c r="F65" s="104">
        <f>'Res (100kWh)'!F65</f>
        <v>0.11</v>
      </c>
      <c r="G65" s="262">
        <f>IF(AND($T$1=1,F18&gt;=600),F18-600,IF(AND($T$1=1,AND(F18&lt;600,F18&gt;=0)),0,IF(AND($T$1=2,F18&gt;=1000),F18-1000,IF(AND($T$1=2,AND(F18&lt;1000,F18&gt;=0)),0))))</f>
        <v>900</v>
      </c>
      <c r="H65" s="216">
        <f>G65*F65</f>
        <v>99</v>
      </c>
      <c r="I65" s="263"/>
      <c r="J65" s="104">
        <f>'Res (100kWh)'!J65</f>
        <v>0.11</v>
      </c>
      <c r="K65" s="262">
        <f>G65</f>
        <v>900</v>
      </c>
      <c r="L65" s="216">
        <f>K65*J65</f>
        <v>99</v>
      </c>
      <c r="M65" s="263"/>
      <c r="N65" s="219">
        <f t="shared" si="2"/>
        <v>0</v>
      </c>
      <c r="O65" s="220">
        <f t="shared" si="8"/>
        <v>0</v>
      </c>
    </row>
    <row r="66" spans="2:15" s="210" customFormat="1" ht="8.25" customHeight="1" thickBot="1">
      <c r="B66" s="348"/>
      <c r="C66" s="264"/>
      <c r="D66" s="265"/>
      <c r="E66" s="264"/>
      <c r="F66" s="266"/>
      <c r="G66" s="267"/>
      <c r="H66" s="268"/>
      <c r="I66" s="269"/>
      <c r="J66" s="115"/>
      <c r="K66" s="270"/>
      <c r="L66" s="268"/>
      <c r="M66" s="269"/>
      <c r="N66" s="271"/>
      <c r="O66" s="272"/>
    </row>
    <row r="67" spans="2:19" s="210" customFormat="1" ht="15">
      <c r="B67" s="349" t="s">
        <v>42</v>
      </c>
      <c r="C67" s="211"/>
      <c r="D67" s="211"/>
      <c r="E67" s="211"/>
      <c r="F67" s="273"/>
      <c r="G67" s="274"/>
      <c r="H67" s="275">
        <f>SUM(H56:H63,H55)</f>
        <v>229.57459500000002</v>
      </c>
      <c r="I67" s="276"/>
      <c r="J67" s="155"/>
      <c r="K67" s="277"/>
      <c r="L67" s="278">
        <f>SUM(L56:L63,L55)</f>
        <v>235.64734500000003</v>
      </c>
      <c r="M67" s="279"/>
      <c r="N67" s="280">
        <f>L67-H67</f>
        <v>6.072750000000013</v>
      </c>
      <c r="O67" s="350">
        <f>IF((H67)=0,"",(N67/H67))</f>
        <v>0.02645218648866619</v>
      </c>
      <c r="S67" s="261"/>
    </row>
    <row r="68" spans="2:19" s="210" customFormat="1" ht="15">
      <c r="B68" s="351" t="s">
        <v>43</v>
      </c>
      <c r="C68" s="211"/>
      <c r="D68" s="211"/>
      <c r="E68" s="211"/>
      <c r="F68" s="281">
        <v>0.13</v>
      </c>
      <c r="G68" s="282"/>
      <c r="H68" s="283">
        <f>H67*F68</f>
        <v>29.844697350000004</v>
      </c>
      <c r="I68" s="284"/>
      <c r="J68" s="161">
        <v>0.13</v>
      </c>
      <c r="K68" s="284"/>
      <c r="L68" s="286">
        <f>L67*J68</f>
        <v>30.634154850000005</v>
      </c>
      <c r="M68" s="287"/>
      <c r="N68" s="219">
        <f t="shared" si="2"/>
        <v>0.789457500000001</v>
      </c>
      <c r="O68" s="352">
        <f t="shared" si="8"/>
        <v>0.026452186488666166</v>
      </c>
      <c r="S68" s="261"/>
    </row>
    <row r="69" spans="2:19" s="210" customFormat="1" ht="15">
      <c r="B69" s="353" t="s">
        <v>126</v>
      </c>
      <c r="C69" s="211"/>
      <c r="D69" s="211"/>
      <c r="E69" s="211"/>
      <c r="F69" s="288"/>
      <c r="G69" s="282"/>
      <c r="H69" s="283">
        <f>H67+H68</f>
        <v>259.41929235000003</v>
      </c>
      <c r="I69" s="284"/>
      <c r="J69" s="160"/>
      <c r="K69" s="284"/>
      <c r="L69" s="286">
        <f>L67+L68</f>
        <v>266.28149985000005</v>
      </c>
      <c r="M69" s="287"/>
      <c r="N69" s="219">
        <f t="shared" si="2"/>
        <v>6.862207500000011</v>
      </c>
      <c r="O69" s="352">
        <f t="shared" si="8"/>
        <v>0.026452186488666173</v>
      </c>
      <c r="S69" s="261"/>
    </row>
    <row r="70" spans="2:15" s="210" customFormat="1" ht="15.75" customHeight="1">
      <c r="B70" s="593" t="s">
        <v>127</v>
      </c>
      <c r="C70" s="593"/>
      <c r="D70" s="593"/>
      <c r="E70" s="211"/>
      <c r="F70" s="288"/>
      <c r="G70" s="282"/>
      <c r="H70" s="289">
        <f>ROUND(-H69*10%,2)</f>
        <v>-25.94</v>
      </c>
      <c r="I70" s="284"/>
      <c r="J70" s="160"/>
      <c r="K70" s="284"/>
      <c r="L70" s="290">
        <v>0</v>
      </c>
      <c r="M70" s="287"/>
      <c r="N70" s="219">
        <f t="shared" si="2"/>
        <v>25.94</v>
      </c>
      <c r="O70" s="354">
        <f t="shared" si="8"/>
        <v>-1</v>
      </c>
    </row>
    <row r="71" spans="2:15" s="210" customFormat="1" ht="15.75" thickBot="1">
      <c r="B71" s="594" t="s">
        <v>46</v>
      </c>
      <c r="C71" s="594"/>
      <c r="D71" s="594"/>
      <c r="E71" s="291"/>
      <c r="F71" s="292"/>
      <c r="G71" s="293"/>
      <c r="H71" s="294">
        <f>H69+H70</f>
        <v>233.47929235000004</v>
      </c>
      <c r="I71" s="295"/>
      <c r="J71" s="295"/>
      <c r="K71" s="295"/>
      <c r="L71" s="296">
        <f>L69+L70</f>
        <v>266.28149985000005</v>
      </c>
      <c r="M71" s="297"/>
      <c r="N71" s="298">
        <f t="shared" si="2"/>
        <v>32.80220750000001</v>
      </c>
      <c r="O71" s="355">
        <f t="shared" si="8"/>
        <v>0.14049300548173432</v>
      </c>
    </row>
    <row r="72" spans="2:15" s="347" customFormat="1" ht="8.25" customHeight="1" thickBot="1">
      <c r="B72" s="356"/>
      <c r="C72" s="357"/>
      <c r="D72" s="358"/>
      <c r="E72" s="357"/>
      <c r="F72" s="266"/>
      <c r="G72" s="299"/>
      <c r="H72" s="268"/>
      <c r="I72" s="300"/>
      <c r="J72" s="266"/>
      <c r="K72" s="301"/>
      <c r="L72" s="268"/>
      <c r="M72" s="300"/>
      <c r="N72" s="302"/>
      <c r="O72" s="272"/>
    </row>
    <row r="73" spans="2:15" s="347" customFormat="1" ht="15">
      <c r="B73" s="359" t="s">
        <v>47</v>
      </c>
      <c r="C73" s="344"/>
      <c r="D73" s="344"/>
      <c r="E73" s="344"/>
      <c r="F73" s="303"/>
      <c r="G73" s="304"/>
      <c r="H73" s="305">
        <f>SUM(H64:H65,H55,H56:H60)</f>
        <v>231.76459500000004</v>
      </c>
      <c r="I73" s="306"/>
      <c r="J73" s="307"/>
      <c r="K73" s="307"/>
      <c r="L73" s="308">
        <f>SUM(L64:L65,L55,L56:L60)</f>
        <v>237.83734500000006</v>
      </c>
      <c r="M73" s="309"/>
      <c r="N73" s="280">
        <f>L73-H73</f>
        <v>6.072750000000013</v>
      </c>
      <c r="O73" s="350">
        <f>IF((H73)=0,"",(N73/H73))</f>
        <v>0.02620223334802286</v>
      </c>
    </row>
    <row r="74" spans="2:15" s="347" customFormat="1" ht="15">
      <c r="B74" s="360" t="s">
        <v>43</v>
      </c>
      <c r="C74" s="344"/>
      <c r="D74" s="344"/>
      <c r="E74" s="344"/>
      <c r="F74" s="310">
        <v>0.13</v>
      </c>
      <c r="G74" s="304"/>
      <c r="H74" s="311">
        <f>H73*F74</f>
        <v>30.129397350000005</v>
      </c>
      <c r="I74" s="312"/>
      <c r="J74" s="310">
        <v>0.13</v>
      </c>
      <c r="K74" s="313"/>
      <c r="L74" s="314">
        <f>L73*J74</f>
        <v>30.91885485000001</v>
      </c>
      <c r="M74" s="315"/>
      <c r="N74" s="219">
        <f>L74-H74</f>
        <v>0.7894575000000046</v>
      </c>
      <c r="O74" s="352">
        <f>IF((H74)=0,"",(N74/H74))</f>
        <v>0.026202233348022956</v>
      </c>
    </row>
    <row r="75" spans="2:15" s="347" customFormat="1" ht="15">
      <c r="B75" s="361" t="s">
        <v>126</v>
      </c>
      <c r="C75" s="344"/>
      <c r="D75" s="344"/>
      <c r="E75" s="344"/>
      <c r="F75" s="316"/>
      <c r="G75" s="315"/>
      <c r="H75" s="311">
        <f>H73+H74</f>
        <v>261.8939923500001</v>
      </c>
      <c r="I75" s="312"/>
      <c r="J75" s="312"/>
      <c r="K75" s="312"/>
      <c r="L75" s="314">
        <f>L73+L74</f>
        <v>268.7561998500001</v>
      </c>
      <c r="M75" s="315"/>
      <c r="N75" s="219">
        <f>L75-H75</f>
        <v>6.862207500000011</v>
      </c>
      <c r="O75" s="352">
        <f>IF((H75)=0,"",(N75/H75))</f>
        <v>0.02620223334802284</v>
      </c>
    </row>
    <row r="76" spans="2:15" s="347" customFormat="1" ht="15.75" customHeight="1">
      <c r="B76" s="595" t="s">
        <v>127</v>
      </c>
      <c r="C76" s="595"/>
      <c r="D76" s="595"/>
      <c r="E76" s="344"/>
      <c r="F76" s="316"/>
      <c r="G76" s="315"/>
      <c r="H76" s="317">
        <f>ROUND(-H75*10%,2)</f>
        <v>-26.19</v>
      </c>
      <c r="I76" s="312"/>
      <c r="J76" s="312"/>
      <c r="K76" s="312"/>
      <c r="L76" s="318">
        <v>0</v>
      </c>
      <c r="M76" s="315"/>
      <c r="N76" s="219">
        <f>L76-H76</f>
        <v>26.19</v>
      </c>
      <c r="O76" s="354">
        <f>IF((H76)=0,"",(N76/H76))</f>
        <v>-1</v>
      </c>
    </row>
    <row r="77" spans="2:15" s="347" customFormat="1" ht="15.75" thickBot="1">
      <c r="B77" s="586" t="s">
        <v>48</v>
      </c>
      <c r="C77" s="586"/>
      <c r="D77" s="586"/>
      <c r="E77" s="362"/>
      <c r="F77" s="319"/>
      <c r="G77" s="320"/>
      <c r="H77" s="321">
        <f>SUM(H75:H76)</f>
        <v>235.70399235000008</v>
      </c>
      <c r="I77" s="322"/>
      <c r="J77" s="322"/>
      <c r="K77" s="322"/>
      <c r="L77" s="323">
        <f>SUM(L75:L76)</f>
        <v>268.7561998500001</v>
      </c>
      <c r="M77" s="324"/>
      <c r="N77" s="298">
        <f>L77-H77</f>
        <v>33.05220750000001</v>
      </c>
      <c r="O77" s="363">
        <f>IF((H77)=0,"",(N77/H77))</f>
        <v>0.1402276099376388</v>
      </c>
    </row>
    <row r="78" spans="2:15" s="347" customFormat="1" ht="8.25" customHeight="1" thickBot="1">
      <c r="B78" s="356"/>
      <c r="C78" s="357"/>
      <c r="D78" s="358"/>
      <c r="E78" s="357"/>
      <c r="F78" s="325"/>
      <c r="G78" s="364"/>
      <c r="H78" s="326"/>
      <c r="I78" s="365"/>
      <c r="J78" s="325"/>
      <c r="K78" s="299"/>
      <c r="L78" s="327"/>
      <c r="M78" s="300"/>
      <c r="N78" s="366"/>
      <c r="O78" s="272"/>
    </row>
    <row r="79" s="210" customFormat="1" ht="10.5" customHeight="1">
      <c r="L79" s="261"/>
    </row>
    <row r="80" spans="2:10" s="210" customFormat="1" ht="15">
      <c r="B80" s="367" t="s">
        <v>49</v>
      </c>
      <c r="F80" s="379">
        <f>'Res (100kWh)'!F80</f>
        <v>0.0495</v>
      </c>
      <c r="G80" s="99"/>
      <c r="H80" s="99"/>
      <c r="I80" s="99"/>
      <c r="J80" s="379">
        <f>'Res (100kWh)'!J80</f>
        <v>0.0495</v>
      </c>
    </row>
    <row r="81" s="210" customFormat="1" ht="10.5" customHeight="1"/>
    <row r="82" spans="2:15" s="49" customFormat="1" ht="15">
      <c r="B82" s="423" t="s">
        <v>140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99" customFormat="1" ht="15">
      <c r="B83" s="423" t="s">
        <v>141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210" customFormat="1" ht="17.25">
      <c r="A84" s="368" t="s">
        <v>128</v>
      </c>
    </row>
    <row r="85" s="210" customFormat="1" ht="10.5" customHeight="1"/>
    <row r="86" s="210" customFormat="1" ht="15">
      <c r="A86" s="210" t="s">
        <v>51</v>
      </c>
    </row>
    <row r="87" s="210" customFormat="1" ht="15">
      <c r="A87" s="210" t="s">
        <v>52</v>
      </c>
    </row>
    <row r="88" s="210" customFormat="1" ht="15"/>
    <row r="89" s="210" customFormat="1" ht="15">
      <c r="A89" s="330" t="s">
        <v>53</v>
      </c>
    </row>
    <row r="90" s="210" customFormat="1" ht="15">
      <c r="A90" s="330" t="s">
        <v>54</v>
      </c>
    </row>
    <row r="91" s="210" customFormat="1" ht="15"/>
    <row r="92" s="210" customFormat="1" ht="15">
      <c r="A92" s="210" t="s">
        <v>55</v>
      </c>
    </row>
    <row r="93" s="210" customFormat="1" ht="15">
      <c r="A93" s="210" t="s">
        <v>56</v>
      </c>
    </row>
    <row r="94" s="210" customFormat="1" ht="15">
      <c r="A94" s="210" t="s">
        <v>57</v>
      </c>
    </row>
    <row r="95" s="210" customFormat="1" ht="15">
      <c r="A95" s="210" t="s">
        <v>58</v>
      </c>
    </row>
    <row r="96" s="210" customFormat="1" ht="15">
      <c r="A96" s="210" t="s">
        <v>59</v>
      </c>
    </row>
    <row r="97" s="210" customFormat="1" ht="15"/>
    <row r="98" spans="1:2" s="210" customFormat="1" ht="15">
      <c r="A98" s="329"/>
      <c r="B98" s="210" t="s">
        <v>60</v>
      </c>
    </row>
    <row r="99" s="210" customFormat="1" ht="15"/>
    <row r="100" s="210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D16">
      <formula1>"TOU, non-TOU"</formula1>
    </dataValidation>
    <dataValidation type="list" allowBlank="1" showInputMessage="1" showErrorMessage="1" sqref="E78 E72 E64:E65">
      <formula1>'Res (1,500kWh)'!#REF!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53:E54 E42:E51 E66 E23:E40 E56:E63">
      <formula1>'Res (1,500kWh)'!#REF!</formula1>
    </dataValidation>
  </dataValidations>
  <printOptions/>
  <pageMargins left="0.7" right="0.7" top="0.75" bottom="0.75" header="0.3" footer="0.3"/>
  <pageSetup fitToHeight="0" fitToWidth="1" horizontalDpi="600" verticalDpi="600" orientation="portrait" scale="5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98"/>
  <sheetViews>
    <sheetView showGridLines="0" tabSelected="1" zoomScalePageLayoutView="0" workbookViewId="0" topLeftCell="A1">
      <selection activeCell="F17" sqref="F17:F18"/>
    </sheetView>
  </sheetViews>
  <sheetFormatPr defaultColWidth="9.140625" defaultRowHeight="15"/>
  <cols>
    <col min="1" max="1" width="2.140625" style="8" customWidth="1"/>
    <col min="2" max="2" width="59.7109375" style="8" customWidth="1"/>
    <col min="3" max="3" width="1.28515625" style="8" customWidth="1"/>
    <col min="4" max="4" width="11.28125" style="8" customWidth="1"/>
    <col min="5" max="5" width="1.28515625" style="8" customWidth="1"/>
    <col min="6" max="6" width="12.28125" style="8" customWidth="1"/>
    <col min="7" max="7" width="8.57421875" style="8" customWidth="1"/>
    <col min="8" max="8" width="9.7109375" style="8" customWidth="1"/>
    <col min="9" max="9" width="2.8515625" style="8" customWidth="1"/>
    <col min="10" max="10" width="12.140625" style="8" customWidth="1"/>
    <col min="11" max="11" width="8.57421875" style="8" customWidth="1"/>
    <col min="12" max="12" width="9.7109375" style="8" customWidth="1"/>
    <col min="13" max="13" width="2.8515625" style="8" customWidth="1"/>
    <col min="14" max="14" width="12.7109375" style="8" bestFit="1" customWidth="1"/>
    <col min="15" max="15" width="10.8515625" style="8" bestFit="1" customWidth="1"/>
    <col min="16" max="16" width="7.8515625" style="8" customWidth="1"/>
    <col min="17" max="20" width="9.140625" style="8" customWidth="1"/>
    <col min="21" max="16384" width="9.140625" style="8" customWidth="1"/>
  </cols>
  <sheetData>
    <row r="1" spans="1:20" s="2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N1" s="581" t="s">
        <v>122</v>
      </c>
      <c r="O1" s="581"/>
      <c r="P1" s="20"/>
      <c r="T1" s="45">
        <v>1</v>
      </c>
    </row>
    <row r="2" spans="1:16" s="2" customFormat="1" ht="15" customHeight="1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" t="s">
        <v>1</v>
      </c>
      <c r="N2" s="582"/>
      <c r="O2" s="582"/>
      <c r="P2" s="21"/>
    </row>
    <row r="3" spans="1:16" s="2" customFormat="1" ht="15" customHeight="1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3" t="s">
        <v>161</v>
      </c>
      <c r="N3" s="583" t="s">
        <v>162</v>
      </c>
      <c r="O3" s="583"/>
      <c r="P3" s="22"/>
    </row>
    <row r="4" spans="1:16" s="2" customFormat="1" ht="15" customHeigh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3" t="s">
        <v>2</v>
      </c>
      <c r="N4" s="582">
        <v>24</v>
      </c>
      <c r="O4" s="582"/>
      <c r="P4" s="21"/>
    </row>
    <row r="5" spans="3:16" s="2" customFormat="1" ht="15" customHeight="1">
      <c r="C5" s="7"/>
      <c r="D5" s="7"/>
      <c r="E5" s="7"/>
      <c r="L5" s="3" t="s">
        <v>76</v>
      </c>
      <c r="N5" s="584" t="s">
        <v>82</v>
      </c>
      <c r="O5" s="584"/>
      <c r="P5" s="20"/>
    </row>
    <row r="6" spans="12:16" s="2" customFormat="1" ht="9" customHeight="1">
      <c r="L6" s="3"/>
      <c r="N6" s="599"/>
      <c r="O6" s="599"/>
      <c r="P6" s="23"/>
    </row>
    <row r="7" spans="12:16" s="2" customFormat="1" ht="15">
      <c r="L7" s="3" t="s">
        <v>159</v>
      </c>
      <c r="N7" s="585">
        <v>42384</v>
      </c>
      <c r="O7" s="584"/>
      <c r="P7" s="20"/>
    </row>
    <row r="8" spans="14:16" s="2" customFormat="1" ht="15" customHeight="1">
      <c r="N8" s="8"/>
      <c r="O8"/>
      <c r="P8"/>
    </row>
    <row r="9" spans="2:16" ht="18">
      <c r="B9" s="576" t="s">
        <v>139</v>
      </c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/>
    </row>
    <row r="10" spans="2:16" ht="18.75" customHeight="1">
      <c r="B10" s="576" t="s">
        <v>3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/>
    </row>
    <row r="11" spans="2:16" ht="18.75" customHeight="1">
      <c r="B11" s="576" t="s">
        <v>151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/>
    </row>
    <row r="12" spans="12:16" ht="7.5" customHeight="1">
      <c r="L12"/>
      <c r="M12"/>
      <c r="N12"/>
      <c r="O12"/>
      <c r="P12"/>
    </row>
    <row r="13" spans="12:16" ht="7.5" customHeight="1">
      <c r="L13"/>
      <c r="M13"/>
      <c r="N13"/>
      <c r="O13"/>
      <c r="P13"/>
    </row>
    <row r="14" spans="2:15" ht="15.75">
      <c r="B14" s="9" t="s">
        <v>5</v>
      </c>
      <c r="D14" s="577" t="s">
        <v>61</v>
      </c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</row>
    <row r="15" spans="2:15" ht="7.5" customHeight="1">
      <c r="B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>
      <c r="B16" s="9" t="s">
        <v>6</v>
      </c>
      <c r="D16" s="12" t="s">
        <v>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ht="15.75">
      <c r="B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7" ht="15">
      <c r="B18" s="13"/>
      <c r="D18" s="14" t="s">
        <v>8</v>
      </c>
      <c r="E18" s="14"/>
      <c r="F18" s="15">
        <v>2000</v>
      </c>
      <c r="G18" s="14" t="s">
        <v>9</v>
      </c>
    </row>
    <row r="19" ht="15">
      <c r="B19" s="13"/>
    </row>
    <row r="20" spans="2:15" s="49" customFormat="1" ht="15">
      <c r="B20" s="52"/>
      <c r="D20" s="136"/>
      <c r="E20" s="136"/>
      <c r="F20" s="578" t="s">
        <v>10</v>
      </c>
      <c r="G20" s="579"/>
      <c r="H20" s="580"/>
      <c r="J20" s="578" t="s">
        <v>11</v>
      </c>
      <c r="K20" s="579"/>
      <c r="L20" s="580"/>
      <c r="N20" s="578" t="s">
        <v>12</v>
      </c>
      <c r="O20" s="580"/>
    </row>
    <row r="21" spans="2:15" s="49" customFormat="1" ht="15">
      <c r="B21" s="52"/>
      <c r="D21" s="566" t="s">
        <v>13</v>
      </c>
      <c r="E21" s="135"/>
      <c r="F21" s="137" t="s">
        <v>14</v>
      </c>
      <c r="G21" s="137" t="s">
        <v>15</v>
      </c>
      <c r="H21" s="138" t="s">
        <v>16</v>
      </c>
      <c r="J21" s="137" t="s">
        <v>14</v>
      </c>
      <c r="K21" s="139" t="s">
        <v>15</v>
      </c>
      <c r="L21" s="138" t="s">
        <v>16</v>
      </c>
      <c r="N21" s="568" t="s">
        <v>17</v>
      </c>
      <c r="O21" s="570" t="s">
        <v>18</v>
      </c>
    </row>
    <row r="22" spans="2:15" s="49" customFormat="1" ht="15">
      <c r="B22" s="52"/>
      <c r="D22" s="567"/>
      <c r="E22" s="135"/>
      <c r="F22" s="140" t="s">
        <v>19</v>
      </c>
      <c r="G22" s="140"/>
      <c r="H22" s="141" t="s">
        <v>19</v>
      </c>
      <c r="J22" s="140" t="s">
        <v>19</v>
      </c>
      <c r="K22" s="141"/>
      <c r="L22" s="141" t="s">
        <v>19</v>
      </c>
      <c r="N22" s="569"/>
      <c r="O22" s="571"/>
    </row>
    <row r="23" spans="2:15" s="49" customFormat="1" ht="15">
      <c r="B23" s="53" t="s">
        <v>20</v>
      </c>
      <c r="C23" s="53"/>
      <c r="D23" s="76" t="s">
        <v>62</v>
      </c>
      <c r="E23" s="77"/>
      <c r="F23" s="369">
        <f>'Res (100kWh)'!F23</f>
        <v>11.22</v>
      </c>
      <c r="G23" s="79">
        <v>1</v>
      </c>
      <c r="H23" s="80">
        <f>G23*F23</f>
        <v>11.22</v>
      </c>
      <c r="I23" s="62"/>
      <c r="J23" s="430">
        <f>'Res (100kWh)'!J23</f>
        <v>14.71</v>
      </c>
      <c r="K23" s="81">
        <v>1</v>
      </c>
      <c r="L23" s="80">
        <f>K23*J23</f>
        <v>14.71</v>
      </c>
      <c r="M23" s="62"/>
      <c r="N23" s="207">
        <f>L23-H23</f>
        <v>3.49</v>
      </c>
      <c r="O23" s="83">
        <f>IF((H23)=0,"",(N23/H23))</f>
        <v>0.31105169340463457</v>
      </c>
    </row>
    <row r="24" spans="2:15" s="49" customFormat="1" ht="30">
      <c r="B24" s="375" t="s">
        <v>64</v>
      </c>
      <c r="C24" s="53"/>
      <c r="D24" s="76" t="s">
        <v>62</v>
      </c>
      <c r="E24" s="77"/>
      <c r="F24" s="377">
        <f>'Res (100kWh)'!F24</f>
        <v>1.75</v>
      </c>
      <c r="G24" s="79">
        <v>1</v>
      </c>
      <c r="H24" s="80">
        <f>G24*F24</f>
        <v>1.75</v>
      </c>
      <c r="I24" s="62"/>
      <c r="J24" s="370">
        <f>'Res (100kWh)'!J24</f>
        <v>1.75</v>
      </c>
      <c r="K24" s="81">
        <v>1</v>
      </c>
      <c r="L24" s="80">
        <f>K24*J24</f>
        <v>1.75</v>
      </c>
      <c r="M24" s="62"/>
      <c r="N24" s="207">
        <f>L24-H24</f>
        <v>0</v>
      </c>
      <c r="O24" s="83">
        <f>IF((H24)=0,"",(N24/H24))</f>
        <v>0</v>
      </c>
    </row>
    <row r="25" spans="2:15" s="49" customFormat="1" ht="15">
      <c r="B25" s="376" t="s">
        <v>66</v>
      </c>
      <c r="C25" s="53"/>
      <c r="D25" s="76" t="s">
        <v>62</v>
      </c>
      <c r="E25" s="77"/>
      <c r="F25" s="370">
        <f>'Res (100kWh)'!F25</f>
        <v>0</v>
      </c>
      <c r="G25" s="79">
        <v>1</v>
      </c>
      <c r="H25" s="80">
        <f>G25*F25</f>
        <v>0</v>
      </c>
      <c r="I25" s="62"/>
      <c r="J25" s="467">
        <f>'Res (100kWh)'!J25</f>
        <v>-0.04</v>
      </c>
      <c r="K25" s="81">
        <v>1</v>
      </c>
      <c r="L25" s="80">
        <f>K25*J25</f>
        <v>-0.04</v>
      </c>
      <c r="M25" s="62"/>
      <c r="N25" s="207">
        <f>L25-H25</f>
        <v>-0.04</v>
      </c>
      <c r="O25" s="83">
        <f>IF((H25)=0,"",(N25/H25))</f>
      </c>
    </row>
    <row r="26" spans="2:15" s="49" customFormat="1" ht="15" hidden="1">
      <c r="B26" s="375"/>
      <c r="C26" s="53"/>
      <c r="D26" s="86" t="s">
        <v>62</v>
      </c>
      <c r="E26" s="88"/>
      <c r="F26" s="370">
        <f>'Res (100kWh)'!F26</f>
        <v>0</v>
      </c>
      <c r="G26" s="79">
        <v>1</v>
      </c>
      <c r="H26" s="80">
        <f aca="true" t="shared" si="0" ref="H26:H40">G26*F26</f>
        <v>0</v>
      </c>
      <c r="I26" s="62"/>
      <c r="J26" s="370">
        <f>'Res (100kWh)'!J26</f>
        <v>0</v>
      </c>
      <c r="K26" s="81">
        <v>1</v>
      </c>
      <c r="L26" s="80">
        <f aca="true" t="shared" si="1" ref="L26:L40">K26*J26</f>
        <v>0</v>
      </c>
      <c r="M26" s="62"/>
      <c r="N26" s="207">
        <f aca="true" t="shared" si="2" ref="N26:N71">L26-H26</f>
        <v>0</v>
      </c>
      <c r="O26" s="83">
        <f aca="true" t="shared" si="3" ref="O26:O50">IF((H26)=0,"",(N26/H26))</f>
      </c>
    </row>
    <row r="27" spans="2:15" s="49" customFormat="1" ht="15" hidden="1">
      <c r="B27" s="375" t="s">
        <v>65</v>
      </c>
      <c r="C27" s="53"/>
      <c r="D27" s="76" t="s">
        <v>62</v>
      </c>
      <c r="E27" s="77"/>
      <c r="F27" s="104">
        <f>'Res (100kWh)'!F27</f>
        <v>0</v>
      </c>
      <c r="G27" s="79">
        <v>1</v>
      </c>
      <c r="H27" s="80">
        <f t="shared" si="0"/>
        <v>0</v>
      </c>
      <c r="I27" s="62"/>
      <c r="J27" s="370">
        <f>'Res (100kWh)'!J27</f>
        <v>0</v>
      </c>
      <c r="K27" s="81">
        <v>1</v>
      </c>
      <c r="L27" s="80">
        <f t="shared" si="1"/>
        <v>0</v>
      </c>
      <c r="M27" s="62"/>
      <c r="N27" s="207">
        <f t="shared" si="2"/>
        <v>0</v>
      </c>
      <c r="O27" s="83">
        <f t="shared" si="3"/>
      </c>
    </row>
    <row r="28" spans="2:15" s="49" customFormat="1" ht="15" hidden="1">
      <c r="B28" s="376"/>
      <c r="C28" s="53"/>
      <c r="D28" s="76" t="s">
        <v>62</v>
      </c>
      <c r="E28" s="77"/>
      <c r="F28" s="104">
        <f>'Res (100kWh)'!F28</f>
        <v>0</v>
      </c>
      <c r="G28" s="79">
        <v>1</v>
      </c>
      <c r="H28" s="80">
        <f t="shared" si="0"/>
        <v>0</v>
      </c>
      <c r="I28" s="62"/>
      <c r="J28" s="370">
        <f>'Res (100kWh)'!J28</f>
        <v>0</v>
      </c>
      <c r="K28" s="79">
        <v>1</v>
      </c>
      <c r="L28" s="80">
        <f t="shared" si="1"/>
        <v>0</v>
      </c>
      <c r="M28" s="62"/>
      <c r="N28" s="207">
        <f t="shared" si="2"/>
        <v>0</v>
      </c>
      <c r="O28" s="83">
        <f t="shared" si="3"/>
      </c>
    </row>
    <row r="29" spans="2:15" s="49" customFormat="1" ht="15">
      <c r="B29" s="53" t="s">
        <v>108</v>
      </c>
      <c r="C29" s="53"/>
      <c r="D29" s="76" t="s">
        <v>63</v>
      </c>
      <c r="E29" s="77"/>
      <c r="F29" s="378">
        <f>'Res (100kWh)'!F29</f>
        <v>0</v>
      </c>
      <c r="G29" s="79">
        <f>$F$18</f>
        <v>2000</v>
      </c>
      <c r="H29" s="80">
        <f t="shared" si="0"/>
        <v>0</v>
      </c>
      <c r="I29" s="62"/>
      <c r="J29" s="432">
        <f>'Res (100kWh)'!J29</f>
        <v>0.0007</v>
      </c>
      <c r="K29" s="79">
        <f>$F$18</f>
        <v>2000</v>
      </c>
      <c r="L29" s="80">
        <f t="shared" si="1"/>
        <v>1.4</v>
      </c>
      <c r="M29" s="62"/>
      <c r="N29" s="207">
        <f t="shared" si="2"/>
        <v>1.4</v>
      </c>
      <c r="O29" s="83">
        <f t="shared" si="3"/>
      </c>
    </row>
    <row r="30" spans="2:15" s="49" customFormat="1" ht="15" hidden="1">
      <c r="B30" s="56" t="s">
        <v>92</v>
      </c>
      <c r="C30" s="53"/>
      <c r="D30" s="76" t="s">
        <v>63</v>
      </c>
      <c r="E30" s="77"/>
      <c r="F30" s="104">
        <f>'Res (100kWh)'!F30</f>
        <v>0</v>
      </c>
      <c r="G30" s="79">
        <f>$F$18</f>
        <v>2000</v>
      </c>
      <c r="H30" s="80">
        <f t="shared" si="0"/>
        <v>0</v>
      </c>
      <c r="I30" s="62"/>
      <c r="J30" s="103">
        <f>'Res (100kWh)'!J30</f>
        <v>0</v>
      </c>
      <c r="K30" s="79">
        <f>$F$18</f>
        <v>2000</v>
      </c>
      <c r="L30" s="80">
        <f>K30*J30</f>
        <v>0</v>
      </c>
      <c r="M30" s="62"/>
      <c r="N30" s="207">
        <f>L30-H30</f>
        <v>0</v>
      </c>
      <c r="O30" s="83">
        <f>IF((H30)=0,"",(N30/H30))</f>
      </c>
    </row>
    <row r="31" spans="2:15" s="49" customFormat="1" ht="15">
      <c r="B31" s="53" t="s">
        <v>21</v>
      </c>
      <c r="C31" s="53"/>
      <c r="D31" s="76" t="s">
        <v>63</v>
      </c>
      <c r="E31" s="77"/>
      <c r="F31" s="104">
        <f>'Res (100kWh)'!F31</f>
        <v>0.0211</v>
      </c>
      <c r="G31" s="79">
        <f>$F$18</f>
        <v>2000</v>
      </c>
      <c r="H31" s="80">
        <f t="shared" si="0"/>
        <v>42.2</v>
      </c>
      <c r="I31" s="62"/>
      <c r="J31" s="431">
        <f>'Res (100kWh)'!J31</f>
        <v>0.0169</v>
      </c>
      <c r="K31" s="79">
        <f>$F$18</f>
        <v>2000</v>
      </c>
      <c r="L31" s="80">
        <f t="shared" si="1"/>
        <v>33.8</v>
      </c>
      <c r="M31" s="62"/>
      <c r="N31" s="207">
        <f t="shared" si="2"/>
        <v>-8.400000000000006</v>
      </c>
      <c r="O31" s="83">
        <f t="shared" si="3"/>
        <v>-0.1990521327014219</v>
      </c>
    </row>
    <row r="32" spans="2:15" s="49" customFormat="1" ht="15" hidden="1">
      <c r="B32" s="53" t="s">
        <v>22</v>
      </c>
      <c r="C32" s="53"/>
      <c r="D32" s="76"/>
      <c r="E32" s="77"/>
      <c r="F32" s="89">
        <f>'Res (100kWh)'!F32</f>
        <v>0</v>
      </c>
      <c r="G32" s="79">
        <f>$F$18</f>
        <v>2000</v>
      </c>
      <c r="H32" s="80">
        <f t="shared" si="0"/>
        <v>0</v>
      </c>
      <c r="I32" s="62"/>
      <c r="J32" s="103">
        <f>'Res (100kWh)'!J32</f>
        <v>0</v>
      </c>
      <c r="K32" s="79">
        <f aca="true" t="shared" si="4" ref="K32:K40">$F$18</f>
        <v>2000</v>
      </c>
      <c r="L32" s="80">
        <f t="shared" si="1"/>
        <v>0</v>
      </c>
      <c r="M32" s="62"/>
      <c r="N32" s="82">
        <f t="shared" si="2"/>
        <v>0</v>
      </c>
      <c r="O32" s="83">
        <f t="shared" si="3"/>
      </c>
    </row>
    <row r="33" spans="2:15" s="49" customFormat="1" ht="15" hidden="1">
      <c r="B33" s="53" t="s">
        <v>108</v>
      </c>
      <c r="C33" s="53"/>
      <c r="D33" s="76"/>
      <c r="E33" s="77"/>
      <c r="F33" s="89">
        <f>'Res (100kWh)'!F33</f>
        <v>0</v>
      </c>
      <c r="G33" s="79">
        <f>$F$18</f>
        <v>2000</v>
      </c>
      <c r="H33" s="80">
        <f t="shared" si="0"/>
        <v>0</v>
      </c>
      <c r="I33" s="62"/>
      <c r="J33" s="103">
        <f>'Res (100kWh)'!J33</f>
        <v>0</v>
      </c>
      <c r="K33" s="79">
        <f t="shared" si="4"/>
        <v>2000</v>
      </c>
      <c r="L33" s="80">
        <f t="shared" si="1"/>
        <v>0</v>
      </c>
      <c r="M33" s="62"/>
      <c r="N33" s="82">
        <f t="shared" si="2"/>
        <v>0</v>
      </c>
      <c r="O33" s="83">
        <f t="shared" si="3"/>
      </c>
    </row>
    <row r="34" spans="2:15" s="49" customFormat="1" ht="15" hidden="1">
      <c r="B34" s="57"/>
      <c r="C34" s="53"/>
      <c r="D34" s="76"/>
      <c r="E34" s="77"/>
      <c r="F34" s="89">
        <f>'Res (100kWh)'!F34</f>
        <v>0</v>
      </c>
      <c r="G34" s="79">
        <f aca="true" t="shared" si="5" ref="G34:G40">$F$18</f>
        <v>2000</v>
      </c>
      <c r="H34" s="80">
        <f t="shared" si="0"/>
        <v>0</v>
      </c>
      <c r="I34" s="62"/>
      <c r="J34" s="103">
        <f>'Res (100kWh)'!J34</f>
        <v>0</v>
      </c>
      <c r="K34" s="79">
        <f t="shared" si="4"/>
        <v>2000</v>
      </c>
      <c r="L34" s="80">
        <f t="shared" si="1"/>
        <v>0</v>
      </c>
      <c r="M34" s="62"/>
      <c r="N34" s="82">
        <f t="shared" si="2"/>
        <v>0</v>
      </c>
      <c r="O34" s="83">
        <f t="shared" si="3"/>
      </c>
    </row>
    <row r="35" spans="2:15" s="49" customFormat="1" ht="15" hidden="1">
      <c r="B35" s="57"/>
      <c r="C35" s="53"/>
      <c r="D35" s="76"/>
      <c r="E35" s="77"/>
      <c r="F35" s="89">
        <f>'Res (100kWh)'!F35</f>
        <v>0</v>
      </c>
      <c r="G35" s="79">
        <f t="shared" si="5"/>
        <v>2000</v>
      </c>
      <c r="H35" s="80">
        <f t="shared" si="0"/>
        <v>0</v>
      </c>
      <c r="I35" s="62"/>
      <c r="J35" s="103">
        <f>'Res (100kWh)'!J35</f>
        <v>0</v>
      </c>
      <c r="K35" s="79">
        <f t="shared" si="4"/>
        <v>2000</v>
      </c>
      <c r="L35" s="80">
        <f t="shared" si="1"/>
        <v>0</v>
      </c>
      <c r="M35" s="62"/>
      <c r="N35" s="82">
        <f t="shared" si="2"/>
        <v>0</v>
      </c>
      <c r="O35" s="83">
        <f t="shared" si="3"/>
      </c>
    </row>
    <row r="36" spans="2:15" s="49" customFormat="1" ht="15" hidden="1">
      <c r="B36" s="57"/>
      <c r="C36" s="53"/>
      <c r="D36" s="76"/>
      <c r="E36" s="77"/>
      <c r="F36" s="89">
        <f>'Res (100kWh)'!F36</f>
        <v>0</v>
      </c>
      <c r="G36" s="79">
        <f t="shared" si="5"/>
        <v>2000</v>
      </c>
      <c r="H36" s="80">
        <f t="shared" si="0"/>
        <v>0</v>
      </c>
      <c r="I36" s="62"/>
      <c r="J36" s="103">
        <f>'Res (100kWh)'!J36</f>
        <v>0</v>
      </c>
      <c r="K36" s="79">
        <f t="shared" si="4"/>
        <v>2000</v>
      </c>
      <c r="L36" s="80">
        <f t="shared" si="1"/>
        <v>0</v>
      </c>
      <c r="M36" s="62"/>
      <c r="N36" s="82">
        <f t="shared" si="2"/>
        <v>0</v>
      </c>
      <c r="O36" s="83">
        <f t="shared" si="3"/>
      </c>
    </row>
    <row r="37" spans="2:15" s="49" customFormat="1" ht="15" hidden="1">
      <c r="B37" s="57"/>
      <c r="C37" s="53"/>
      <c r="D37" s="76"/>
      <c r="E37" s="77"/>
      <c r="F37" s="89">
        <f>'Res (100kWh)'!F37</f>
        <v>0</v>
      </c>
      <c r="G37" s="79">
        <f t="shared" si="5"/>
        <v>2000</v>
      </c>
      <c r="H37" s="80">
        <f t="shared" si="0"/>
        <v>0</v>
      </c>
      <c r="I37" s="62"/>
      <c r="J37" s="103">
        <f>'Res (100kWh)'!J37</f>
        <v>0</v>
      </c>
      <c r="K37" s="79">
        <f t="shared" si="4"/>
        <v>2000</v>
      </c>
      <c r="L37" s="80">
        <f t="shared" si="1"/>
        <v>0</v>
      </c>
      <c r="M37" s="62"/>
      <c r="N37" s="82">
        <f t="shared" si="2"/>
        <v>0</v>
      </c>
      <c r="O37" s="83">
        <f t="shared" si="3"/>
      </c>
    </row>
    <row r="38" spans="2:15" s="49" customFormat="1" ht="15" hidden="1">
      <c r="B38" s="57"/>
      <c r="C38" s="53"/>
      <c r="D38" s="76"/>
      <c r="E38" s="77"/>
      <c r="F38" s="89">
        <f>'Res (100kWh)'!F38</f>
        <v>0</v>
      </c>
      <c r="G38" s="79">
        <f t="shared" si="5"/>
        <v>2000</v>
      </c>
      <c r="H38" s="80">
        <f t="shared" si="0"/>
        <v>0</v>
      </c>
      <c r="I38" s="62"/>
      <c r="J38" s="103">
        <f>'Res (100kWh)'!J38</f>
        <v>0</v>
      </c>
      <c r="K38" s="79">
        <f t="shared" si="4"/>
        <v>2000</v>
      </c>
      <c r="L38" s="80">
        <f t="shared" si="1"/>
        <v>0</v>
      </c>
      <c r="M38" s="62"/>
      <c r="N38" s="82">
        <f t="shared" si="2"/>
        <v>0</v>
      </c>
      <c r="O38" s="83">
        <f t="shared" si="3"/>
      </c>
    </row>
    <row r="39" spans="2:15" s="49" customFormat="1" ht="15" hidden="1">
      <c r="B39" s="57"/>
      <c r="C39" s="53"/>
      <c r="D39" s="76"/>
      <c r="E39" s="77"/>
      <c r="F39" s="89">
        <f>'Res (100kWh)'!F39</f>
        <v>0</v>
      </c>
      <c r="G39" s="79">
        <f t="shared" si="5"/>
        <v>2000</v>
      </c>
      <c r="H39" s="80">
        <f t="shared" si="0"/>
        <v>0</v>
      </c>
      <c r="I39" s="62"/>
      <c r="J39" s="103">
        <f>'Res (100kWh)'!J39</f>
        <v>0</v>
      </c>
      <c r="K39" s="79">
        <f t="shared" si="4"/>
        <v>2000</v>
      </c>
      <c r="L39" s="80">
        <f t="shared" si="1"/>
        <v>0</v>
      </c>
      <c r="M39" s="62"/>
      <c r="N39" s="82">
        <f t="shared" si="2"/>
        <v>0</v>
      </c>
      <c r="O39" s="83">
        <f t="shared" si="3"/>
      </c>
    </row>
    <row r="40" spans="2:15" s="49" customFormat="1" ht="15" hidden="1">
      <c r="B40" s="57"/>
      <c r="C40" s="53"/>
      <c r="D40" s="76"/>
      <c r="E40" s="77"/>
      <c r="F40" s="89">
        <f>'Res (100kWh)'!F40</f>
        <v>0</v>
      </c>
      <c r="G40" s="79">
        <f t="shared" si="5"/>
        <v>2000</v>
      </c>
      <c r="H40" s="80">
        <f t="shared" si="0"/>
        <v>0</v>
      </c>
      <c r="I40" s="62"/>
      <c r="J40" s="103">
        <f>'Res (100kWh)'!J40</f>
        <v>0</v>
      </c>
      <c r="K40" s="79">
        <f t="shared" si="4"/>
        <v>2000</v>
      </c>
      <c r="L40" s="80">
        <f t="shared" si="1"/>
        <v>0</v>
      </c>
      <c r="M40" s="62"/>
      <c r="N40" s="82">
        <f t="shared" si="2"/>
        <v>0</v>
      </c>
      <c r="O40" s="83">
        <f t="shared" si="3"/>
      </c>
    </row>
    <row r="41" spans="2:15" s="99" customFormat="1" ht="15">
      <c r="B41" s="58" t="s">
        <v>24</v>
      </c>
      <c r="C41" s="91"/>
      <c r="D41" s="92"/>
      <c r="E41" s="91"/>
      <c r="F41" s="93"/>
      <c r="G41" s="94"/>
      <c r="H41" s="95">
        <f>SUM(H23:H40)</f>
        <v>55.17</v>
      </c>
      <c r="I41" s="96"/>
      <c r="J41" s="371"/>
      <c r="K41" s="98"/>
      <c r="L41" s="95">
        <f>SUM(L23:L40)</f>
        <v>51.62</v>
      </c>
      <c r="M41" s="96"/>
      <c r="N41" s="142">
        <f t="shared" si="2"/>
        <v>-3.5500000000000043</v>
      </c>
      <c r="O41" s="143">
        <f t="shared" si="3"/>
        <v>-0.06434656516222592</v>
      </c>
    </row>
    <row r="42" spans="2:15" s="49" customFormat="1" ht="15" hidden="1">
      <c r="B42" s="55"/>
      <c r="C42" s="53"/>
      <c r="D42" s="86" t="s">
        <v>62</v>
      </c>
      <c r="E42" s="77"/>
      <c r="F42" s="89">
        <f>'Res (100kWh)'!F42</f>
        <v>0</v>
      </c>
      <c r="G42" s="79">
        <v>1</v>
      </c>
      <c r="H42" s="80">
        <f>G42*F42</f>
        <v>0</v>
      </c>
      <c r="I42" s="62"/>
      <c r="J42" s="370"/>
      <c r="K42" s="81">
        <v>1</v>
      </c>
      <c r="L42" s="80">
        <f>K42*J42</f>
        <v>0</v>
      </c>
      <c r="M42" s="62"/>
      <c r="N42" s="82">
        <f>L42-H42</f>
        <v>0</v>
      </c>
      <c r="O42" s="83">
        <f>IF((H42)=0,"",(N42/H42))</f>
      </c>
    </row>
    <row r="43" spans="2:15" s="49" customFormat="1" ht="15">
      <c r="B43" s="376" t="s">
        <v>25</v>
      </c>
      <c r="C43" s="53"/>
      <c r="D43" s="86" t="s">
        <v>63</v>
      </c>
      <c r="E43" s="88"/>
      <c r="F43" s="372">
        <f>'Res (100kWh)'!F43</f>
        <v>-0.007</v>
      </c>
      <c r="G43" s="79">
        <f>$F$18</f>
        <v>2000</v>
      </c>
      <c r="H43" s="80">
        <f aca="true" t="shared" si="6" ref="H43:H51">G43*F43</f>
        <v>-14</v>
      </c>
      <c r="I43" s="62"/>
      <c r="J43" s="372">
        <f>'Res (100kWh)'!J43</f>
        <v>0.0021</v>
      </c>
      <c r="K43" s="79">
        <f>$F$18</f>
        <v>2000</v>
      </c>
      <c r="L43" s="80">
        <f aca="true" t="shared" si="7" ref="L43:L51">K43*J43</f>
        <v>4.2</v>
      </c>
      <c r="M43" s="62"/>
      <c r="N43" s="207">
        <f t="shared" si="2"/>
        <v>18.2</v>
      </c>
      <c r="O43" s="83">
        <f t="shared" si="3"/>
        <v>-1.3</v>
      </c>
    </row>
    <row r="44" spans="2:15" s="49" customFormat="1" ht="15" hidden="1">
      <c r="B44" s="56"/>
      <c r="C44" s="53"/>
      <c r="D44" s="76" t="s">
        <v>63</v>
      </c>
      <c r="E44" s="77"/>
      <c r="F44" s="104">
        <f>'Res (100kWh)'!F44</f>
        <v>0</v>
      </c>
      <c r="G44" s="79">
        <f>$F$18</f>
        <v>2000</v>
      </c>
      <c r="H44" s="80">
        <f t="shared" si="6"/>
        <v>0</v>
      </c>
      <c r="I44" s="101"/>
      <c r="J44" s="103">
        <f>'Res (100kWh)'!J44</f>
        <v>0</v>
      </c>
      <c r="K44" s="79">
        <f>$F$18</f>
        <v>2000</v>
      </c>
      <c r="L44" s="80">
        <f t="shared" si="7"/>
        <v>0</v>
      </c>
      <c r="M44" s="102"/>
      <c r="N44" s="207">
        <f t="shared" si="2"/>
        <v>0</v>
      </c>
      <c r="O44" s="83">
        <f t="shared" si="3"/>
      </c>
    </row>
    <row r="45" spans="2:15" s="49" customFormat="1" ht="15" hidden="1">
      <c r="B45" s="56"/>
      <c r="C45" s="53"/>
      <c r="D45" s="76" t="s">
        <v>63</v>
      </c>
      <c r="E45" s="77"/>
      <c r="F45" s="104">
        <f>'Res (100kWh)'!F45</f>
        <v>0</v>
      </c>
      <c r="G45" s="79">
        <f>$F$18</f>
        <v>2000</v>
      </c>
      <c r="H45" s="80">
        <f t="shared" si="6"/>
        <v>0</v>
      </c>
      <c r="I45" s="101"/>
      <c r="J45" s="103">
        <f>'Res (100kWh)'!J45</f>
        <v>0</v>
      </c>
      <c r="K45" s="79">
        <f>$F$18</f>
        <v>2000</v>
      </c>
      <c r="L45" s="80">
        <f t="shared" si="7"/>
        <v>0</v>
      </c>
      <c r="M45" s="102"/>
      <c r="N45" s="207">
        <f t="shared" si="2"/>
        <v>0</v>
      </c>
      <c r="O45" s="83">
        <f t="shared" si="3"/>
      </c>
    </row>
    <row r="46" spans="2:15" s="49" customFormat="1" ht="15" hidden="1">
      <c r="B46" s="375"/>
      <c r="C46" s="53"/>
      <c r="D46" s="76" t="s">
        <v>62</v>
      </c>
      <c r="E46" s="77"/>
      <c r="F46" s="104">
        <f>'Res (100kWh)'!F46</f>
        <v>0</v>
      </c>
      <c r="G46" s="79">
        <v>1</v>
      </c>
      <c r="H46" s="80">
        <f t="shared" si="6"/>
        <v>0</v>
      </c>
      <c r="I46" s="101"/>
      <c r="J46" s="103">
        <f>'Res (100kWh)'!J46</f>
        <v>0</v>
      </c>
      <c r="K46" s="79">
        <v>1</v>
      </c>
      <c r="L46" s="80">
        <f t="shared" si="7"/>
        <v>0</v>
      </c>
      <c r="M46" s="102"/>
      <c r="N46" s="207">
        <f t="shared" si="2"/>
        <v>0</v>
      </c>
      <c r="O46" s="83">
        <f t="shared" si="3"/>
      </c>
    </row>
    <row r="47" spans="2:15" s="49" customFormat="1" ht="15" hidden="1">
      <c r="B47" s="376"/>
      <c r="C47" s="53"/>
      <c r="D47" s="76" t="s">
        <v>62</v>
      </c>
      <c r="E47" s="77"/>
      <c r="F47" s="104">
        <f>'Res (100kWh)'!F47</f>
        <v>0</v>
      </c>
      <c r="G47" s="79">
        <v>1</v>
      </c>
      <c r="H47" s="80">
        <f t="shared" si="6"/>
        <v>0</v>
      </c>
      <c r="I47" s="62"/>
      <c r="J47" s="207">
        <f>'Res (100kWh)'!J47</f>
        <v>0</v>
      </c>
      <c r="K47" s="79">
        <v>1</v>
      </c>
      <c r="L47" s="80">
        <f t="shared" si="7"/>
        <v>0</v>
      </c>
      <c r="M47" s="62"/>
      <c r="N47" s="207">
        <f>L47-H47</f>
        <v>0</v>
      </c>
      <c r="O47" s="83">
        <f>IF((H47)=0,"",(N47/H47))</f>
      </c>
    </row>
    <row r="48" spans="2:15" s="49" customFormat="1" ht="15" hidden="1">
      <c r="B48" s="53"/>
      <c r="C48" s="53"/>
      <c r="D48" s="76" t="s">
        <v>63</v>
      </c>
      <c r="E48" s="77"/>
      <c r="F48" s="104">
        <f>'Res (100kWh)'!F48</f>
        <v>0</v>
      </c>
      <c r="G48" s="79">
        <f>$F$18</f>
        <v>2000</v>
      </c>
      <c r="H48" s="80">
        <f t="shared" si="6"/>
        <v>0</v>
      </c>
      <c r="I48" s="62"/>
      <c r="J48" s="103">
        <f>'Res (100kWh)'!J48</f>
        <v>0</v>
      </c>
      <c r="K48" s="79">
        <f>$F$18</f>
        <v>2000</v>
      </c>
      <c r="L48" s="80">
        <f t="shared" si="7"/>
        <v>0</v>
      </c>
      <c r="M48" s="62"/>
      <c r="N48" s="207">
        <f>L48-H48</f>
        <v>0</v>
      </c>
      <c r="O48" s="83">
        <f>IF((H48)=0,"",(N48/H48))</f>
      </c>
    </row>
    <row r="49" spans="2:15" s="49" customFormat="1" ht="15">
      <c r="B49" s="59" t="s">
        <v>26</v>
      </c>
      <c r="C49" s="53"/>
      <c r="D49" s="76" t="s">
        <v>63</v>
      </c>
      <c r="E49" s="77"/>
      <c r="F49" s="104">
        <f>'Res (100kWh)'!F49</f>
        <v>0.0024</v>
      </c>
      <c r="G49" s="79">
        <f>$F$18</f>
        <v>2000</v>
      </c>
      <c r="H49" s="80">
        <f t="shared" si="6"/>
        <v>4.8</v>
      </c>
      <c r="I49" s="62"/>
      <c r="J49" s="103">
        <f>'Res (100kWh)'!J49</f>
        <v>0.0024</v>
      </c>
      <c r="K49" s="79">
        <f>$F$18</f>
        <v>2000</v>
      </c>
      <c r="L49" s="80">
        <f t="shared" si="7"/>
        <v>4.8</v>
      </c>
      <c r="M49" s="62"/>
      <c r="N49" s="207">
        <f t="shared" si="2"/>
        <v>0</v>
      </c>
      <c r="O49" s="83">
        <f t="shared" si="3"/>
        <v>0</v>
      </c>
    </row>
    <row r="50" spans="2:15" s="99" customFormat="1" ht="15">
      <c r="B50" s="60" t="s">
        <v>27</v>
      </c>
      <c r="C50" s="77"/>
      <c r="D50" s="76" t="s">
        <v>63</v>
      </c>
      <c r="E50" s="77"/>
      <c r="F50" s="431">
        <f>IF(ISBLANK(D16)=TRUE,0,IF(D16="TOU",0.64*$F$61+0.18*$F$62+0.18*$F$63,IF(AND(D16="non-TOU",G65&gt;0),F65,F64)))</f>
        <v>0.10214000000000001</v>
      </c>
      <c r="G50" s="79">
        <f>$F$18*(1+$F$80)-$F$18</f>
        <v>99</v>
      </c>
      <c r="H50" s="105">
        <f t="shared" si="6"/>
        <v>10.11186</v>
      </c>
      <c r="I50" s="88"/>
      <c r="J50" s="432">
        <f>0.64*$F$61+0.18*$F$62+0.18*$F$63</f>
        <v>0.10214000000000001</v>
      </c>
      <c r="K50" s="79">
        <f>$F$18*(1+$J$80)-$F$18</f>
        <v>99</v>
      </c>
      <c r="L50" s="105">
        <f t="shared" si="7"/>
        <v>10.11186</v>
      </c>
      <c r="M50" s="88"/>
      <c r="N50" s="207">
        <f t="shared" si="2"/>
        <v>0</v>
      </c>
      <c r="O50" s="106">
        <f t="shared" si="3"/>
        <v>0</v>
      </c>
    </row>
    <row r="51" spans="2:15" s="49" customFormat="1" ht="15">
      <c r="B51" s="59" t="s">
        <v>28</v>
      </c>
      <c r="C51" s="53"/>
      <c r="D51" s="76" t="s">
        <v>62</v>
      </c>
      <c r="E51" s="77"/>
      <c r="F51" s="369">
        <f>'Res (100kWh)'!F51</f>
        <v>0.79</v>
      </c>
      <c r="G51" s="79">
        <v>1</v>
      </c>
      <c r="H51" s="80">
        <f t="shared" si="6"/>
        <v>0.79</v>
      </c>
      <c r="I51" s="62"/>
      <c r="J51" s="369">
        <f>'Res (100kWh)'!J51</f>
        <v>0.79</v>
      </c>
      <c r="K51" s="79">
        <v>1</v>
      </c>
      <c r="L51" s="80">
        <f t="shared" si="7"/>
        <v>0.79</v>
      </c>
      <c r="M51" s="62"/>
      <c r="N51" s="207">
        <f t="shared" si="2"/>
        <v>0</v>
      </c>
      <c r="O51" s="83"/>
    </row>
    <row r="52" spans="2:15" s="49" customFormat="1" ht="15">
      <c r="B52" s="61" t="s">
        <v>29</v>
      </c>
      <c r="C52" s="107"/>
      <c r="D52" s="107"/>
      <c r="E52" s="107"/>
      <c r="F52" s="108"/>
      <c r="G52" s="109"/>
      <c r="H52" s="144">
        <f>SUM(H42:H51)+H41</f>
        <v>56.871860000000005</v>
      </c>
      <c r="I52" s="96"/>
      <c r="J52" s="373"/>
      <c r="K52" s="110"/>
      <c r="L52" s="144">
        <f>SUM(L42:L51)+L41</f>
        <v>71.52186</v>
      </c>
      <c r="M52" s="96"/>
      <c r="N52" s="142">
        <f t="shared" si="2"/>
        <v>14.649999999999999</v>
      </c>
      <c r="O52" s="143">
        <f aca="true" t="shared" si="8" ref="O52:O71">IF((H52)=0,"",(N52/H52))</f>
        <v>0.2575966391814862</v>
      </c>
    </row>
    <row r="53" spans="2:15" s="49" customFormat="1" ht="15">
      <c r="B53" s="62" t="s">
        <v>30</v>
      </c>
      <c r="C53" s="62"/>
      <c r="D53" s="86" t="s">
        <v>63</v>
      </c>
      <c r="E53" s="88"/>
      <c r="F53" s="103">
        <f>'Res (100kWh)'!F53</f>
        <v>0.0048</v>
      </c>
      <c r="G53" s="468">
        <f>F18*(1+F80)</f>
        <v>2099</v>
      </c>
      <c r="H53" s="105">
        <f>G53*F53</f>
        <v>10.075199999999999</v>
      </c>
      <c r="I53" s="88"/>
      <c r="J53" s="103">
        <f>'Res (100kWh)'!J53</f>
        <v>0.0064</v>
      </c>
      <c r="K53" s="469">
        <f>F18*(1+J80)</f>
        <v>2099</v>
      </c>
      <c r="L53" s="80">
        <f>K53*J53</f>
        <v>13.4336</v>
      </c>
      <c r="M53" s="62"/>
      <c r="N53" s="207">
        <f t="shared" si="2"/>
        <v>3.3584000000000014</v>
      </c>
      <c r="O53" s="83">
        <f t="shared" si="8"/>
        <v>0.33333333333333354</v>
      </c>
    </row>
    <row r="54" spans="2:15" s="49" customFormat="1" ht="15">
      <c r="B54" s="63" t="s">
        <v>31</v>
      </c>
      <c r="C54" s="62"/>
      <c r="D54" s="86" t="s">
        <v>63</v>
      </c>
      <c r="E54" s="88"/>
      <c r="F54" s="103">
        <f>'Res (100kWh)'!F54</f>
        <v>0.0019</v>
      </c>
      <c r="G54" s="468">
        <f>G53</f>
        <v>2099</v>
      </c>
      <c r="H54" s="105">
        <f>G54*F54</f>
        <v>3.9881</v>
      </c>
      <c r="I54" s="88"/>
      <c r="J54" s="103">
        <f>'Res (100kWh)'!J54</f>
        <v>0.003</v>
      </c>
      <c r="K54" s="469">
        <f>K53</f>
        <v>2099</v>
      </c>
      <c r="L54" s="80">
        <f>K54*J54</f>
        <v>6.297</v>
      </c>
      <c r="M54" s="62"/>
      <c r="N54" s="207">
        <f t="shared" si="2"/>
        <v>2.3088999999999995</v>
      </c>
      <c r="O54" s="83">
        <f t="shared" si="8"/>
        <v>0.5789473684210524</v>
      </c>
    </row>
    <row r="55" spans="2:15" s="49" customFormat="1" ht="15">
      <c r="B55" s="61" t="s">
        <v>32</v>
      </c>
      <c r="C55" s="91"/>
      <c r="D55" s="91"/>
      <c r="E55" s="91"/>
      <c r="F55" s="111"/>
      <c r="G55" s="109"/>
      <c r="H55" s="144">
        <f>SUM(H52:H54)</f>
        <v>70.93516000000001</v>
      </c>
      <c r="I55" s="145"/>
      <c r="J55" s="374"/>
      <c r="K55" s="147"/>
      <c r="L55" s="144">
        <f>SUM(L52:L54)</f>
        <v>91.25246</v>
      </c>
      <c r="M55" s="145"/>
      <c r="N55" s="142">
        <f t="shared" si="2"/>
        <v>20.31729999999999</v>
      </c>
      <c r="O55" s="143">
        <f t="shared" si="8"/>
        <v>0.28642072563168935</v>
      </c>
    </row>
    <row r="56" spans="2:15" s="49" customFormat="1" ht="15">
      <c r="B56" s="54" t="s">
        <v>33</v>
      </c>
      <c r="C56" s="53"/>
      <c r="D56" s="76" t="s">
        <v>63</v>
      </c>
      <c r="E56" s="77"/>
      <c r="F56" s="104">
        <f>'Res (100kWh)'!F56</f>
        <v>0.0044</v>
      </c>
      <c r="G56" s="468">
        <f>G54</f>
        <v>2099</v>
      </c>
      <c r="H56" s="105">
        <f aca="true" t="shared" si="9" ref="H56:H63">G56*F56</f>
        <v>9.2356</v>
      </c>
      <c r="I56" s="88"/>
      <c r="J56" s="432">
        <f>'Res (100kWh)'!J56</f>
        <v>0.0036</v>
      </c>
      <c r="K56" s="469">
        <f>K54</f>
        <v>2099</v>
      </c>
      <c r="L56" s="80">
        <f aca="true" t="shared" si="10" ref="L56:L63">K56*J56</f>
        <v>7.5564</v>
      </c>
      <c r="M56" s="62"/>
      <c r="N56" s="207">
        <f t="shared" si="2"/>
        <v>-1.6791999999999998</v>
      </c>
      <c r="O56" s="83">
        <f t="shared" si="8"/>
        <v>-0.1818181818181818</v>
      </c>
    </row>
    <row r="57" spans="2:15" s="49" customFormat="1" ht="15">
      <c r="B57" s="54" t="s">
        <v>34</v>
      </c>
      <c r="C57" s="53"/>
      <c r="D57" s="76" t="s">
        <v>63</v>
      </c>
      <c r="E57" s="77"/>
      <c r="F57" s="104">
        <f>'Res (100kWh)'!F57</f>
        <v>0.0013</v>
      </c>
      <c r="G57" s="468">
        <f>G54</f>
        <v>2099</v>
      </c>
      <c r="H57" s="105">
        <f t="shared" si="9"/>
        <v>2.7287</v>
      </c>
      <c r="I57" s="88"/>
      <c r="J57" s="103">
        <f>'Res (100kWh)'!J57</f>
        <v>0.0013</v>
      </c>
      <c r="K57" s="469">
        <f>K54</f>
        <v>2099</v>
      </c>
      <c r="L57" s="80">
        <f t="shared" si="10"/>
        <v>2.7287</v>
      </c>
      <c r="M57" s="62"/>
      <c r="N57" s="207">
        <f t="shared" si="2"/>
        <v>0</v>
      </c>
      <c r="O57" s="83">
        <f t="shared" si="8"/>
        <v>0</v>
      </c>
    </row>
    <row r="58" spans="2:15" s="49" customFormat="1" ht="15">
      <c r="B58" s="54" t="s">
        <v>121</v>
      </c>
      <c r="C58" s="53"/>
      <c r="D58" s="76" t="s">
        <v>63</v>
      </c>
      <c r="E58" s="77"/>
      <c r="F58" s="104">
        <f>'Res (100kWh)'!F58</f>
        <v>0</v>
      </c>
      <c r="G58" s="468">
        <f>G54</f>
        <v>2099</v>
      </c>
      <c r="H58" s="105">
        <f t="shared" si="9"/>
        <v>0</v>
      </c>
      <c r="I58" s="88"/>
      <c r="J58" s="432">
        <f>'Res (100kWh)'!J58</f>
        <v>0.0011</v>
      </c>
      <c r="K58" s="469">
        <f>K54</f>
        <v>2099</v>
      </c>
      <c r="L58" s="80">
        <f t="shared" si="10"/>
        <v>2.3089</v>
      </c>
      <c r="M58" s="62"/>
      <c r="N58" s="207">
        <f t="shared" si="2"/>
        <v>2.3089</v>
      </c>
      <c r="O58" s="83">
        <f t="shared" si="8"/>
      </c>
    </row>
    <row r="59" spans="2:15" s="49" customFormat="1" ht="15">
      <c r="B59" s="53" t="s">
        <v>35</v>
      </c>
      <c r="C59" s="53"/>
      <c r="D59" s="76" t="s">
        <v>62</v>
      </c>
      <c r="E59" s="77"/>
      <c r="F59" s="369">
        <f>'Res (100kWh)'!F59</f>
        <v>0.25</v>
      </c>
      <c r="G59" s="79">
        <v>1</v>
      </c>
      <c r="H59" s="105">
        <f t="shared" si="9"/>
        <v>0.25</v>
      </c>
      <c r="I59" s="88"/>
      <c r="J59" s="370">
        <f>'Res (100kWh)'!J59</f>
        <v>0.25</v>
      </c>
      <c r="K59" s="81">
        <v>1</v>
      </c>
      <c r="L59" s="80">
        <f t="shared" si="10"/>
        <v>0.25</v>
      </c>
      <c r="M59" s="62"/>
      <c r="N59" s="207">
        <f t="shared" si="2"/>
        <v>0</v>
      </c>
      <c r="O59" s="83">
        <f t="shared" si="8"/>
        <v>0</v>
      </c>
    </row>
    <row r="60" spans="2:15" s="49" customFormat="1" ht="15">
      <c r="B60" s="53" t="s">
        <v>36</v>
      </c>
      <c r="C60" s="53"/>
      <c r="D60" s="76" t="s">
        <v>63</v>
      </c>
      <c r="E60" s="77"/>
      <c r="F60" s="104">
        <f>'Res (100kWh)'!F60</f>
        <v>0.007</v>
      </c>
      <c r="G60" s="112">
        <f>F18</f>
        <v>2000</v>
      </c>
      <c r="H60" s="80">
        <f t="shared" si="9"/>
        <v>14</v>
      </c>
      <c r="I60" s="62"/>
      <c r="J60" s="103">
        <f>'Res (100kWh)'!J60</f>
        <v>0</v>
      </c>
      <c r="K60" s="113">
        <f>F18</f>
        <v>2000</v>
      </c>
      <c r="L60" s="80">
        <f t="shared" si="10"/>
        <v>0</v>
      </c>
      <c r="M60" s="62"/>
      <c r="N60" s="207">
        <f t="shared" si="2"/>
        <v>-14</v>
      </c>
      <c r="O60" s="83">
        <f t="shared" si="8"/>
        <v>-1</v>
      </c>
    </row>
    <row r="61" spans="2:19" s="49" customFormat="1" ht="15">
      <c r="B61" s="59" t="s">
        <v>37</v>
      </c>
      <c r="C61" s="53"/>
      <c r="D61" s="76" t="s">
        <v>63</v>
      </c>
      <c r="E61" s="77"/>
      <c r="F61" s="431">
        <f>'Res (100kWh)'!F61</f>
        <v>0.08</v>
      </c>
      <c r="G61" s="112">
        <f>0.64*$F$18</f>
        <v>1280</v>
      </c>
      <c r="H61" s="80">
        <f t="shared" si="9"/>
        <v>102.4</v>
      </c>
      <c r="I61" s="62"/>
      <c r="J61" s="431">
        <f>'Res (100kWh)'!J61</f>
        <v>0.08</v>
      </c>
      <c r="K61" s="112">
        <f>G61</f>
        <v>1280</v>
      </c>
      <c r="L61" s="80">
        <f t="shared" si="10"/>
        <v>102.4</v>
      </c>
      <c r="M61" s="62"/>
      <c r="N61" s="207">
        <f t="shared" si="2"/>
        <v>0</v>
      </c>
      <c r="O61" s="83">
        <f t="shared" si="8"/>
        <v>0</v>
      </c>
      <c r="S61" s="114"/>
    </row>
    <row r="62" spans="2:19" s="49" customFormat="1" ht="15">
      <c r="B62" s="59" t="s">
        <v>38</v>
      </c>
      <c r="C62" s="53"/>
      <c r="D62" s="76" t="s">
        <v>63</v>
      </c>
      <c r="E62" s="77"/>
      <c r="F62" s="431">
        <f>'Res (100kWh)'!F62</f>
        <v>0.122</v>
      </c>
      <c r="G62" s="112">
        <f>0.18*$F$18</f>
        <v>360</v>
      </c>
      <c r="H62" s="80">
        <f t="shared" si="9"/>
        <v>43.92</v>
      </c>
      <c r="I62" s="62"/>
      <c r="J62" s="431">
        <f>'Res (100kWh)'!J62</f>
        <v>0.122</v>
      </c>
      <c r="K62" s="112">
        <f>G62</f>
        <v>360</v>
      </c>
      <c r="L62" s="80">
        <f t="shared" si="10"/>
        <v>43.92</v>
      </c>
      <c r="M62" s="62"/>
      <c r="N62" s="207">
        <f t="shared" si="2"/>
        <v>0</v>
      </c>
      <c r="O62" s="83">
        <f t="shared" si="8"/>
        <v>0</v>
      </c>
      <c r="S62" s="114"/>
    </row>
    <row r="63" spans="2:19" s="49" customFormat="1" ht="15">
      <c r="B63" s="52" t="s">
        <v>39</v>
      </c>
      <c r="C63" s="53"/>
      <c r="D63" s="76" t="s">
        <v>63</v>
      </c>
      <c r="E63" s="77"/>
      <c r="F63" s="431">
        <f>'Res (100kWh)'!F63</f>
        <v>0.161</v>
      </c>
      <c r="G63" s="112">
        <f>0.18*$F$18</f>
        <v>360</v>
      </c>
      <c r="H63" s="80">
        <f t="shared" si="9"/>
        <v>57.96</v>
      </c>
      <c r="I63" s="62"/>
      <c r="J63" s="431">
        <f>'Res (100kWh)'!J63</f>
        <v>0.161</v>
      </c>
      <c r="K63" s="112">
        <f>G63</f>
        <v>360</v>
      </c>
      <c r="L63" s="80">
        <f t="shared" si="10"/>
        <v>57.96</v>
      </c>
      <c r="M63" s="62"/>
      <c r="N63" s="207">
        <f t="shared" si="2"/>
        <v>0</v>
      </c>
      <c r="O63" s="83">
        <f t="shared" si="8"/>
        <v>0</v>
      </c>
      <c r="S63" s="114"/>
    </row>
    <row r="64" spans="2:15" s="152" customFormat="1" ht="15">
      <c r="B64" s="64" t="s">
        <v>40</v>
      </c>
      <c r="C64" s="64"/>
      <c r="D64" s="148" t="s">
        <v>63</v>
      </c>
      <c r="E64" s="149"/>
      <c r="F64" s="431">
        <f>'Res (100kWh)'!F64</f>
        <v>0.094</v>
      </c>
      <c r="G64" s="150">
        <f>IF(AND($T$1=1,F18&gt;=600),600,IF(AND($T$1=1,AND(F18&lt;600,F18&gt;=0)),F18,IF(AND($T$1=2,F18&gt;=1000),1000,IF(AND($T$1=2,AND(F18&lt;1000,F18&gt;=0)),F18))))</f>
        <v>600</v>
      </c>
      <c r="H64" s="80">
        <f>G64*F64</f>
        <v>56.4</v>
      </c>
      <c r="I64" s="151"/>
      <c r="J64" s="431">
        <f>'Res (100kWh)'!J64</f>
        <v>0.094</v>
      </c>
      <c r="K64" s="150">
        <f>G64</f>
        <v>600</v>
      </c>
      <c r="L64" s="80">
        <f>K64*J64</f>
        <v>56.4</v>
      </c>
      <c r="M64" s="151"/>
      <c r="N64" s="207">
        <f t="shared" si="2"/>
        <v>0</v>
      </c>
      <c r="O64" s="83">
        <f t="shared" si="8"/>
        <v>0</v>
      </c>
    </row>
    <row r="65" spans="2:15" s="152" customFormat="1" ht="15.75" thickBot="1">
      <c r="B65" s="64" t="s">
        <v>41</v>
      </c>
      <c r="C65" s="64"/>
      <c r="D65" s="148" t="s">
        <v>63</v>
      </c>
      <c r="E65" s="149"/>
      <c r="F65" s="431">
        <f>'Res (100kWh)'!F65</f>
        <v>0.11</v>
      </c>
      <c r="G65" s="150">
        <f>IF(AND($T$1=1,F18&gt;=600),F18-600,IF(AND($T$1=1,AND(F18&lt;600,F18&gt;=0)),0,IF(AND($T$1=2,F18&gt;=1000),F18-1000,IF(AND($T$1=2,AND(F18&lt;1000,F18&gt;=0)),0))))</f>
        <v>1400</v>
      </c>
      <c r="H65" s="80">
        <f>G65*F65</f>
        <v>154</v>
      </c>
      <c r="I65" s="151"/>
      <c r="J65" s="431">
        <f>'Res (100kWh)'!J65</f>
        <v>0.11</v>
      </c>
      <c r="K65" s="150">
        <f>G65</f>
        <v>1400</v>
      </c>
      <c r="L65" s="80">
        <f>K65*J65</f>
        <v>154</v>
      </c>
      <c r="M65" s="151"/>
      <c r="N65" s="207">
        <f t="shared" si="2"/>
        <v>0</v>
      </c>
      <c r="O65" s="83">
        <f t="shared" si="8"/>
        <v>0</v>
      </c>
    </row>
    <row r="66" spans="2:15" s="49" customFormat="1" ht="8.25" customHeight="1" thickBot="1">
      <c r="B66" s="65"/>
      <c r="C66" s="74"/>
      <c r="D66" s="75"/>
      <c r="E66" s="74"/>
      <c r="F66" s="115"/>
      <c r="G66" s="116"/>
      <c r="H66" s="117"/>
      <c r="I66" s="118"/>
      <c r="J66" s="115"/>
      <c r="K66" s="119"/>
      <c r="L66" s="117"/>
      <c r="M66" s="118"/>
      <c r="N66" s="120"/>
      <c r="O66" s="121"/>
    </row>
    <row r="67" spans="2:19" s="49" customFormat="1" ht="15">
      <c r="B67" s="66" t="s">
        <v>42</v>
      </c>
      <c r="C67" s="53"/>
      <c r="D67" s="53"/>
      <c r="E67" s="53"/>
      <c r="F67" s="122"/>
      <c r="G67" s="123"/>
      <c r="H67" s="153">
        <f>SUM(H56:H63,H55)</f>
        <v>301.42946000000006</v>
      </c>
      <c r="I67" s="154"/>
      <c r="J67" s="155"/>
      <c r="K67" s="155"/>
      <c r="L67" s="156">
        <f>SUM(L56:L63,L55)</f>
        <v>308.37646</v>
      </c>
      <c r="M67" s="157"/>
      <c r="N67" s="208">
        <f>L67-H67</f>
        <v>6.946999999999946</v>
      </c>
      <c r="O67" s="158">
        <f>IF((H67)=0,"",(N67/H67))</f>
        <v>0.023046851492219588</v>
      </c>
      <c r="S67" s="114"/>
    </row>
    <row r="68" spans="2:19" s="49" customFormat="1" ht="15">
      <c r="B68" s="67" t="s">
        <v>43</v>
      </c>
      <c r="C68" s="53"/>
      <c r="D68" s="53"/>
      <c r="E68" s="53"/>
      <c r="F68" s="124">
        <v>0.13</v>
      </c>
      <c r="G68" s="125"/>
      <c r="H68" s="159">
        <f>H67*F68</f>
        <v>39.18582980000001</v>
      </c>
      <c r="I68" s="160"/>
      <c r="J68" s="161">
        <v>0.13</v>
      </c>
      <c r="K68" s="160"/>
      <c r="L68" s="162">
        <f>L67*J68</f>
        <v>40.088939800000006</v>
      </c>
      <c r="M68" s="163"/>
      <c r="N68" s="207">
        <f t="shared" si="2"/>
        <v>0.9031099999999981</v>
      </c>
      <c r="O68" s="164">
        <f t="shared" si="8"/>
        <v>0.02304685149221972</v>
      </c>
      <c r="S68" s="114"/>
    </row>
    <row r="69" spans="2:19" s="49" customFormat="1" ht="15">
      <c r="B69" s="68" t="s">
        <v>123</v>
      </c>
      <c r="C69" s="53"/>
      <c r="D69" s="53"/>
      <c r="E69" s="53"/>
      <c r="F69" s="126"/>
      <c r="G69" s="125"/>
      <c r="H69" s="159">
        <f>H67+H68</f>
        <v>340.6152898000001</v>
      </c>
      <c r="I69" s="160"/>
      <c r="J69" s="160"/>
      <c r="K69" s="160"/>
      <c r="L69" s="162">
        <f>L67+L68</f>
        <v>348.4653998</v>
      </c>
      <c r="M69" s="163"/>
      <c r="N69" s="207">
        <f t="shared" si="2"/>
        <v>7.8501099999999155</v>
      </c>
      <c r="O69" s="164">
        <f t="shared" si="8"/>
        <v>0.02304685149221952</v>
      </c>
      <c r="S69" s="114"/>
    </row>
    <row r="70" spans="2:15" s="49" customFormat="1" ht="15.75" customHeight="1">
      <c r="B70" s="572" t="s">
        <v>124</v>
      </c>
      <c r="C70" s="572"/>
      <c r="D70" s="572"/>
      <c r="E70" s="53"/>
      <c r="F70" s="126"/>
      <c r="G70" s="125"/>
      <c r="H70" s="165">
        <f>ROUND(-H69*10%,2)</f>
        <v>-34.06</v>
      </c>
      <c r="I70" s="160"/>
      <c r="J70" s="160"/>
      <c r="K70" s="160"/>
      <c r="L70" s="166">
        <v>0</v>
      </c>
      <c r="M70" s="163"/>
      <c r="N70" s="207">
        <f t="shared" si="2"/>
        <v>34.06</v>
      </c>
      <c r="O70" s="167">
        <f t="shared" si="8"/>
        <v>-1</v>
      </c>
    </row>
    <row r="71" spans="2:15" s="49" customFormat="1" ht="15.75" thickBot="1">
      <c r="B71" s="573" t="s">
        <v>46</v>
      </c>
      <c r="C71" s="573"/>
      <c r="D71" s="573"/>
      <c r="E71" s="127"/>
      <c r="F71" s="128"/>
      <c r="G71" s="129"/>
      <c r="H71" s="168">
        <f>H69+H70</f>
        <v>306.5552898000001</v>
      </c>
      <c r="I71" s="169"/>
      <c r="J71" s="169"/>
      <c r="K71" s="169"/>
      <c r="L71" s="170">
        <f>L69+L70</f>
        <v>348.4653998</v>
      </c>
      <c r="M71" s="171"/>
      <c r="N71" s="209">
        <f t="shared" si="2"/>
        <v>41.91010999999992</v>
      </c>
      <c r="O71" s="172">
        <f t="shared" si="8"/>
        <v>0.13671305436400238</v>
      </c>
    </row>
    <row r="72" spans="2:15" s="152" customFormat="1" ht="8.25" customHeight="1" thickBot="1">
      <c r="B72" s="69"/>
      <c r="C72" s="173"/>
      <c r="D72" s="174"/>
      <c r="E72" s="173"/>
      <c r="F72" s="115"/>
      <c r="G72" s="175"/>
      <c r="H72" s="117"/>
      <c r="I72" s="176"/>
      <c r="J72" s="115"/>
      <c r="K72" s="177"/>
      <c r="L72" s="117"/>
      <c r="M72" s="176"/>
      <c r="N72" s="178"/>
      <c r="O72" s="121"/>
    </row>
    <row r="73" spans="2:15" s="152" customFormat="1" ht="15">
      <c r="B73" s="70" t="s">
        <v>47</v>
      </c>
      <c r="C73" s="64"/>
      <c r="D73" s="64"/>
      <c r="E73" s="64"/>
      <c r="F73" s="179"/>
      <c r="G73" s="180"/>
      <c r="H73" s="181">
        <f>SUM(H64:H65,H55,H56:H60)</f>
        <v>307.54946</v>
      </c>
      <c r="I73" s="182"/>
      <c r="J73" s="183"/>
      <c r="K73" s="183"/>
      <c r="L73" s="184">
        <f>SUM(L64:L65,L55,L56:L60)</f>
        <v>314.49646</v>
      </c>
      <c r="M73" s="185"/>
      <c r="N73" s="208">
        <f>L73-H73</f>
        <v>6.947000000000003</v>
      </c>
      <c r="O73" s="158">
        <f>IF((H73)=0,"",(N73/H73))</f>
        <v>0.022588236701830015</v>
      </c>
    </row>
    <row r="74" spans="2:15" s="152" customFormat="1" ht="15">
      <c r="B74" s="71" t="s">
        <v>43</v>
      </c>
      <c r="C74" s="64"/>
      <c r="D74" s="64"/>
      <c r="E74" s="64"/>
      <c r="F74" s="186">
        <v>0.13</v>
      </c>
      <c r="G74" s="180"/>
      <c r="H74" s="187">
        <f>H73*F74</f>
        <v>39.9814298</v>
      </c>
      <c r="I74" s="188"/>
      <c r="J74" s="186">
        <v>0.13</v>
      </c>
      <c r="K74" s="189"/>
      <c r="L74" s="190">
        <f>L73*J74</f>
        <v>40.884539800000006</v>
      </c>
      <c r="M74" s="191"/>
      <c r="N74" s="207">
        <f>L74-H74</f>
        <v>0.9031100000000052</v>
      </c>
      <c r="O74" s="164">
        <f>IF((H74)=0,"",(N74/H74))</f>
        <v>0.022588236701830137</v>
      </c>
    </row>
    <row r="75" spans="2:15" s="152" customFormat="1" ht="15">
      <c r="B75" s="72" t="s">
        <v>123</v>
      </c>
      <c r="C75" s="64"/>
      <c r="D75" s="64"/>
      <c r="E75" s="64"/>
      <c r="F75" s="192"/>
      <c r="G75" s="191"/>
      <c r="H75" s="187">
        <f>H73+H74</f>
        <v>347.5308898</v>
      </c>
      <c r="I75" s="188"/>
      <c r="J75" s="188"/>
      <c r="K75" s="188"/>
      <c r="L75" s="190">
        <f>L73+L74</f>
        <v>355.38099980000004</v>
      </c>
      <c r="M75" s="191"/>
      <c r="N75" s="207">
        <f>L75-H75</f>
        <v>7.850110000000029</v>
      </c>
      <c r="O75" s="164">
        <f>IF((H75)=0,"",(N75/H75))</f>
        <v>0.02258823670183009</v>
      </c>
    </row>
    <row r="76" spans="2:15" s="152" customFormat="1" ht="15.75" customHeight="1">
      <c r="B76" s="574" t="s">
        <v>124</v>
      </c>
      <c r="C76" s="574"/>
      <c r="D76" s="574"/>
      <c r="E76" s="64"/>
      <c r="F76" s="192"/>
      <c r="G76" s="191"/>
      <c r="H76" s="193">
        <f>ROUND(-H75*10%,2)</f>
        <v>-34.75</v>
      </c>
      <c r="I76" s="188"/>
      <c r="J76" s="188"/>
      <c r="K76" s="188"/>
      <c r="L76" s="194">
        <v>0</v>
      </c>
      <c r="M76" s="191"/>
      <c r="N76" s="207">
        <f>L76-H76</f>
        <v>34.75</v>
      </c>
      <c r="O76" s="167">
        <f>IF((H76)=0,"",(N76/H76))</f>
        <v>-1</v>
      </c>
    </row>
    <row r="77" spans="2:15" s="152" customFormat="1" ht="15.75" thickBot="1">
      <c r="B77" s="565" t="s">
        <v>48</v>
      </c>
      <c r="C77" s="565"/>
      <c r="D77" s="565"/>
      <c r="E77" s="195"/>
      <c r="F77" s="196"/>
      <c r="G77" s="197"/>
      <c r="H77" s="198">
        <f>SUM(H75:H76)</f>
        <v>312.7808898</v>
      </c>
      <c r="I77" s="199"/>
      <c r="J77" s="199"/>
      <c r="K77" s="199"/>
      <c r="L77" s="200">
        <f>SUM(L75:L76)</f>
        <v>355.38099980000004</v>
      </c>
      <c r="M77" s="201"/>
      <c r="N77" s="209">
        <f>L77-H77</f>
        <v>42.60011000000003</v>
      </c>
      <c r="O77" s="202">
        <f>IF((H77)=0,"",(N77/H77))</f>
        <v>0.1361979308494186</v>
      </c>
    </row>
    <row r="78" spans="2:15" s="152" customFormat="1" ht="8.25" customHeight="1" thickBot="1">
      <c r="B78" s="69"/>
      <c r="C78" s="173"/>
      <c r="D78" s="174"/>
      <c r="E78" s="173"/>
      <c r="F78" s="130"/>
      <c r="G78" s="203"/>
      <c r="H78" s="131"/>
      <c r="I78" s="204"/>
      <c r="J78" s="130"/>
      <c r="K78" s="175"/>
      <c r="L78" s="132"/>
      <c r="M78" s="176"/>
      <c r="N78" s="205"/>
      <c r="O78" s="121"/>
    </row>
    <row r="79" s="49" customFormat="1" ht="10.5" customHeight="1">
      <c r="L79" s="114"/>
    </row>
    <row r="80" spans="2:10" s="49" customFormat="1" ht="15">
      <c r="B80" s="73" t="s">
        <v>49</v>
      </c>
      <c r="F80" s="379">
        <f>'Res (100kWh)'!F80</f>
        <v>0.0495</v>
      </c>
      <c r="G80" s="99"/>
      <c r="H80" s="99"/>
      <c r="I80" s="99"/>
      <c r="J80" s="379">
        <f>'Res (100kWh)'!J80</f>
        <v>0.0495</v>
      </c>
    </row>
    <row r="81" s="49" customFormat="1" ht="10.5" customHeight="1"/>
    <row r="82" spans="2:15" s="49" customFormat="1" ht="15">
      <c r="B82" s="423" t="s">
        <v>142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</row>
    <row r="83" spans="2:15" s="49" customFormat="1" ht="15">
      <c r="B83" s="423" t="s">
        <v>143</v>
      </c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</row>
    <row r="84" s="49" customFormat="1" ht="17.25">
      <c r="A84" s="206" t="s">
        <v>125</v>
      </c>
    </row>
    <row r="85" s="49" customFormat="1" ht="10.5" customHeight="1"/>
    <row r="86" s="49" customFormat="1" ht="15">
      <c r="A86" s="49" t="s">
        <v>51</v>
      </c>
    </row>
    <row r="87" s="49" customFormat="1" ht="15">
      <c r="A87" s="49" t="s">
        <v>52</v>
      </c>
    </row>
    <row r="88" s="49" customFormat="1" ht="15"/>
    <row r="89" s="49" customFormat="1" ht="15">
      <c r="A89" s="52" t="s">
        <v>53</v>
      </c>
    </row>
    <row r="90" s="49" customFormat="1" ht="15">
      <c r="A90" s="52" t="s">
        <v>54</v>
      </c>
    </row>
    <row r="91" s="49" customFormat="1" ht="15"/>
    <row r="92" s="49" customFormat="1" ht="15">
      <c r="A92" s="49" t="s">
        <v>55</v>
      </c>
    </row>
    <row r="93" s="49" customFormat="1" ht="15">
      <c r="A93" s="49" t="s">
        <v>56</v>
      </c>
    </row>
    <row r="94" s="49" customFormat="1" ht="15">
      <c r="A94" s="49" t="s">
        <v>57</v>
      </c>
    </row>
    <row r="95" s="49" customFormat="1" ht="15">
      <c r="A95" s="49" t="s">
        <v>58</v>
      </c>
    </row>
    <row r="96" s="49" customFormat="1" ht="15">
      <c r="A96" s="49" t="s">
        <v>59</v>
      </c>
    </row>
    <row r="97" s="49" customFormat="1" ht="15"/>
    <row r="98" spans="1:2" s="49" customFormat="1" ht="15">
      <c r="A98" s="134"/>
      <c r="B98" s="49" t="s">
        <v>60</v>
      </c>
    </row>
    <row r="99" s="49" customFormat="1" ht="15"/>
  </sheetData>
  <sheetProtection/>
  <mergeCells count="22">
    <mergeCell ref="N1:O1"/>
    <mergeCell ref="N2:O2"/>
    <mergeCell ref="N6:O6"/>
    <mergeCell ref="N7:O7"/>
    <mergeCell ref="A3:K3"/>
    <mergeCell ref="B10:O10"/>
    <mergeCell ref="B11:O11"/>
    <mergeCell ref="D14:O14"/>
    <mergeCell ref="F20:H20"/>
    <mergeCell ref="J20:L20"/>
    <mergeCell ref="N20:O20"/>
    <mergeCell ref="N3:O3"/>
    <mergeCell ref="N4:O4"/>
    <mergeCell ref="N5:O5"/>
    <mergeCell ref="B9:O9"/>
    <mergeCell ref="B77:D77"/>
    <mergeCell ref="D21:D22"/>
    <mergeCell ref="N21:N22"/>
    <mergeCell ref="O21:O22"/>
    <mergeCell ref="B70:D70"/>
    <mergeCell ref="B71:D71"/>
    <mergeCell ref="B76:D76"/>
  </mergeCells>
  <dataValidations count="4">
    <dataValidation type="list" allowBlank="1" showInputMessage="1" showErrorMessage="1" sqref="E53:E54 E42:E51 E66 E23:E40 E56:E63">
      <formula1>'Res (2,000kWh)'!#REF!</formula1>
    </dataValidation>
    <dataValidation type="list" allowBlank="1" showInputMessage="1" showErrorMessage="1" prompt="Select Charge Unit - monthly, per kWh, per kW" sqref="D53:D54 D72 D78 D56:D66 D42:D51 D23:D40">
      <formula1>"Monthly, per kWh, per kW"</formula1>
    </dataValidation>
    <dataValidation type="list" allowBlank="1" showInputMessage="1" showErrorMessage="1" sqref="E78 E72 E64:E65">
      <formula1>'Res (2,000kWh)'!#REF!</formula1>
    </dataValidation>
    <dataValidation type="list" allowBlank="1" showInputMessage="1" showErrorMessage="1" sqref="D16">
      <formula1>"TOU, non-TOU"</formula1>
    </dataValidation>
  </dataValidations>
  <printOptions/>
  <pageMargins left="0.7" right="0.7" top="0.75" bottom="0.75" header="0.3" footer="0.3"/>
  <pageSetup fitToHeight="0" fitToWidth="1" horizontalDpi="600" verticalDpi="600" orientation="portrait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and North Dumfries Hydro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Calhoun</dc:creator>
  <cp:keywords/>
  <dc:description/>
  <cp:lastModifiedBy>Patti Eitel</cp:lastModifiedBy>
  <cp:lastPrinted>2016-01-07T16:21:51Z</cp:lastPrinted>
  <dcterms:created xsi:type="dcterms:W3CDTF">2013-08-28T15:11:04Z</dcterms:created>
  <dcterms:modified xsi:type="dcterms:W3CDTF">2016-01-13T21:09:54Z</dcterms:modified>
  <cp:category/>
  <cp:version/>
  <cp:contentType/>
  <cp:contentStatus/>
</cp:coreProperties>
</file>