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ThisWorkbook"/>
  <bookViews>
    <workbookView xWindow="0" yWindow="60" windowWidth="19200" windowHeight="7176" tabRatio="878"/>
  </bookViews>
  <sheets>
    <sheet name="Functionalized Accounts" sheetId="31" r:id="rId1"/>
    <sheet name="Assets" sheetId="63" r:id="rId2"/>
    <sheet name="Revenue" sheetId="79" r:id="rId3"/>
    <sheet name="Energy Throughput" sheetId="35" r:id="rId4"/>
    <sheet name="Revenue to Cost|RR" sheetId="57" r:id="rId5"/>
    <sheet name="Summary by Class &amp; Accounts" sheetId="56" r:id="rId6"/>
    <sheet name="Source Data for Allocators" sheetId="82" r:id="rId7"/>
    <sheet name="Allocators" sheetId="36" r:id="rId8"/>
    <sheet name="TB Allocation Details" sheetId="40" r:id="rId9"/>
    <sheet name="Reconciliation" sheetId="44" r:id="rId10"/>
  </sheets>
  <definedNames>
    <definedName name="_xlnm._FilterDatabase" localSheetId="5" hidden="1">'Summary by Class &amp; Accounts'!#REF!</definedName>
    <definedName name="EV__LASTREFTIME__" hidden="1">42156.4315740741</definedName>
    <definedName name="_xlnm.Print_Area" localSheetId="7">Allocators!$A$1:$E$25</definedName>
    <definedName name="_xlnm.Print_Area" localSheetId="3">'Energy Throughput'!$A$1:$E$15</definedName>
    <definedName name="_xlnm.Print_Area" localSheetId="0">'Functionalized Accounts'!$B$1:$G$32</definedName>
    <definedName name="_xlnm.Print_Area" localSheetId="9">Reconciliation!$A$1:$E$32</definedName>
    <definedName name="_xlnm.Print_Area" localSheetId="2">Revenue!$A$1:$E$16</definedName>
    <definedName name="_xlnm.Print_Area" localSheetId="4">'Revenue to Cost|RR'!$A$1:$E$43</definedName>
    <definedName name="_xlnm.Print_Area" localSheetId="5">'Summary by Class &amp; Accounts'!$B$1:$F$32</definedName>
    <definedName name="_xlnm.Print_Titles" localSheetId="1">Assets!$A:$B,Assets!$1:$6</definedName>
  </definedNames>
  <calcPr calcId="125725"/>
</workbook>
</file>

<file path=xl/calcChain.xml><?xml version="1.0" encoding="utf-8"?>
<calcChain xmlns="http://schemas.openxmlformats.org/spreadsheetml/2006/main">
  <c r="E8" i="57"/>
  <c r="E5" i="82" s="1"/>
  <c r="D8" i="57"/>
  <c r="D9" i="36" s="1"/>
  <c r="E5" i="35"/>
  <c r="D5"/>
  <c r="F8" i="56" l="1"/>
  <c r="E9" i="36"/>
  <c r="D5" i="82"/>
  <c r="E8" i="56"/>
  <c r="E75" i="31"/>
  <c r="D75"/>
  <c r="E59"/>
  <c r="D59"/>
  <c r="G19"/>
  <c r="F19"/>
  <c r="G18"/>
  <c r="F18"/>
  <c r="G17"/>
  <c r="F17"/>
  <c r="G16"/>
  <c r="F16"/>
  <c r="G15"/>
  <c r="F15"/>
  <c r="G14"/>
  <c r="F14"/>
  <c r="G13"/>
  <c r="F13"/>
  <c r="C19" i="44" l="1"/>
  <c r="B19"/>
  <c r="C18"/>
  <c r="B18"/>
  <c r="C17"/>
  <c r="B17"/>
  <c r="C16"/>
  <c r="B16"/>
  <c r="C15"/>
  <c r="B15"/>
  <c r="C14"/>
  <c r="B14"/>
  <c r="C13"/>
  <c r="B13"/>
  <c r="B16" i="40"/>
  <c r="B15"/>
  <c r="B14"/>
  <c r="B13"/>
  <c r="B12"/>
  <c r="B11"/>
  <c r="B10"/>
  <c r="D19" i="56"/>
  <c r="C65" i="82" s="1"/>
  <c r="B19" i="56"/>
  <c r="B65" i="82" s="1"/>
  <c r="D18" i="56"/>
  <c r="C64" i="82" s="1"/>
  <c r="B18" i="56"/>
  <c r="B64" i="82" s="1"/>
  <c r="D17" i="56"/>
  <c r="C63" i="82" s="1"/>
  <c r="B17" i="56"/>
  <c r="B63" i="82" s="1"/>
  <c r="D16" i="56"/>
  <c r="C62" i="82" s="1"/>
  <c r="B16" i="56"/>
  <c r="B62" i="82" s="1"/>
  <c r="D15" i="56"/>
  <c r="C61" i="82" s="1"/>
  <c r="B15" i="56"/>
  <c r="B61" i="82" s="1"/>
  <c r="D14" i="56"/>
  <c r="C60" i="82" s="1"/>
  <c r="B14" i="56"/>
  <c r="B60" i="82" s="1"/>
  <c r="D13" i="56"/>
  <c r="C59" i="82" s="1"/>
  <c r="B13" i="56"/>
  <c r="B59" i="82" s="1"/>
  <c r="F73" i="31" l="1"/>
  <c r="F72"/>
  <c r="F71"/>
  <c r="F70"/>
  <c r="F69"/>
  <c r="F68"/>
  <c r="F67"/>
  <c r="F66"/>
  <c r="F65"/>
  <c r="F64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D40" i="56" s="1"/>
  <c r="C79" i="82" s="1"/>
  <c r="F39" i="31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2"/>
  <c r="F11"/>
  <c r="F10"/>
  <c r="F9"/>
  <c r="F59" s="1"/>
  <c r="F4" s="1"/>
  <c r="F74"/>
  <c r="G40"/>
  <c r="B40" i="44"/>
  <c r="B37" i="40"/>
  <c r="B40" i="56"/>
  <c r="B79" i="82" s="1"/>
  <c r="A1" i="44"/>
  <c r="G74" i="31"/>
  <c r="G68"/>
  <c r="G64"/>
  <c r="G58"/>
  <c r="G57"/>
  <c r="G56"/>
  <c r="G54"/>
  <c r="G53"/>
  <c r="G52"/>
  <c r="G51"/>
  <c r="G50"/>
  <c r="G49"/>
  <c r="G45"/>
  <c r="G42"/>
  <c r="G41"/>
  <c r="G34"/>
  <c r="G33"/>
  <c r="G32"/>
  <c r="G31"/>
  <c r="G30"/>
  <c r="G29"/>
  <c r="G27"/>
  <c r="G26"/>
  <c r="G25"/>
  <c r="G21"/>
  <c r="G20"/>
  <c r="G12"/>
  <c r="G11"/>
  <c r="G10"/>
  <c r="G9"/>
  <c r="F75" l="1"/>
  <c r="C40" i="44"/>
  <c r="F5" i="31" l="1"/>
  <c r="E20" i="63"/>
  <c r="F8"/>
  <c r="F9"/>
  <c r="F16"/>
  <c r="E38" i="57" l="1"/>
  <c r="I12" s="1"/>
  <c r="C61" i="40"/>
  <c r="C57"/>
  <c r="C52"/>
  <c r="G55" i="31" s="1"/>
  <c r="C43" i="40"/>
  <c r="C40"/>
  <c r="C32"/>
  <c r="C25"/>
  <c r="G28" i="31" s="1"/>
  <c r="C19" i="40"/>
  <c r="D12" i="35"/>
  <c r="D13" s="1"/>
  <c r="C13" s="1"/>
  <c r="A1" i="57"/>
  <c r="A1" i="35"/>
  <c r="A1" i="79"/>
  <c r="A1" i="40"/>
  <c r="A1" i="36"/>
  <c r="C32" i="82"/>
  <c r="C31"/>
  <c r="C30"/>
  <c r="C29"/>
  <c r="C28"/>
  <c r="C27"/>
  <c r="C26"/>
  <c r="C25"/>
  <c r="C24"/>
  <c r="C23"/>
  <c r="B23" i="44"/>
  <c r="B22"/>
  <c r="B21"/>
  <c r="B24" i="56"/>
  <c r="B70" i="82" s="1"/>
  <c r="B23" i="56"/>
  <c r="B69" i="82" s="1"/>
  <c r="B22" i="56"/>
  <c r="B68" i="82" s="1"/>
  <c r="B21" i="56"/>
  <c r="B67" i="82" s="1"/>
  <c r="B10" i="56"/>
  <c r="B57" i="82" s="1"/>
  <c r="B11" i="56"/>
  <c r="B12"/>
  <c r="B58" i="82" s="1"/>
  <c r="B20" i="56"/>
  <c r="B66" i="82" s="1"/>
  <c r="B25" i="56"/>
  <c r="B71" i="82" s="1"/>
  <c r="B26" i="56"/>
  <c r="B72" i="82" s="1"/>
  <c r="B27" i="56"/>
  <c r="B73" i="82" s="1"/>
  <c r="B28" i="56"/>
  <c r="B74" i="82" s="1"/>
  <c r="B29" i="56"/>
  <c r="B75" i="82" s="1"/>
  <c r="B30" i="56"/>
  <c r="B76" i="82" s="1"/>
  <c r="B31" i="56"/>
  <c r="B77" i="82" s="1"/>
  <c r="B32" i="56"/>
  <c r="B78" i="82" s="1"/>
  <c r="B33" i="56"/>
  <c r="B34"/>
  <c r="B35"/>
  <c r="B36"/>
  <c r="B37"/>
  <c r="B38"/>
  <c r="B39"/>
  <c r="B41"/>
  <c r="B80" i="82" s="1"/>
  <c r="B42" i="56"/>
  <c r="B81" i="82" s="1"/>
  <c r="B43" i="56"/>
  <c r="B82" i="82" s="1"/>
  <c r="B44" i="56"/>
  <c r="B83" i="82" s="1"/>
  <c r="B45" i="56"/>
  <c r="B84" i="82" s="1"/>
  <c r="B46" i="56"/>
  <c r="B85" i="82" s="1"/>
  <c r="B47" i="56"/>
  <c r="B86" i="82" s="1"/>
  <c r="B48" i="56"/>
  <c r="B87" i="82" s="1"/>
  <c r="B49" i="56"/>
  <c r="B50"/>
  <c r="B88" i="82" s="1"/>
  <c r="B51" i="56"/>
  <c r="B52"/>
  <c r="B53"/>
  <c r="B54"/>
  <c r="B89" i="82" s="1"/>
  <c r="B55" i="56"/>
  <c r="B90" i="82" s="1"/>
  <c r="B69" i="56"/>
  <c r="B68"/>
  <c r="B17" i="82" s="1"/>
  <c r="B32" s="1"/>
  <c r="B67" i="56"/>
  <c r="B16" i="82" s="1"/>
  <c r="B31" s="1"/>
  <c r="B66" i="56"/>
  <c r="B15" i="82" s="1"/>
  <c r="B65" i="56"/>
  <c r="B14" i="82" s="1"/>
  <c r="B64" i="56"/>
  <c r="B13" i="82" s="1"/>
  <c r="B28" s="1"/>
  <c r="B63" i="56"/>
  <c r="B12" i="82" s="1"/>
  <c r="B27" s="1"/>
  <c r="B62" i="56"/>
  <c r="B11" i="82" s="1"/>
  <c r="B61" i="56"/>
  <c r="B10" i="82" s="1"/>
  <c r="B60" i="56"/>
  <c r="B9" i="82" s="1"/>
  <c r="B24" s="1"/>
  <c r="B59" i="56"/>
  <c r="B8" i="82" s="1"/>
  <c r="B23" s="1"/>
  <c r="B58" i="56"/>
  <c r="B69" i="44"/>
  <c r="B68"/>
  <c r="B66" i="40"/>
  <c r="B65"/>
  <c r="B64"/>
  <c r="B63"/>
  <c r="B62"/>
  <c r="B61"/>
  <c r="B60"/>
  <c r="B59"/>
  <c r="B58"/>
  <c r="B57"/>
  <c r="B56"/>
  <c r="B55"/>
  <c r="B67" i="44"/>
  <c r="B66"/>
  <c r="B65"/>
  <c r="B64"/>
  <c r="B63"/>
  <c r="B62"/>
  <c r="B61"/>
  <c r="B60"/>
  <c r="B59"/>
  <c r="B58"/>
  <c r="D20" i="63"/>
  <c r="C68" i="44"/>
  <c r="C15" i="63"/>
  <c r="E15" s="1"/>
  <c r="D66" i="56"/>
  <c r="C13" i="63"/>
  <c r="E13" s="1"/>
  <c r="C64" i="44"/>
  <c r="C11" i="63"/>
  <c r="E11" s="1"/>
  <c r="C10"/>
  <c r="E10" s="1"/>
  <c r="C9"/>
  <c r="E9" s="1"/>
  <c r="C60" i="44"/>
  <c r="C7" i="63"/>
  <c r="E7" s="1"/>
  <c r="D58" i="56"/>
  <c r="C16" i="63"/>
  <c r="E16" s="1"/>
  <c r="C8"/>
  <c r="E8" s="1"/>
  <c r="B1"/>
  <c r="B16"/>
  <c r="B15"/>
  <c r="B14"/>
  <c r="B13"/>
  <c r="B12"/>
  <c r="B11"/>
  <c r="B10"/>
  <c r="B9"/>
  <c r="B8"/>
  <c r="B7"/>
  <c r="C14" l="1"/>
  <c r="E14" s="1"/>
  <c r="C58" i="40"/>
  <c r="G65" i="31"/>
  <c r="C41" i="40"/>
  <c r="G44" i="31" s="1"/>
  <c r="G43"/>
  <c r="C62" i="40"/>
  <c r="G69" i="31"/>
  <c r="C33" i="40"/>
  <c r="G35" i="31"/>
  <c r="C20" i="40"/>
  <c r="G22" i="31"/>
  <c r="C44" i="40"/>
  <c r="G46" i="31"/>
  <c r="C61" i="44"/>
  <c r="C62"/>
  <c r="D62" i="56"/>
  <c r="C58" i="44"/>
  <c r="C65"/>
  <c r="D61" i="56"/>
  <c r="D38" i="57"/>
  <c r="I11" s="1"/>
  <c r="D65" i="56"/>
  <c r="C66" i="44"/>
  <c r="G13" i="63"/>
  <c r="B29" i="82"/>
  <c r="B47"/>
  <c r="B26"/>
  <c r="B44"/>
  <c r="B30"/>
  <c r="B48"/>
  <c r="B25"/>
  <c r="B43"/>
  <c r="G14" i="63"/>
  <c r="G11"/>
  <c r="G15"/>
  <c r="C12"/>
  <c r="E12" s="1"/>
  <c r="G16"/>
  <c r="C59" i="44"/>
  <c r="C63"/>
  <c r="C67"/>
  <c r="D68" i="56"/>
  <c r="D64"/>
  <c r="D60"/>
  <c r="B41" i="82"/>
  <c r="B45"/>
  <c r="B49"/>
  <c r="C69" i="44"/>
  <c r="D69" i="56"/>
  <c r="D67"/>
  <c r="D63"/>
  <c r="D59"/>
  <c r="B42" i="82"/>
  <c r="B46"/>
  <c r="B50"/>
  <c r="C45" i="40" l="1"/>
  <c r="G48" i="31" s="1"/>
  <c r="G47"/>
  <c r="C34" i="40"/>
  <c r="G36" i="31"/>
  <c r="C21" i="40"/>
  <c r="G24" i="31" s="1"/>
  <c r="G23"/>
  <c r="C63" i="40"/>
  <c r="G70" i="31"/>
  <c r="C59" i="40"/>
  <c r="G67" i="31" s="1"/>
  <c r="G66"/>
  <c r="G12" i="63"/>
  <c r="C64" i="40" l="1"/>
  <c r="G71" i="31"/>
  <c r="C35" i="40"/>
  <c r="G37" i="31"/>
  <c r="B1"/>
  <c r="C36" i="40" l="1"/>
  <c r="G39" i="31" s="1"/>
  <c r="G38"/>
  <c r="C65" i="40"/>
  <c r="G73" i="31" s="1"/>
  <c r="G72"/>
  <c r="D10" i="79" l="1"/>
  <c r="D15" s="1"/>
  <c r="B17" i="40"/>
  <c r="B9"/>
  <c r="B8"/>
  <c r="B7"/>
  <c r="B6"/>
  <c r="B23"/>
  <c r="B22"/>
  <c r="B21"/>
  <c r="B20"/>
  <c r="B19"/>
  <c r="B18"/>
  <c r="B50"/>
  <c r="B49"/>
  <c r="B48"/>
  <c r="B47"/>
  <c r="B46"/>
  <c r="B45"/>
  <c r="B44"/>
  <c r="B43"/>
  <c r="B42"/>
  <c r="B41"/>
  <c r="B40"/>
  <c r="B39"/>
  <c r="B38"/>
  <c r="B36"/>
  <c r="B35"/>
  <c r="B34"/>
  <c r="B33"/>
  <c r="B32"/>
  <c r="B31"/>
  <c r="B30"/>
  <c r="B29"/>
  <c r="B28"/>
  <c r="B27"/>
  <c r="B26"/>
  <c r="B25"/>
  <c r="B24"/>
  <c r="B54"/>
  <c r="B53"/>
  <c r="B52"/>
  <c r="B51"/>
  <c r="C10" i="79" l="1"/>
  <c r="C15" s="1"/>
  <c r="C38" i="57" l="1"/>
  <c r="I13" s="1"/>
  <c r="D24" i="56"/>
  <c r="C70" i="82" s="1"/>
  <c r="I20" i="63"/>
  <c r="C21" i="44" l="1"/>
  <c r="D21" i="56"/>
  <c r="C67" i="82" s="1"/>
  <c r="C23" i="44"/>
  <c r="D23" i="56"/>
  <c r="C69" i="82" s="1"/>
  <c r="C22" i="44"/>
  <c r="D22" i="56"/>
  <c r="C68" i="82" s="1"/>
  <c r="B10" i="79" l="1"/>
  <c r="B20" l="1"/>
  <c r="C21" s="1"/>
  <c r="E10" i="57"/>
  <c r="D10"/>
  <c r="C10" l="1"/>
  <c r="D21" i="79"/>
  <c r="D22" s="1"/>
  <c r="E14" i="57" s="1"/>
  <c r="C22" i="79"/>
  <c r="D14" i="57" s="1"/>
  <c r="C14" l="1"/>
  <c r="E14" i="36"/>
  <c r="D14"/>
  <c r="B28" i="44"/>
  <c r="B27"/>
  <c r="B26"/>
  <c r="B25"/>
  <c r="B24"/>
  <c r="C14" i="36" l="1"/>
  <c r="C12" i="35"/>
  <c r="E13" i="36" l="1"/>
  <c r="D13"/>
  <c r="C28" i="44"/>
  <c r="C27"/>
  <c r="C26"/>
  <c r="C25"/>
  <c r="C24"/>
  <c r="C13" i="36" l="1"/>
  <c r="D27" i="56"/>
  <c r="C73" i="82" s="1"/>
  <c r="D26" i="56"/>
  <c r="C72" i="82" s="1"/>
  <c r="D28" i="56"/>
  <c r="C74" i="82" s="1"/>
  <c r="D25" i="56"/>
  <c r="C71" i="82" s="1"/>
  <c r="D20" i="56" l="1"/>
  <c r="C66" i="82" s="1"/>
  <c r="D12" i="56"/>
  <c r="C58" i="82" s="1"/>
  <c r="D11" i="56"/>
  <c r="D10"/>
  <c r="C57" i="82" s="1"/>
  <c r="D9" i="56"/>
  <c r="D29" l="1"/>
  <c r="C75" i="82" s="1"/>
  <c r="C24" i="36" l="1"/>
  <c r="C23"/>
  <c r="B57" i="44" l="1"/>
  <c r="B56"/>
  <c r="B55"/>
  <c r="B54"/>
  <c r="B53"/>
  <c r="B52"/>
  <c r="B51"/>
  <c r="B50"/>
  <c r="B49"/>
  <c r="B48"/>
  <c r="B47"/>
  <c r="B46"/>
  <c r="B45"/>
  <c r="B44"/>
  <c r="B43"/>
  <c r="B42"/>
  <c r="B41"/>
  <c r="B39"/>
  <c r="B38"/>
  <c r="B37"/>
  <c r="B36"/>
  <c r="B35"/>
  <c r="B34"/>
  <c r="B33"/>
  <c r="B32"/>
  <c r="B31"/>
  <c r="B30"/>
  <c r="B29"/>
  <c r="B20"/>
  <c r="B12"/>
  <c r="B11"/>
  <c r="B10"/>
  <c r="B9"/>
  <c r="B57" i="56" l="1"/>
  <c r="B56"/>
  <c r="B9"/>
  <c r="D18" i="63"/>
  <c r="C10" i="44"/>
  <c r="C50" l="1"/>
  <c r="D50" i="56"/>
  <c r="C88" i="82" s="1"/>
  <c r="C46" i="44"/>
  <c r="D46" i="56"/>
  <c r="C85" i="82" s="1"/>
  <c r="C42" i="44"/>
  <c r="D42" i="56"/>
  <c r="C81" i="82" s="1"/>
  <c r="C37" i="44"/>
  <c r="D37" i="56"/>
  <c r="C33" i="44"/>
  <c r="D33" i="56"/>
  <c r="C53" i="44"/>
  <c r="D53" i="56"/>
  <c r="C49" i="44"/>
  <c r="D49" i="56"/>
  <c r="C45" i="44"/>
  <c r="D45" i="56"/>
  <c r="C84" i="82" s="1"/>
  <c r="C41" i="44"/>
  <c r="D41" i="56"/>
  <c r="C80" i="82" s="1"/>
  <c r="C36" i="44"/>
  <c r="D36" i="56"/>
  <c r="C32" i="44"/>
  <c r="D32" i="56"/>
  <c r="C78" i="82" s="1"/>
  <c r="C52" i="44"/>
  <c r="D52" i="56"/>
  <c r="C44" i="44"/>
  <c r="D44" i="56"/>
  <c r="C83" i="82" s="1"/>
  <c r="C35" i="44"/>
  <c r="D35" i="56"/>
  <c r="C48" i="44"/>
  <c r="D48" i="56"/>
  <c r="C87" i="82" s="1"/>
  <c r="C39" i="44"/>
  <c r="D39" i="56"/>
  <c r="C51" i="44"/>
  <c r="D51" i="56"/>
  <c r="C47" i="44"/>
  <c r="D47" i="56"/>
  <c r="C86" i="82" s="1"/>
  <c r="C43" i="44"/>
  <c r="D43" i="56"/>
  <c r="C82" i="82" s="1"/>
  <c r="C38" i="44"/>
  <c r="D38" i="56"/>
  <c r="C34" i="44"/>
  <c r="D34" i="56"/>
  <c r="G8" i="63" l="1"/>
  <c r="F13" i="56" l="1"/>
  <c r="E59" i="82" s="1"/>
  <c r="F15" i="56"/>
  <c r="E61" i="82" s="1"/>
  <c r="F18" i="56"/>
  <c r="E64" i="82" s="1"/>
  <c r="E14" i="56"/>
  <c r="D60" i="82" s="1"/>
  <c r="E18" i="56"/>
  <c r="D64" i="82" s="1"/>
  <c r="E17" i="56"/>
  <c r="D63" i="82" s="1"/>
  <c r="F17" i="56"/>
  <c r="E63" i="82" s="1"/>
  <c r="F16" i="56"/>
  <c r="E62" i="82" s="1"/>
  <c r="E15" i="56"/>
  <c r="E19"/>
  <c r="D65" i="82" s="1"/>
  <c r="F19" i="56"/>
  <c r="E65" i="82" s="1"/>
  <c r="E13" i="56"/>
  <c r="D59" i="82" s="1"/>
  <c r="E16" i="56"/>
  <c r="D62" i="82" s="1"/>
  <c r="F14" i="56"/>
  <c r="E60" i="82" s="1"/>
  <c r="F40" i="56"/>
  <c r="E79" i="82" s="1"/>
  <c r="E40" i="56"/>
  <c r="D79" i="82" s="1"/>
  <c r="F21" i="56"/>
  <c r="E67" i="82" s="1"/>
  <c r="E21" i="56"/>
  <c r="D67" i="82" s="1"/>
  <c r="E22" i="56"/>
  <c r="D68" i="82" s="1"/>
  <c r="F22" i="56"/>
  <c r="E68" i="82" s="1"/>
  <c r="E23" i="56"/>
  <c r="D69" i="82" s="1"/>
  <c r="F23" i="56"/>
  <c r="E69" i="82" s="1"/>
  <c r="F24" i="56"/>
  <c r="E70" i="82" s="1"/>
  <c r="E24" i="56"/>
  <c r="D70" i="82" s="1"/>
  <c r="F10" i="56"/>
  <c r="E57" i="82" s="1"/>
  <c r="E10" i="56"/>
  <c r="D57" i="82" s="1"/>
  <c r="E29" i="56"/>
  <c r="D75" i="82" s="1"/>
  <c r="F29" i="56"/>
  <c r="E75" i="82" s="1"/>
  <c r="C56" i="44"/>
  <c r="D56" i="56"/>
  <c r="C12" i="44"/>
  <c r="C55"/>
  <c r="D55" i="56"/>
  <c r="C90" i="82" s="1"/>
  <c r="C11" i="44"/>
  <c r="G9" i="63"/>
  <c r="C54" i="44"/>
  <c r="D54" i="56"/>
  <c r="C89" i="82" s="1"/>
  <c r="C29" i="44"/>
  <c r="C57"/>
  <c r="D57" i="56"/>
  <c r="C20" i="44"/>
  <c r="G7" i="63"/>
  <c r="C9" i="44"/>
  <c r="E56" i="56" l="1"/>
  <c r="F56"/>
  <c r="D15" i="44"/>
  <c r="E15" s="1"/>
  <c r="D61" i="82"/>
  <c r="E27" i="36"/>
  <c r="D27"/>
  <c r="D13" i="44"/>
  <c r="E13" s="1"/>
  <c r="D14"/>
  <c r="E14" s="1"/>
  <c r="D19"/>
  <c r="E19" s="1"/>
  <c r="D17"/>
  <c r="E17" s="1"/>
  <c r="D18"/>
  <c r="E18" s="1"/>
  <c r="D40"/>
  <c r="E40" s="1"/>
  <c r="D16"/>
  <c r="E16" s="1"/>
  <c r="G18" i="63"/>
  <c r="D21" i="44"/>
  <c r="E21" s="1"/>
  <c r="D22"/>
  <c r="E22" s="1"/>
  <c r="D23"/>
  <c r="E23" s="1"/>
  <c r="D24"/>
  <c r="E24" s="1"/>
  <c r="D10"/>
  <c r="E10" s="1"/>
  <c r="D29"/>
  <c r="C18" i="63"/>
  <c r="B15" i="79"/>
  <c r="I9" i="63" l="1"/>
  <c r="C43" i="82" s="1"/>
  <c r="H10" i="63"/>
  <c r="H11"/>
  <c r="H14"/>
  <c r="H15"/>
  <c r="H13"/>
  <c r="H16"/>
  <c r="H12"/>
  <c r="H8"/>
  <c r="H9"/>
  <c r="H7"/>
  <c r="I7"/>
  <c r="C41" i="82" s="1"/>
  <c r="I14" i="63"/>
  <c r="C48" i="82" s="1"/>
  <c r="I16" i="63"/>
  <c r="C50" i="82" s="1"/>
  <c r="I11" i="63"/>
  <c r="C45" i="82" s="1"/>
  <c r="I10" i="63"/>
  <c r="C44" i="82" s="1"/>
  <c r="I12" i="63"/>
  <c r="C46" i="82" s="1"/>
  <c r="I13" i="63"/>
  <c r="C47" i="82" s="1"/>
  <c r="I15" i="63"/>
  <c r="C49" i="82" s="1"/>
  <c r="I8" i="63"/>
  <c r="C42" i="82" s="1"/>
  <c r="F27" i="56"/>
  <c r="E73" i="82" s="1"/>
  <c r="E27" i="56"/>
  <c r="D73" i="82" s="1"/>
  <c r="E29" i="44"/>
  <c r="E18" i="63"/>
  <c r="I18" l="1"/>
  <c r="D27" i="44"/>
  <c r="E27" s="1"/>
  <c r="E32" i="56" l="1"/>
  <c r="D78" i="82" s="1"/>
  <c r="F32" i="56"/>
  <c r="E78" i="82" s="1"/>
  <c r="E25" i="56"/>
  <c r="D71" i="82" s="1"/>
  <c r="E28" i="56"/>
  <c r="D74" i="82" s="1"/>
  <c r="D28" i="36" l="1"/>
  <c r="D32" i="44"/>
  <c r="E32" s="1"/>
  <c r="F25" i="56"/>
  <c r="E71" i="82" s="1"/>
  <c r="F28" i="56"/>
  <c r="E74" i="82" s="1"/>
  <c r="E28" i="36" l="1"/>
  <c r="F20" i="56" s="1"/>
  <c r="E20"/>
  <c r="C27" i="36" s="1"/>
  <c r="D28" i="44"/>
  <c r="E28" s="1"/>
  <c r="D25"/>
  <c r="E25" s="1"/>
  <c r="C25" i="36"/>
  <c r="D66" i="82" l="1"/>
  <c r="E66"/>
  <c r="E20" i="57"/>
  <c r="C28" i="36"/>
  <c r="D20" i="44"/>
  <c r="E20" s="1"/>
  <c r="D20" i="57"/>
  <c r="C20" l="1"/>
  <c r="F42" i="56" l="1"/>
  <c r="E81" i="82" s="1"/>
  <c r="E42" i="56"/>
  <c r="D81" i="82" s="1"/>
  <c r="D42" i="44" l="1"/>
  <c r="E42" s="1"/>
  <c r="F43" i="56"/>
  <c r="E82" i="82" s="1"/>
  <c r="E43" i="56"/>
  <c r="D82" i="82" s="1"/>
  <c r="D43" i="44" l="1"/>
  <c r="E43" s="1"/>
  <c r="E44" i="56"/>
  <c r="D83" i="82" s="1"/>
  <c r="F44" i="56"/>
  <c r="E83" i="82" s="1"/>
  <c r="D44" i="44" l="1"/>
  <c r="E44" s="1"/>
  <c r="E45" i="56"/>
  <c r="D84" i="82" s="1"/>
  <c r="F45" i="56"/>
  <c r="E84" i="82" s="1"/>
  <c r="D45" i="44" l="1"/>
  <c r="E45" s="1"/>
  <c r="F46" i="56"/>
  <c r="E85" i="82" s="1"/>
  <c r="E46" i="56"/>
  <c r="D85" i="82" s="1"/>
  <c r="D46" i="44" l="1"/>
  <c r="E46" s="1"/>
  <c r="E47" i="56"/>
  <c r="D86" i="82" s="1"/>
  <c r="F47" i="56"/>
  <c r="E86" i="82" s="1"/>
  <c r="D47" i="44" l="1"/>
  <c r="E47" s="1"/>
  <c r="E48" i="56"/>
  <c r="F48"/>
  <c r="D31" i="36" l="1"/>
  <c r="D87" i="82"/>
  <c r="E31" i="36"/>
  <c r="E87" i="82"/>
  <c r="D48" i="44"/>
  <c r="E48" s="1"/>
  <c r="D31" i="56" l="1"/>
  <c r="C77" i="82" s="1"/>
  <c r="C31" i="44"/>
  <c r="D30" i="56"/>
  <c r="C76" i="82" s="1"/>
  <c r="C30" i="44"/>
  <c r="C92" i="82" l="1"/>
  <c r="C70" i="44"/>
  <c r="F30" i="56"/>
  <c r="E76" i="82" s="1"/>
  <c r="D71" i="56"/>
  <c r="E30"/>
  <c r="D76" i="82" s="1"/>
  <c r="E31" i="56"/>
  <c r="D77" i="82" s="1"/>
  <c r="F31" i="56"/>
  <c r="E77" i="82" s="1"/>
  <c r="D29" i="36" l="1"/>
  <c r="E29"/>
  <c r="D30" i="44"/>
  <c r="D31"/>
  <c r="E31" s="1"/>
  <c r="E30" l="1"/>
  <c r="E26" i="56" l="1"/>
  <c r="D72" i="82" s="1"/>
  <c r="D21" i="57" l="1"/>
  <c r="E41" i="56" l="1"/>
  <c r="D80" i="82" s="1"/>
  <c r="D23" i="57" l="1"/>
  <c r="C29" i="36" l="1"/>
  <c r="C31"/>
  <c r="F41" i="56"/>
  <c r="F26"/>
  <c r="E23" i="57" l="1"/>
  <c r="C23" s="1"/>
  <c r="E80" i="82"/>
  <c r="D26" i="44"/>
  <c r="E26" s="1"/>
  <c r="E72" i="82"/>
  <c r="E21" i="57"/>
  <c r="D41" i="44"/>
  <c r="E41" s="1"/>
  <c r="C21" i="57" l="1"/>
  <c r="F55" i="56"/>
  <c r="E25" i="57" s="1"/>
  <c r="E55" i="56"/>
  <c r="D25" i="57" s="1"/>
  <c r="F54" i="56"/>
  <c r="E89" i="82" s="1"/>
  <c r="E54" i="56"/>
  <c r="D89" i="82" s="1"/>
  <c r="D55" i="44" l="1"/>
  <c r="E55" s="1"/>
  <c r="E90" i="82"/>
  <c r="D54" i="44"/>
  <c r="E54" s="1"/>
  <c r="D90" i="82"/>
  <c r="C25" i="57"/>
  <c r="F12" i="56"/>
  <c r="E12"/>
  <c r="D58" i="82" s="1"/>
  <c r="E60" i="56" l="1"/>
  <c r="E59"/>
  <c r="E62"/>
  <c r="E61"/>
  <c r="E50"/>
  <c r="D88" i="82" s="1"/>
  <c r="D12" i="44"/>
  <c r="E12" s="1"/>
  <c r="E58" i="82"/>
  <c r="E19" i="57"/>
  <c r="D19"/>
  <c r="C19" l="1"/>
  <c r="D11" i="82"/>
  <c r="D8"/>
  <c r="F61" i="56"/>
  <c r="E10" i="82" s="1"/>
  <c r="F62" i="56"/>
  <c r="E11" i="82" s="1"/>
  <c r="F60" i="56"/>
  <c r="E9" i="82" s="1"/>
  <c r="F59" i="56"/>
  <c r="E8" i="82" s="1"/>
  <c r="D10"/>
  <c r="D9"/>
  <c r="F50" i="56"/>
  <c r="D50" i="44" l="1"/>
  <c r="E50" s="1"/>
  <c r="E88" i="82"/>
  <c r="D61" i="44"/>
  <c r="E61" s="1"/>
  <c r="C8" i="82"/>
  <c r="D23" s="1"/>
  <c r="D59" i="44"/>
  <c r="E59" s="1"/>
  <c r="D60"/>
  <c r="E60" s="1"/>
  <c r="D62"/>
  <c r="E62" s="1"/>
  <c r="C10" i="82"/>
  <c r="E25" s="1"/>
  <c r="C9"/>
  <c r="D24" s="1"/>
  <c r="C11"/>
  <c r="E44" s="1"/>
  <c r="E42" l="1"/>
  <c r="D26"/>
  <c r="E24"/>
  <c r="D44"/>
  <c r="D42"/>
  <c r="E41"/>
  <c r="E23"/>
  <c r="D41"/>
  <c r="E43"/>
  <c r="D25"/>
  <c r="D43"/>
  <c r="E26"/>
  <c r="D92"/>
  <c r="D21" i="36" s="1"/>
  <c r="E67" i="56" l="1"/>
  <c r="E51"/>
  <c r="E37"/>
  <c r="E58"/>
  <c r="E63"/>
  <c r="E64"/>
  <c r="E34"/>
  <c r="E35"/>
  <c r="E52"/>
  <c r="E38"/>
  <c r="E68"/>
  <c r="E53"/>
  <c r="E11"/>
  <c r="E39"/>
  <c r="E66"/>
  <c r="E9"/>
  <c r="E65"/>
  <c r="E36"/>
  <c r="D30" i="36" l="1"/>
  <c r="D13" i="82"/>
  <c r="D32" i="36"/>
  <c r="D17" i="82"/>
  <c r="D12"/>
  <c r="D16"/>
  <c r="D15"/>
  <c r="D14"/>
  <c r="D18" i="57"/>
  <c r="D26"/>
  <c r="E49" i="56" l="1"/>
  <c r="D19" i="82"/>
  <c r="E33" i="56"/>
  <c r="D22" i="57" l="1"/>
  <c r="D24"/>
  <c r="E92" i="82"/>
  <c r="E21" i="36" s="1"/>
  <c r="F9" i="56" s="1"/>
  <c r="F36" l="1"/>
  <c r="D36" i="44" s="1"/>
  <c r="E36" s="1"/>
  <c r="F11" i="56"/>
  <c r="D11" i="44" s="1"/>
  <c r="E11" s="1"/>
  <c r="F67" i="56"/>
  <c r="E16" i="82" s="1"/>
  <c r="C16" s="1"/>
  <c r="E49" s="1"/>
  <c r="F53" i="56"/>
  <c r="D53" i="44" s="1"/>
  <c r="E53" s="1"/>
  <c r="D9"/>
  <c r="E18" i="57"/>
  <c r="F34" i="56"/>
  <c r="F63"/>
  <c r="F38"/>
  <c r="D38" i="44" s="1"/>
  <c r="E38" s="1"/>
  <c r="F52" i="56"/>
  <c r="D52" i="44" s="1"/>
  <c r="E52" s="1"/>
  <c r="F51" i="56"/>
  <c r="F58"/>
  <c r="F37"/>
  <c r="D37" i="44" s="1"/>
  <c r="E37" s="1"/>
  <c r="C21" i="36"/>
  <c r="F65" i="56"/>
  <c r="F64"/>
  <c r="F35"/>
  <c r="D35" i="44" s="1"/>
  <c r="E35" s="1"/>
  <c r="F39" i="56"/>
  <c r="D39" i="44" s="1"/>
  <c r="E39" s="1"/>
  <c r="F66" i="56"/>
  <c r="F68"/>
  <c r="D67" i="44" l="1"/>
  <c r="E67" s="1"/>
  <c r="E26" i="57"/>
  <c r="C26" s="1"/>
  <c r="D58" i="44"/>
  <c r="E58" s="1"/>
  <c r="D63"/>
  <c r="E63" s="1"/>
  <c r="E12" i="82"/>
  <c r="E9" i="44"/>
  <c r="D65"/>
  <c r="E65" s="1"/>
  <c r="E14" i="82"/>
  <c r="E32" i="36"/>
  <c r="D51" i="44"/>
  <c r="E51" s="1"/>
  <c r="E30" i="36"/>
  <c r="D34" i="44"/>
  <c r="E34" s="1"/>
  <c r="D64"/>
  <c r="E64" s="1"/>
  <c r="E13" i="82"/>
  <c r="C18" i="57"/>
  <c r="D31" i="82"/>
  <c r="D49"/>
  <c r="E15"/>
  <c r="D66" i="44"/>
  <c r="E66" s="1"/>
  <c r="E17" i="82"/>
  <c r="D68" i="44"/>
  <c r="E68" s="1"/>
  <c r="E31" i="82"/>
  <c r="F33" i="56" l="1"/>
  <c r="C30" i="36"/>
  <c r="C15" i="82"/>
  <c r="E30" s="1"/>
  <c r="C13"/>
  <c r="E28" s="1"/>
  <c r="C17"/>
  <c r="E32" s="1"/>
  <c r="C32" i="36"/>
  <c r="F49" i="56"/>
  <c r="C14" i="82"/>
  <c r="E19"/>
  <c r="C12"/>
  <c r="E45" s="1"/>
  <c r="E50" l="1"/>
  <c r="E27"/>
  <c r="D47"/>
  <c r="D29"/>
  <c r="C19"/>
  <c r="D19" i="36" s="1"/>
  <c r="E47" i="82"/>
  <c r="E46"/>
  <c r="D30"/>
  <c r="D48"/>
  <c r="E48"/>
  <c r="D27"/>
  <c r="D45"/>
  <c r="E29"/>
  <c r="D32"/>
  <c r="D50"/>
  <c r="D28"/>
  <c r="D46"/>
  <c r="D49" i="44"/>
  <c r="E49" s="1"/>
  <c r="E24" i="57"/>
  <c r="C24" s="1"/>
  <c r="E22"/>
  <c r="D33" i="44"/>
  <c r="E19" i="36" l="1"/>
  <c r="C19" s="1"/>
  <c r="E34" i="82"/>
  <c r="F69" i="56" s="1"/>
  <c r="D52" i="82"/>
  <c r="E52"/>
  <c r="E28" i="57" s="1"/>
  <c r="C22"/>
  <c r="E33" i="44"/>
  <c r="D34" i="82"/>
  <c r="E36" l="1"/>
  <c r="C52"/>
  <c r="D28" i="57"/>
  <c r="C28" s="1"/>
  <c r="D56" i="44"/>
  <c r="D36" i="82"/>
  <c r="E69" i="56"/>
  <c r="C34" i="82"/>
  <c r="D69" i="44" l="1"/>
  <c r="E69" s="1"/>
  <c r="E56"/>
  <c r="C36" i="82"/>
  <c r="E20" i="36" s="1"/>
  <c r="F57" i="56" s="1"/>
  <c r="D20" i="36" l="1"/>
  <c r="C20" s="1"/>
  <c r="E27" i="57"/>
  <c r="E29" s="1"/>
  <c r="E33" s="1"/>
  <c r="H12" s="1"/>
  <c r="F71" i="56"/>
  <c r="E57" l="1"/>
  <c r="D57" i="44" s="1"/>
  <c r="L12" i="57"/>
  <c r="J12"/>
  <c r="K12"/>
  <c r="E36"/>
  <c r="E40"/>
  <c r="D27" l="1"/>
  <c r="C27" s="1"/>
  <c r="C29" s="1"/>
  <c r="C30" s="1"/>
  <c r="E71" i="56"/>
  <c r="D72" s="1"/>
  <c r="E57" i="44"/>
  <c r="E70" s="1"/>
  <c r="D70"/>
  <c r="D29" i="57" l="1"/>
  <c r="D33" s="1"/>
  <c r="D40" s="1"/>
  <c r="E42" s="1"/>
  <c r="C11"/>
  <c r="C33"/>
  <c r="H13" s="1"/>
  <c r="J13" s="1"/>
  <c r="H11" l="1"/>
  <c r="L11" s="1"/>
  <c r="D36"/>
  <c r="M11"/>
  <c r="M13"/>
  <c r="N13" s="1"/>
  <c r="M12"/>
  <c r="N12" s="1"/>
  <c r="D12"/>
  <c r="E12"/>
  <c r="E35" s="1"/>
  <c r="J11" l="1"/>
  <c r="N11" s="1"/>
  <c r="K11"/>
  <c r="D35"/>
  <c r="C12"/>
</calcChain>
</file>

<file path=xl/sharedStrings.xml><?xml version="1.0" encoding="utf-8"?>
<sst xmlns="http://schemas.openxmlformats.org/spreadsheetml/2006/main" count="323" uniqueCount="184">
  <si>
    <t>Accounts</t>
  </si>
  <si>
    <t>Financial Statement</t>
  </si>
  <si>
    <t xml:space="preserve"> </t>
  </si>
  <si>
    <t>ALLOCATION BY RATE CLASSIFICATION</t>
  </si>
  <si>
    <t>Forecast Financial Statement</t>
  </si>
  <si>
    <t>Difference</t>
  </si>
  <si>
    <t>Description</t>
  </si>
  <si>
    <t>O1 Grouping</t>
  </si>
  <si>
    <t>Classification and Allocation</t>
  </si>
  <si>
    <t>Customer Classes</t>
  </si>
  <si>
    <t>Total</t>
  </si>
  <si>
    <t>Break out Functions</t>
  </si>
  <si>
    <t>Expenses</t>
  </si>
  <si>
    <t>Asset net of Accumulated Depreciation and Contributed Capital</t>
  </si>
  <si>
    <t>BALANCE SHEET ITEMS</t>
  </si>
  <si>
    <t>EXPENSE ITEMS</t>
  </si>
  <si>
    <t>ID and Factors</t>
  </si>
  <si>
    <t>Explanation</t>
  </si>
  <si>
    <t>Amortization Expense - Property, Plant, and Equipment</t>
  </si>
  <si>
    <t>Reclassify accounts</t>
  </si>
  <si>
    <t>Reclassified Balance</t>
  </si>
  <si>
    <t>CUSTOMER ALLOCATORS</t>
  </si>
  <si>
    <t>Billing Data</t>
  </si>
  <si>
    <t>NFA</t>
  </si>
  <si>
    <t>Net Class Revenue</t>
  </si>
  <si>
    <t>Net Fixed Assets</t>
  </si>
  <si>
    <t>Composite Allocators</t>
  </si>
  <si>
    <t>Domestic</t>
  </si>
  <si>
    <t>Export</t>
  </si>
  <si>
    <t>DOM</t>
  </si>
  <si>
    <t>rb</t>
  </si>
  <si>
    <t>Dep</t>
  </si>
  <si>
    <t>Depreciation on fixed assets</t>
  </si>
  <si>
    <t>Demand Total</t>
  </si>
  <si>
    <t>Dedicated to Domestic</t>
  </si>
  <si>
    <t>GA</t>
  </si>
  <si>
    <t>Gross Assets</t>
  </si>
  <si>
    <t>Rate Revenue Required</t>
  </si>
  <si>
    <t>Volume (MWh)</t>
  </si>
  <si>
    <t>Volume</t>
  </si>
  <si>
    <t>Domestic MWh</t>
  </si>
  <si>
    <t>Energy</t>
  </si>
  <si>
    <t>Dedicated to Export</t>
  </si>
  <si>
    <t>Revenue at Existing Rates</t>
  </si>
  <si>
    <t>Revenue at Single Rate</t>
  </si>
  <si>
    <t>Revenue to Expense at Single Rate</t>
  </si>
  <si>
    <t>Separate Rates</t>
  </si>
  <si>
    <t>Rate Weight (percent of domestic rate)</t>
  </si>
  <si>
    <t>Pre-Integration IESO MWh Rate</t>
  </si>
  <si>
    <t>Pre-Integration OPA MWh Rate</t>
  </si>
  <si>
    <t>Single Charge</t>
  </si>
  <si>
    <t>Revenue Requirement</t>
  </si>
  <si>
    <t>Uniform Rate</t>
  </si>
  <si>
    <t>Revenue at Uniform Rate</t>
  </si>
  <si>
    <t>Revenue at Status Quo Rates</t>
  </si>
  <si>
    <t>Gross MWh</t>
  </si>
  <si>
    <t>Interest</t>
  </si>
  <si>
    <t>CEO - CEO Office</t>
  </si>
  <si>
    <t>CEO - CEO Office - NERC Membership</t>
  </si>
  <si>
    <t>CEO - Internal Audit</t>
  </si>
  <si>
    <t>Market and System Operations</t>
  </si>
  <si>
    <t>Market and Resource Development - VP Office</t>
  </si>
  <si>
    <t>Market and Resource Development - Contract Management</t>
  </si>
  <si>
    <t>Market and Resource Development - Renewable Procurement</t>
  </si>
  <si>
    <t>Market and Resource Development - Clean Energy Procurement</t>
  </si>
  <si>
    <t>Market and Resource Development - Policy &amp; Analysis</t>
  </si>
  <si>
    <t>Market and Resource Development - Markets</t>
  </si>
  <si>
    <t>Conservation and Corporate Relations - Conservation Performance</t>
  </si>
  <si>
    <t>Conservation and Corporate Relations - Business Development</t>
  </si>
  <si>
    <t>Conservation and Corporate Relations - Strategic Engagement &amp; Innovation</t>
  </si>
  <si>
    <t>Conservation and Corporate Relations - Program Delivery &amp; Partner Services</t>
  </si>
  <si>
    <t>Conservation and Corporate Relations - Stakeholders &amp; Public Affairs</t>
  </si>
  <si>
    <t>Conservation and Corporate Relations - Marketing</t>
  </si>
  <si>
    <t>Information and Technology Services - VP Office</t>
  </si>
  <si>
    <t>Information and Technology Services - Organizational Governance</t>
  </si>
  <si>
    <t>Information and Technology Services - Business Solutions + Business Analysis</t>
  </si>
  <si>
    <t>Information and Technology Services - Technology Support*</t>
  </si>
  <si>
    <t>Information and Technology Services - Solutions (Adelaide)*</t>
  </si>
  <si>
    <t>Information and Technology Services - IT Operations</t>
  </si>
  <si>
    <t>Information and Technology Services - Facilities</t>
  </si>
  <si>
    <t>Planning, Law and Aboriginal Relations - VP Office</t>
  </si>
  <si>
    <t>Planning, Law and Aboriginal Relations - General Counsel</t>
  </si>
  <si>
    <t>Planning, Law and Aboriginal Relations - Regulatory Affairs</t>
  </si>
  <si>
    <t>Planning, Law and Aboriginal Relations - Board</t>
  </si>
  <si>
    <t>Planning, Law and Aboriginal Relations - First Nations &amp; Metis Relations</t>
  </si>
  <si>
    <t xml:space="preserve">Planning, Law and Aboriginal Relations - Transmission Integration </t>
  </si>
  <si>
    <t>Planning, Law and Aboriginal Relations - Resource Integration</t>
  </si>
  <si>
    <t>Planning, Law and Aboriginal Relations - Conservation Inegration</t>
  </si>
  <si>
    <t>Corporate Services - VP Office</t>
  </si>
  <si>
    <t>Corporate Services - Corporate Controller</t>
  </si>
  <si>
    <t>Corporate Services - Financial Planning &amp; Analysis</t>
  </si>
  <si>
    <t>Corporate Services - Treasury &amp; Pension Operations</t>
  </si>
  <si>
    <t>Corporate Services - Human Resources</t>
  </si>
  <si>
    <t>Corporate Services - Settlements</t>
  </si>
  <si>
    <t>MACD</t>
  </si>
  <si>
    <t>Others (IESO Corp Adj+Int+Amort) - Amortization</t>
  </si>
  <si>
    <t>Others (IESO Corp Adj+Int+Amort) - Interest</t>
  </si>
  <si>
    <t>Others (IESO Corp Adj+Int+Amort) - Uncleared salary</t>
  </si>
  <si>
    <t>Former IESO - Assets</t>
  </si>
  <si>
    <t>Former IESO - Market systems &amp; applications</t>
  </si>
  <si>
    <t>Former IESO - Infrastructure &amp; other assets</t>
  </si>
  <si>
    <t>Former IESO - Assets Under Construction</t>
  </si>
  <si>
    <t>Former OPA - Furniture &amp; Equipment</t>
  </si>
  <si>
    <t>Former OPA - Audio Visual</t>
  </si>
  <si>
    <t>Former OPA - Telephone</t>
  </si>
  <si>
    <t>Former OPA - Leasehold improvements</t>
  </si>
  <si>
    <t>Former OPA - Computer Hardware</t>
  </si>
  <si>
    <t>Former OPA - Computer Software</t>
  </si>
  <si>
    <t>Accumulated Amortization</t>
  </si>
  <si>
    <t>Accumulated Depreciation - Fixed Assets Only</t>
  </si>
  <si>
    <t>Int</t>
  </si>
  <si>
    <t>Estimated Average Service Life (Years)</t>
  </si>
  <si>
    <t>Amortization Share</t>
  </si>
  <si>
    <t>CEO</t>
  </si>
  <si>
    <t>MSO</t>
  </si>
  <si>
    <t>MRD</t>
  </si>
  <si>
    <t>CCR</t>
  </si>
  <si>
    <t>PLAR</t>
  </si>
  <si>
    <t>CS</t>
  </si>
  <si>
    <t>Other</t>
  </si>
  <si>
    <t>Conservation and Corporate Relations</t>
  </si>
  <si>
    <t>Market and Resource Development</t>
  </si>
  <si>
    <t>Information and Technology Services</t>
  </si>
  <si>
    <t>Planning, Law and Aboriginal Relations</t>
  </si>
  <si>
    <t>Corporate Services</t>
  </si>
  <si>
    <t>Others</t>
  </si>
  <si>
    <t>ITS</t>
  </si>
  <si>
    <t>TWh</t>
  </si>
  <si>
    <t>HALF</t>
  </si>
  <si>
    <t>Equal Halves</t>
  </si>
  <si>
    <t>Gross Fixed Assets</t>
  </si>
  <si>
    <t>Amortization Expense</t>
  </si>
  <si>
    <t>DTWh</t>
  </si>
  <si>
    <t>System TWh</t>
  </si>
  <si>
    <t>Domestic TWh</t>
  </si>
  <si>
    <t>EXP</t>
  </si>
  <si>
    <t>Ontario Demand</t>
  </si>
  <si>
    <t>Less Transmission Line Losses</t>
  </si>
  <si>
    <t>Embedded Generation</t>
  </si>
  <si>
    <t>O&amp;M</t>
  </si>
  <si>
    <t>Identifiable O&amp;M</t>
  </si>
  <si>
    <t>Assets</t>
  </si>
  <si>
    <t>Allocated Costs</t>
  </si>
  <si>
    <t>MWh</t>
  </si>
  <si>
    <t>Class-Specific Usage Fees</t>
  </si>
  <si>
    <t>100% RCR</t>
  </si>
  <si>
    <t>80% RCR</t>
  </si>
  <si>
    <t>120% RCR</t>
  </si>
  <si>
    <t>Common Usage Fee</t>
  </si>
  <si>
    <t>Rate</t>
  </si>
  <si>
    <t>R//C Ratio</t>
  </si>
  <si>
    <t>Table 1: Usage Fees and Revenue-to-Cost Ratios for Domestic, Export and Combined Customer Classes, Different and Common Usage Fees</t>
  </si>
  <si>
    <t>Combined</t>
  </si>
  <si>
    <t>Allocator</t>
  </si>
  <si>
    <t>O&amp;M Total</t>
  </si>
  <si>
    <t>Accumulated Amortization Total</t>
  </si>
  <si>
    <t>Total Allocation</t>
  </si>
  <si>
    <t>Check</t>
  </si>
  <si>
    <t>Information and Technology Services - Support of Market and System Operation</t>
  </si>
  <si>
    <t>Market and System Operations - VP Office</t>
  </si>
  <si>
    <t>Market and System Operations - Connections &amp; Registration</t>
  </si>
  <si>
    <t>Market and System Operations - Market Forecasts &amp; Integration</t>
  </si>
  <si>
    <t>Market and System Operations - Operational Effectiveness</t>
  </si>
  <si>
    <t>Market and System Operations - Operations Change Initiatives</t>
  </si>
  <si>
    <t>Market and System Operations - Reliability Assessments</t>
  </si>
  <si>
    <t>Market and System Operations - System Performance</t>
  </si>
  <si>
    <t>Market and System Operations - System Operations</t>
  </si>
  <si>
    <t>Revenue Requirement ($)</t>
  </si>
  <si>
    <t>Net Fixed Assets ($)</t>
  </si>
  <si>
    <t>Fixed Asset Accounts</t>
  </si>
  <si>
    <t>Expense Accounts (Revenue Requirement)</t>
  </si>
  <si>
    <t>Functionalized Accounts</t>
  </si>
  <si>
    <t>Total Expenses (Revenue Requirement)</t>
  </si>
  <si>
    <t>Revenue to Expense at Status Quo Rates</t>
  </si>
  <si>
    <t>This sheet shows what accounts are included in the COSS and how the categorized costs are allocated.</t>
  </si>
  <si>
    <t>Balance in Summary by Class and Accounts</t>
  </si>
  <si>
    <t>Summary of Allocation by Class &amp; Accounts</t>
  </si>
  <si>
    <t>Fixed Assets</t>
  </si>
  <si>
    <t>FIXED ASSETS</t>
  </si>
  <si>
    <t>Factor required to recover Revenue Requirement</t>
  </si>
  <si>
    <t>Conservation and Corporate Relations - VP Office</t>
  </si>
  <si>
    <t>Composite Allocator Detail Worksheet</t>
  </si>
  <si>
    <t>Note: The IESO does not have a Rate Base similar to rate regulated utilities.  Fixed Assets are allocated to test the assumption that TWh is a sensible allocator for Interest and Amortization.</t>
  </si>
  <si>
    <t>Filed:  January 19, 2016, EB-2015-0275, Exhibit B-1-1, Attachment 2</t>
  </si>
</sst>
</file>

<file path=xl/styles.xml><?xml version="1.0" encoding="utf-8"?>
<styleSheet xmlns="http://schemas.openxmlformats.org/spreadsheetml/2006/main">
  <numFmts count="2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_(&quot;$&quot;* #,##0_);_(&quot;$&quot;* \(#,##0\);_(&quot;$&quot;* &quot;-&quot;??_);_(@_)"/>
    <numFmt numFmtId="170" formatCode="&quot;$&quot;#,##0.0000_);[Red]\(&quot;$&quot;#,##0.0000\)"/>
    <numFmt numFmtId="171" formatCode="&quot;$&quot;#,##0;\(&quot;$&quot;#,##0\)\ "/>
    <numFmt numFmtId="172" formatCode="&quot;$&quot;#,##0;[Red]&quot;$&quot;#,##0"/>
    <numFmt numFmtId="173" formatCode="_-&quot;$&quot;* #,##0_-;\-&quot;$&quot;* #,##0_-;_-&quot;$&quot;* &quot;-&quot;??_-;_-@_-"/>
    <numFmt numFmtId="174" formatCode="0.00000"/>
    <numFmt numFmtId="175" formatCode="0.0%"/>
    <numFmt numFmtId="176" formatCode="_-* #,##0.000000_-;\-* #,##0.000000_-;_-* &quot;-&quot;??_-;_-@_-"/>
    <numFmt numFmtId="177" formatCode="&quot;$&quot;#,##0.00;[Red]&quot;$&quot;#,##0.00"/>
    <numFmt numFmtId="178" formatCode="_-* #,##0.0_-;\-* #,##0.0_-;_-* &quot;-&quot;_-;_-@_-"/>
    <numFmt numFmtId="179" formatCode="_(* #,##0.0_);_(* \(#,##0.0\);_(* &quot;-&quot;??_);_(@_)"/>
    <numFmt numFmtId="180" formatCode="_-&quot;$&quot;* #,##0.0000_-;\-&quot;$&quot;* #,##0.0000_-;_-&quot;$&quot;* &quot;-&quot;??_-;_-@_-"/>
  </numFmts>
  <fonts count="42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u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9" fontId="1" fillId="0" borderId="0" applyFont="0" applyFill="0" applyBorder="0" applyAlignment="0" applyProtection="0"/>
    <xf numFmtId="0" fontId="1" fillId="0" borderId="1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6" fontId="40" fillId="0" borderId="0" applyFont="0" applyFill="0" applyBorder="0" applyAlignment="0" applyProtection="0"/>
  </cellStyleXfs>
  <cellXfs count="445">
    <xf numFmtId="0" fontId="0" fillId="0" borderId="0" xfId="0"/>
    <xf numFmtId="0" fontId="6" fillId="2" borderId="0" xfId="0" applyFont="1" applyFill="1"/>
    <xf numFmtId="0" fontId="6" fillId="3" borderId="0" xfId="0" applyFont="1" applyFill="1"/>
    <xf numFmtId="0" fontId="4" fillId="2" borderId="0" xfId="0" applyFont="1" applyFill="1" applyBorder="1" applyAlignment="1"/>
    <xf numFmtId="0" fontId="4" fillId="2" borderId="0" xfId="0" applyFont="1" applyFill="1" applyBorder="1"/>
    <xf numFmtId="0" fontId="6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6" fontId="5" fillId="2" borderId="0" xfId="1" applyNumberFormat="1" applyFont="1" applyFill="1" applyBorder="1"/>
    <xf numFmtId="0" fontId="5" fillId="2" borderId="0" xfId="0" applyFont="1" applyFill="1"/>
    <xf numFmtId="0" fontId="22" fillId="2" borderId="0" xfId="0" applyFont="1" applyFill="1" applyAlignment="1">
      <alignment horizontal="left" indent="5"/>
    </xf>
    <xf numFmtId="0" fontId="6" fillId="2" borderId="0" xfId="0" applyFont="1" applyFill="1" applyAlignment="1">
      <alignment horizontal="left" indent="5"/>
    </xf>
    <xf numFmtId="0" fontId="4" fillId="2" borderId="0" xfId="0" applyFont="1" applyFill="1" applyBorder="1" applyAlignment="1">
      <alignment horizontal="right" vertical="top"/>
    </xf>
    <xf numFmtId="6" fontId="5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6" fontId="11" fillId="0" borderId="13" xfId="1" applyNumberFormat="1" applyFont="1" applyFill="1" applyBorder="1" applyAlignment="1" applyProtection="1">
      <alignment horizontal="center" vertical="center" wrapText="1"/>
    </xf>
    <xf numFmtId="6" fontId="11" fillId="2" borderId="8" xfId="1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/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/>
    <xf numFmtId="6" fontId="6" fillId="2" borderId="0" xfId="2" applyNumberFormat="1" applyFont="1" applyFill="1" applyBorder="1" applyAlignment="1" applyProtection="1">
      <alignment horizontal="right"/>
    </xf>
    <xf numFmtId="6" fontId="6" fillId="2" borderId="0" xfId="2" applyNumberFormat="1" applyFont="1" applyFill="1" applyBorder="1" applyAlignment="1" applyProtection="1"/>
    <xf numFmtId="6" fontId="6" fillId="2" borderId="0" xfId="0" applyNumberFormat="1" applyFont="1" applyFill="1" applyBorder="1" applyAlignment="1" applyProtection="1"/>
    <xf numFmtId="0" fontId="6" fillId="2" borderId="0" xfId="0" applyNumberFormat="1" applyFont="1" applyFill="1" applyAlignment="1"/>
    <xf numFmtId="0" fontId="11" fillId="0" borderId="14" xfId="0" applyFont="1" applyFill="1" applyBorder="1" applyAlignment="1" applyProtection="1">
      <alignment horizontal="center" vertical="center" wrapText="1"/>
    </xf>
    <xf numFmtId="6" fontId="11" fillId="0" borderId="7" xfId="2" applyNumberFormat="1" applyFont="1" applyFill="1" applyBorder="1" applyAlignment="1" applyProtection="1">
      <alignment horizontal="center" vertical="center" wrapText="1"/>
    </xf>
    <xf numFmtId="169" fontId="11" fillId="0" borderId="8" xfId="2" applyNumberFormat="1" applyFont="1" applyFill="1" applyBorder="1" applyAlignment="1" applyProtection="1">
      <alignment horizontal="center" vertical="center" wrapText="1"/>
    </xf>
    <xf numFmtId="6" fontId="11" fillId="0" borderId="8" xfId="2" applyNumberFormat="1" applyFont="1" applyFill="1" applyBorder="1" applyAlignment="1" applyProtection="1">
      <alignment horizontal="center" vertical="center" wrapText="1"/>
    </xf>
    <xf numFmtId="168" fontId="27" fillId="0" borderId="11" xfId="2" applyNumberFormat="1" applyFont="1" applyFill="1" applyBorder="1" applyAlignment="1" applyProtection="1">
      <alignment horizontal="center" vertical="center" wrapText="1"/>
    </xf>
    <xf numFmtId="0" fontId="27" fillId="2" borderId="18" xfId="0" applyNumberFormat="1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8" fontId="29" fillId="0" borderId="11" xfId="2" applyNumberFormat="1" applyFont="1" applyFill="1" applyBorder="1" applyAlignment="1" applyProtection="1">
      <alignment vertical="center"/>
    </xf>
    <xf numFmtId="0" fontId="6" fillId="2" borderId="0" xfId="0" applyFont="1" applyFill="1" applyAlignment="1">
      <alignment horizontal="center" vertical="center" wrapText="1"/>
    </xf>
    <xf numFmtId="0" fontId="30" fillId="2" borderId="0" xfId="0" applyFont="1" applyFill="1" applyAlignment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top" wrapText="1"/>
    </xf>
    <xf numFmtId="0" fontId="30" fillId="2" borderId="0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 applyProtection="1">
      <alignment vertical="top" wrapText="1"/>
    </xf>
    <xf numFmtId="6" fontId="30" fillId="2" borderId="0" xfId="2" applyNumberFormat="1" applyFont="1" applyFill="1" applyBorder="1" applyAlignment="1">
      <alignment horizontal="right" vertical="center" wrapText="1"/>
    </xf>
    <xf numFmtId="169" fontId="30" fillId="2" borderId="0" xfId="2" applyNumberFormat="1" applyFont="1" applyFill="1" applyBorder="1" applyAlignment="1">
      <alignment wrapText="1"/>
    </xf>
    <xf numFmtId="168" fontId="29" fillId="2" borderId="0" xfId="2" applyNumberFormat="1" applyFont="1" applyFill="1" applyBorder="1" applyAlignment="1" applyProtection="1"/>
    <xf numFmtId="6" fontId="30" fillId="2" borderId="0" xfId="0" applyNumberFormat="1" applyFont="1" applyFill="1" applyBorder="1" applyAlignment="1">
      <alignment wrapText="1"/>
    </xf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Alignment="1" applyProtection="1"/>
    <xf numFmtId="0" fontId="11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right"/>
    </xf>
    <xf numFmtId="6" fontId="6" fillId="2" borderId="0" xfId="0" applyNumberFormat="1" applyFont="1" applyFill="1" applyAlignment="1"/>
    <xf numFmtId="6" fontId="29" fillId="2" borderId="28" xfId="2" applyNumberFormat="1" applyFont="1" applyFill="1" applyBorder="1" applyAlignment="1" applyProtection="1"/>
    <xf numFmtId="0" fontId="12" fillId="2" borderId="0" xfId="0" applyFont="1" applyFill="1" applyAlignment="1">
      <alignment horizontal="left"/>
    </xf>
    <xf numFmtId="165" fontId="6" fillId="2" borderId="0" xfId="0" applyNumberFormat="1" applyFont="1" applyFill="1" applyAlignment="1"/>
    <xf numFmtId="165" fontId="6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 indent="10"/>
    </xf>
    <xf numFmtId="0" fontId="6" fillId="2" borderId="0" xfId="0" applyFont="1" applyFill="1" applyAlignment="1">
      <alignment horizontal="left" indent="10"/>
    </xf>
    <xf numFmtId="0" fontId="24" fillId="2" borderId="0" xfId="0" applyFont="1" applyFill="1" applyAlignment="1">
      <alignment horizontal="left" indent="5"/>
    </xf>
    <xf numFmtId="0" fontId="11" fillId="2" borderId="0" xfId="0" applyFont="1" applyFill="1" applyAlignment="1">
      <alignment horizontal="center" vertical="center"/>
    </xf>
    <xf numFmtId="0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horizontal="center"/>
    </xf>
    <xf numFmtId="6" fontId="6" fillId="2" borderId="0" xfId="0" applyNumberFormat="1" applyFont="1" applyFill="1" applyAlignment="1">
      <alignment horizontal="right"/>
    </xf>
    <xf numFmtId="0" fontId="11" fillId="2" borderId="8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/>
    <xf numFmtId="0" fontId="18" fillId="2" borderId="0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 wrapText="1"/>
    </xf>
    <xf numFmtId="0" fontId="1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 wrapText="1"/>
    </xf>
    <xf numFmtId="0" fontId="18" fillId="2" borderId="29" xfId="0" applyFont="1" applyFill="1" applyBorder="1"/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center" wrapText="1"/>
    </xf>
    <xf numFmtId="165" fontId="6" fillId="2" borderId="0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left" wrapText="1"/>
    </xf>
    <xf numFmtId="165" fontId="6" fillId="2" borderId="29" xfId="0" applyNumberFormat="1" applyFont="1" applyFill="1" applyBorder="1" applyAlignment="1" applyProtection="1">
      <alignment horizontal="center"/>
      <protection locked="0"/>
    </xf>
    <xf numFmtId="165" fontId="16" fillId="2" borderId="38" xfId="0" applyNumberFormat="1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center" vertical="center"/>
    </xf>
    <xf numFmtId="165" fontId="8" fillId="2" borderId="30" xfId="0" applyNumberFormat="1" applyFont="1" applyFill="1" applyBorder="1" applyAlignment="1">
      <alignment horizontal="center" wrapText="1"/>
    </xf>
    <xf numFmtId="0" fontId="11" fillId="2" borderId="39" xfId="0" applyNumberFormat="1" applyFont="1" applyFill="1" applyBorder="1" applyAlignment="1">
      <alignment horizontal="center"/>
    </xf>
    <xf numFmtId="0" fontId="11" fillId="2" borderId="38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1" fillId="2" borderId="29" xfId="0" applyFont="1" applyFill="1" applyBorder="1" applyAlignment="1" applyProtection="1">
      <alignment horizontal="center" vertical="center" wrapText="1"/>
    </xf>
    <xf numFmtId="6" fontId="4" fillId="2" borderId="0" xfId="0" applyNumberFormat="1" applyFont="1" applyFill="1" applyBorder="1"/>
    <xf numFmtId="6" fontId="5" fillId="2" borderId="0" xfId="0" applyNumberFormat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/>
    <xf numFmtId="6" fontId="18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>
      <alignment horizontal="center"/>
    </xf>
    <xf numFmtId="0" fontId="11" fillId="2" borderId="33" xfId="0" applyNumberFormat="1" applyFont="1" applyFill="1" applyBorder="1" applyAlignment="1">
      <alignment horizontal="center"/>
    </xf>
    <xf numFmtId="0" fontId="11" fillId="2" borderId="40" xfId="0" applyNumberFormat="1" applyFont="1" applyFill="1" applyBorder="1" applyAlignment="1">
      <alignment horizontal="center"/>
    </xf>
    <xf numFmtId="6" fontId="18" fillId="2" borderId="30" xfId="0" applyNumberFormat="1" applyFont="1" applyFill="1" applyBorder="1"/>
    <xf numFmtId="0" fontId="11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left" vertical="top"/>
    </xf>
    <xf numFmtId="0" fontId="11" fillId="2" borderId="29" xfId="0" applyNumberFormat="1" applyFont="1" applyFill="1" applyBorder="1" applyAlignment="1">
      <alignment horizontal="center" vertical="center"/>
    </xf>
    <xf numFmtId="6" fontId="27" fillId="2" borderId="29" xfId="0" applyNumberFormat="1" applyFont="1" applyFill="1" applyBorder="1"/>
    <xf numFmtId="0" fontId="34" fillId="2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1" fillId="2" borderId="29" xfId="0" applyFont="1" applyFill="1" applyBorder="1"/>
    <xf numFmtId="0" fontId="11" fillId="3" borderId="29" xfId="0" applyFont="1" applyFill="1" applyBorder="1"/>
    <xf numFmtId="6" fontId="11" fillId="3" borderId="44" xfId="0" applyNumberFormat="1" applyFont="1" applyFill="1" applyBorder="1"/>
    <xf numFmtId="0" fontId="14" fillId="2" borderId="0" xfId="0" applyFont="1" applyFill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 wrapText="1"/>
    </xf>
    <xf numFmtId="6" fontId="4" fillId="2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vertical="center" wrapText="1"/>
    </xf>
    <xf numFmtId="0" fontId="18" fillId="2" borderId="0" xfId="0" applyNumberFormat="1" applyFont="1" applyFill="1" applyBorder="1" applyAlignment="1"/>
    <xf numFmtId="6" fontId="21" fillId="2" borderId="0" xfId="0" applyNumberFormat="1" applyFont="1" applyFill="1" applyBorder="1"/>
    <xf numFmtId="6" fontId="18" fillId="2" borderId="29" xfId="0" applyNumberFormat="1" applyFont="1" applyFill="1" applyBorder="1"/>
    <xf numFmtId="0" fontId="11" fillId="2" borderId="39" xfId="0" applyNumberFormat="1" applyFont="1" applyFill="1" applyBorder="1" applyAlignment="1" applyProtection="1">
      <alignment horizontal="center" vertical="center"/>
    </xf>
    <xf numFmtId="0" fontId="27" fillId="2" borderId="27" xfId="0" applyNumberFormat="1" applyFont="1" applyFill="1" applyBorder="1" applyAlignment="1">
      <alignment horizontal="center" vertical="center" wrapText="1"/>
    </xf>
    <xf numFmtId="0" fontId="18" fillId="2" borderId="39" xfId="0" applyNumberFormat="1" applyFont="1" applyFill="1" applyBorder="1" applyAlignment="1">
      <alignment horizontal="center" vertical="center"/>
    </xf>
    <xf numFmtId="0" fontId="27" fillId="2" borderId="27" xfId="0" applyNumberFormat="1" applyFont="1" applyFill="1" applyBorder="1" applyAlignment="1">
      <alignment horizontal="center" vertical="center"/>
    </xf>
    <xf numFmtId="0" fontId="18" fillId="2" borderId="26" xfId="0" applyNumberFormat="1" applyFont="1" applyFill="1" applyBorder="1" applyAlignment="1">
      <alignment horizontal="center" vertical="center"/>
    </xf>
    <xf numFmtId="0" fontId="18" fillId="2" borderId="38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wrapText="1"/>
    </xf>
    <xf numFmtId="6" fontId="4" fillId="2" borderId="4" xfId="1" applyNumberFormat="1" applyFont="1" applyFill="1" applyBorder="1" applyAlignment="1" applyProtection="1">
      <alignment horizontal="center" vertical="center" wrapText="1"/>
    </xf>
    <xf numFmtId="6" fontId="18" fillId="2" borderId="0" xfId="1" applyNumberFormat="1" applyFont="1" applyFill="1" applyBorder="1" applyAlignment="1">
      <alignment horizontal="right"/>
    </xf>
    <xf numFmtId="9" fontId="5" fillId="2" borderId="0" xfId="9" applyFont="1" applyFill="1" applyBorder="1" applyAlignment="1"/>
    <xf numFmtId="0" fontId="5" fillId="2" borderId="0" xfId="0" applyFont="1" applyFill="1" applyBorder="1" applyAlignment="1"/>
    <xf numFmtId="9" fontId="5" fillId="2" borderId="0" xfId="9" applyFont="1" applyFill="1" applyBorder="1"/>
    <xf numFmtId="0" fontId="11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9" fillId="2" borderId="0" xfId="0" applyFont="1" applyFill="1" applyBorder="1" applyAlignment="1">
      <alignment horizontal="left"/>
    </xf>
    <xf numFmtId="9" fontId="19" fillId="2" borderId="0" xfId="9" applyFont="1" applyFill="1" applyBorder="1"/>
    <xf numFmtId="0" fontId="13" fillId="2" borderId="0" xfId="0" applyFont="1" applyFill="1" applyBorder="1" applyAlignment="1">
      <alignment horizontal="left"/>
    </xf>
    <xf numFmtId="9" fontId="9" fillId="2" borderId="0" xfId="9" applyFont="1" applyFill="1" applyBorder="1" applyAlignment="1">
      <alignment horizontal="left"/>
    </xf>
    <xf numFmtId="9" fontId="18" fillId="2" borderId="0" xfId="9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9" fontId="21" fillId="2" borderId="0" xfId="9" applyFont="1" applyFill="1" applyBorder="1" applyAlignment="1">
      <alignment horizontal="left" wrapText="1"/>
    </xf>
    <xf numFmtId="9" fontId="21" fillId="2" borderId="0" xfId="9" applyFont="1" applyFill="1" applyBorder="1" applyAlignment="1">
      <alignment wrapText="1"/>
    </xf>
    <xf numFmtId="10" fontId="27" fillId="2" borderId="0" xfId="9" applyNumberFormat="1" applyFont="1" applyFill="1" applyBorder="1" applyAlignment="1">
      <alignment horizontal="left"/>
    </xf>
    <xf numFmtId="10" fontId="27" fillId="2" borderId="0" xfId="9" applyNumberFormat="1" applyFont="1" applyFill="1" applyBorder="1" applyAlignment="1" applyProtection="1">
      <alignment horizontal="center"/>
    </xf>
    <xf numFmtId="9" fontId="21" fillId="2" borderId="0" xfId="9" applyFont="1" applyFill="1" applyBorder="1" applyAlignment="1">
      <alignment horizontal="left"/>
    </xf>
    <xf numFmtId="10" fontId="21" fillId="2" borderId="0" xfId="9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wrapText="1"/>
      <protection locked="0"/>
    </xf>
    <xf numFmtId="10" fontId="27" fillId="2" borderId="0" xfId="9" applyNumberFormat="1" applyFont="1" applyFill="1" applyBorder="1" applyAlignment="1" applyProtection="1">
      <alignment horizontal="left"/>
      <protection locked="0"/>
    </xf>
    <xf numFmtId="9" fontId="21" fillId="2" borderId="0" xfId="9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 vertical="center"/>
    </xf>
    <xf numFmtId="0" fontId="27" fillId="2" borderId="0" xfId="9" applyNumberFormat="1" applyFont="1" applyFill="1" applyBorder="1" applyAlignment="1">
      <alignment horizontal="center" vertical="center"/>
    </xf>
    <xf numFmtId="0" fontId="31" fillId="2" borderId="0" xfId="0" applyFont="1" applyFill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/>
    </xf>
    <xf numFmtId="0" fontId="11" fillId="3" borderId="30" xfId="0" applyFont="1" applyFill="1" applyBorder="1" applyAlignment="1" applyProtection="1">
      <alignment horizontal="left" vertical="center" wrapText="1"/>
    </xf>
    <xf numFmtId="0" fontId="11" fillId="2" borderId="3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3" borderId="33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6" fontId="18" fillId="2" borderId="0" xfId="1" applyNumberFormat="1" applyFont="1" applyFill="1" applyBorder="1" applyAlignment="1">
      <alignment horizontal="left"/>
    </xf>
    <xf numFmtId="6" fontId="18" fillId="4" borderId="2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 vertical="center" wrapText="1"/>
    </xf>
    <xf numFmtId="165" fontId="16" fillId="2" borderId="0" xfId="0" applyNumberFormat="1" applyFont="1" applyFill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0" fontId="1" fillId="7" borderId="8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left" wrapText="1"/>
    </xf>
    <xf numFmtId="165" fontId="18" fillId="2" borderId="0" xfId="0" applyNumberFormat="1" applyFont="1" applyFill="1" applyAlignment="1">
      <alignment horizontal="left"/>
    </xf>
    <xf numFmtId="165" fontId="21" fillId="7" borderId="8" xfId="0" applyNumberFormat="1" applyFont="1" applyFill="1" applyBorder="1" applyAlignment="1">
      <alignment horizontal="right"/>
    </xf>
    <xf numFmtId="165" fontId="18" fillId="7" borderId="8" xfId="0" applyNumberFormat="1" applyFont="1" applyFill="1" applyBorder="1" applyAlignment="1" applyProtection="1">
      <alignment horizontal="right"/>
      <protection locked="0"/>
    </xf>
    <xf numFmtId="6" fontId="18" fillId="2" borderId="0" xfId="0" applyNumberFormat="1" applyFont="1" applyFill="1" applyAlignment="1">
      <alignment horizontal="right"/>
    </xf>
    <xf numFmtId="6" fontId="21" fillId="0" borderId="8" xfId="0" applyNumberFormat="1" applyFont="1" applyFill="1" applyBorder="1" applyAlignment="1">
      <alignment horizontal="right"/>
    </xf>
    <xf numFmtId="0" fontId="18" fillId="0" borderId="8" xfId="0" applyNumberFormat="1" applyFont="1" applyBorder="1" applyAlignment="1">
      <alignment horizontal="left" wrapText="1"/>
    </xf>
    <xf numFmtId="6" fontId="18" fillId="0" borderId="8" xfId="0" applyNumberFormat="1" applyFont="1" applyFill="1" applyBorder="1" applyAlignment="1" applyProtection="1">
      <alignment horizontal="right"/>
      <protection locked="0"/>
    </xf>
    <xf numFmtId="0" fontId="6" fillId="3" borderId="0" xfId="0" applyFont="1" applyFill="1" applyBorder="1"/>
    <xf numFmtId="10" fontId="27" fillId="2" borderId="0" xfId="9" applyNumberFormat="1" applyFont="1" applyFill="1" applyBorder="1" applyAlignment="1" applyProtection="1">
      <alignment horizontal="left"/>
    </xf>
    <xf numFmtId="10" fontId="27" fillId="2" borderId="0" xfId="9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Border="1" applyAlignment="1"/>
    <xf numFmtId="171" fontId="37" fillId="2" borderId="0" xfId="0" applyNumberFormat="1" applyFont="1" applyFill="1" applyBorder="1" applyAlignment="1"/>
    <xf numFmtId="0" fontId="18" fillId="2" borderId="0" xfId="0" applyFont="1" applyFill="1" applyBorder="1" applyAlignment="1" applyProtection="1"/>
    <xf numFmtId="0" fontId="6" fillId="9" borderId="0" xfId="0" applyFont="1" applyFill="1"/>
    <xf numFmtId="0" fontId="5" fillId="9" borderId="0" xfId="0" applyFont="1" applyFill="1" applyBorder="1"/>
    <xf numFmtId="169" fontId="5" fillId="8" borderId="8" xfId="2" applyNumberFormat="1" applyFont="1" applyFill="1" applyBorder="1" applyAlignment="1" applyProtection="1">
      <protection locked="0"/>
    </xf>
    <xf numFmtId="170" fontId="18" fillId="8" borderId="8" xfId="0" applyNumberFormat="1" applyFont="1" applyFill="1" applyBorder="1" applyAlignment="1" applyProtection="1">
      <alignment horizontal="right"/>
      <protection locked="0"/>
    </xf>
    <xf numFmtId="165" fontId="21" fillId="10" borderId="8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wrapText="1"/>
    </xf>
    <xf numFmtId="6" fontId="18" fillId="11" borderId="29" xfId="0" applyNumberFormat="1" applyFont="1" applyFill="1" applyBorder="1" applyAlignment="1">
      <alignment horizontal="right"/>
    </xf>
    <xf numFmtId="0" fontId="1" fillId="4" borderId="14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/>
    <xf numFmtId="165" fontId="11" fillId="2" borderId="2" xfId="0" applyNumberFormat="1" applyFont="1" applyFill="1" applyBorder="1" applyAlignment="1">
      <alignment horizontal="left"/>
    </xf>
    <xf numFmtId="0" fontId="5" fillId="2" borderId="0" xfId="14" applyFont="1" applyFill="1"/>
    <xf numFmtId="0" fontId="22" fillId="2" borderId="0" xfId="14" applyFont="1" applyFill="1" applyAlignment="1">
      <alignment horizontal="left" indent="10"/>
    </xf>
    <xf numFmtId="0" fontId="5" fillId="2" borderId="0" xfId="14" applyFont="1" applyFill="1" applyAlignment="1">
      <alignment horizontal="left" indent="10"/>
    </xf>
    <xf numFmtId="0" fontId="5" fillId="2" borderId="0" xfId="14" applyFont="1" applyFill="1" applyAlignment="1">
      <alignment horizontal="center"/>
    </xf>
    <xf numFmtId="0" fontId="24" fillId="2" borderId="0" xfId="14" applyFont="1" applyFill="1" applyAlignment="1">
      <alignment horizontal="left" indent="5"/>
    </xf>
    <xf numFmtId="0" fontId="5" fillId="3" borderId="0" xfId="14" applyFont="1" applyFill="1"/>
    <xf numFmtId="0" fontId="5" fillId="3" borderId="0" xfId="14" applyFont="1" applyFill="1" applyAlignment="1">
      <alignment horizontal="center"/>
    </xf>
    <xf numFmtId="0" fontId="5" fillId="2" borderId="0" xfId="14" applyFont="1" applyFill="1" applyAlignment="1">
      <alignment horizontal="left" wrapText="1"/>
    </xf>
    <xf numFmtId="0" fontId="8" fillId="2" borderId="0" xfId="14" applyFont="1" applyFill="1"/>
    <xf numFmtId="6" fontId="5" fillId="2" borderId="0" xfId="14" applyNumberFormat="1" applyFont="1" applyFill="1"/>
    <xf numFmtId="0" fontId="5" fillId="2" borderId="0" xfId="14" applyFont="1" applyFill="1" applyAlignment="1">
      <alignment horizontal="left"/>
    </xf>
    <xf numFmtId="0" fontId="1" fillId="2" borderId="0" xfId="14" applyFont="1" applyFill="1"/>
    <xf numFmtId="0" fontId="32" fillId="2" borderId="0" xfId="14" applyFont="1" applyFill="1"/>
    <xf numFmtId="0" fontId="17" fillId="2" borderId="0" xfId="14" applyFont="1" applyFill="1" applyAlignment="1">
      <alignment horizontal="left"/>
    </xf>
    <xf numFmtId="0" fontId="17" fillId="2" borderId="0" xfId="14" applyFont="1" applyFill="1" applyAlignment="1">
      <alignment horizontal="left" wrapText="1"/>
    </xf>
    <xf numFmtId="0" fontId="17" fillId="2" borderId="0" xfId="14" applyFont="1" applyFill="1"/>
    <xf numFmtId="0" fontId="38" fillId="2" borderId="0" xfId="14" applyFont="1" applyFill="1"/>
    <xf numFmtId="0" fontId="1" fillId="2" borderId="0" xfId="14" applyNumberFormat="1" applyFont="1" applyFill="1" applyAlignment="1">
      <alignment horizontal="left"/>
    </xf>
    <xf numFmtId="0" fontId="1" fillId="2" borderId="0" xfId="14" applyNumberFormat="1" applyFont="1" applyFill="1" applyAlignment="1">
      <alignment horizontal="left" wrapText="1"/>
    </xf>
    <xf numFmtId="0" fontId="11" fillId="2" borderId="14" xfId="14" applyNumberFormat="1" applyFont="1" applyFill="1" applyBorder="1" applyAlignment="1">
      <alignment horizontal="center"/>
    </xf>
    <xf numFmtId="0" fontId="1" fillId="2" borderId="0" xfId="14" applyNumberFormat="1" applyFont="1" applyFill="1"/>
    <xf numFmtId="0" fontId="39" fillId="2" borderId="0" xfId="14" applyNumberFormat="1" applyFont="1" applyFill="1"/>
    <xf numFmtId="0" fontId="39" fillId="2" borderId="0" xfId="14" applyFont="1" applyFill="1"/>
    <xf numFmtId="6" fontId="1" fillId="2" borderId="0" xfId="14" applyNumberFormat="1" applyFont="1" applyFill="1"/>
    <xf numFmtId="6" fontId="21" fillId="2" borderId="0" xfId="14" applyNumberFormat="1" applyFont="1" applyFill="1"/>
    <xf numFmtId="0" fontId="25" fillId="2" borderId="0" xfId="14" applyFont="1" applyFill="1" applyAlignment="1">
      <alignment horizontal="left" vertical="top"/>
    </xf>
    <xf numFmtId="0" fontId="39" fillId="2" borderId="0" xfId="14" applyFont="1" applyFill="1" applyBorder="1" applyAlignment="1">
      <alignment horizontal="left"/>
    </xf>
    <xf numFmtId="0" fontId="1" fillId="2" borderId="0" xfId="14" applyFont="1" applyFill="1" applyAlignment="1">
      <alignment horizontal="left"/>
    </xf>
    <xf numFmtId="0" fontId="1" fillId="2" borderId="0" xfId="14" applyFont="1" applyFill="1" applyAlignment="1">
      <alignment horizontal="left" wrapText="1"/>
    </xf>
    <xf numFmtId="0" fontId="20" fillId="2" borderId="0" xfId="0" applyNumberFormat="1" applyFont="1" applyFill="1" applyAlignment="1" applyProtection="1">
      <alignment vertical="center" wrapText="1"/>
    </xf>
    <xf numFmtId="164" fontId="35" fillId="2" borderId="0" xfId="0" applyNumberFormat="1" applyFont="1" applyFill="1" applyBorder="1" applyAlignment="1">
      <alignment vertical="center"/>
    </xf>
    <xf numFmtId="0" fontId="18" fillId="4" borderId="33" xfId="0" applyFont="1" applyFill="1" applyBorder="1" applyAlignment="1" applyProtection="1">
      <alignment horizontal="left" vertical="center" wrapText="1"/>
    </xf>
    <xf numFmtId="0" fontId="18" fillId="4" borderId="30" xfId="0" applyFont="1" applyFill="1" applyBorder="1" applyAlignment="1" applyProtection="1">
      <alignment horizontal="left" vertical="center" wrapText="1"/>
    </xf>
    <xf numFmtId="0" fontId="18" fillId="4" borderId="42" xfId="0" applyFont="1" applyFill="1" applyBorder="1" applyAlignment="1" applyProtection="1">
      <alignment horizontal="left" vertical="center" wrapText="1"/>
    </xf>
    <xf numFmtId="0" fontId="18" fillId="4" borderId="33" xfId="0" applyFont="1" applyFill="1" applyBorder="1" applyAlignment="1" applyProtection="1">
      <alignment horizontal="left" vertical="top"/>
    </xf>
    <xf numFmtId="0" fontId="18" fillId="4" borderId="3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top"/>
    </xf>
    <xf numFmtId="0" fontId="1" fillId="2" borderId="29" xfId="0" applyFont="1" applyFill="1" applyBorder="1"/>
    <xf numFmtId="0" fontId="11" fillId="2" borderId="30" xfId="0" applyNumberFormat="1" applyFont="1" applyFill="1" applyBorder="1" applyAlignment="1">
      <alignment horizontal="center" vertical="center" wrapText="1"/>
    </xf>
    <xf numFmtId="172" fontId="18" fillId="2" borderId="30" xfId="0" applyNumberFormat="1" applyFont="1" applyFill="1" applyBorder="1"/>
    <xf numFmtId="173" fontId="27" fillId="2" borderId="29" xfId="15" applyNumberFormat="1" applyFont="1" applyFill="1" applyBorder="1"/>
    <xf numFmtId="0" fontId="1" fillId="12" borderId="29" xfId="0" applyFont="1" applyFill="1" applyBorder="1"/>
    <xf numFmtId="173" fontId="27" fillId="12" borderId="42" xfId="15" applyNumberFormat="1" applyFont="1" applyFill="1" applyBorder="1"/>
    <xf numFmtId="168" fontId="27" fillId="2" borderId="42" xfId="1" applyNumberFormat="1" applyFont="1" applyFill="1" applyBorder="1"/>
    <xf numFmtId="168" fontId="18" fillId="2" borderId="42" xfId="1" applyNumberFormat="1" applyFont="1" applyFill="1" applyBorder="1"/>
    <xf numFmtId="165" fontId="16" fillId="2" borderId="15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horizontal="center" vertical="top" wrapText="1"/>
    </xf>
    <xf numFmtId="0" fontId="11" fillId="2" borderId="34" xfId="0" applyFont="1" applyFill="1" applyBorder="1" applyAlignment="1" applyProtection="1">
      <alignment horizontal="center" vertical="top" wrapText="1"/>
    </xf>
    <xf numFmtId="6" fontId="21" fillId="2" borderId="35" xfId="0" applyNumberFormat="1" applyFont="1" applyFill="1" applyBorder="1"/>
    <xf numFmtId="6" fontId="18" fillId="2" borderId="35" xfId="0" applyNumberFormat="1" applyFont="1" applyFill="1" applyBorder="1"/>
    <xf numFmtId="6" fontId="18" fillId="2" borderId="36" xfId="0" applyNumberFormat="1" applyFont="1" applyFill="1" applyBorder="1"/>
    <xf numFmtId="0" fontId="11" fillId="2" borderId="2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9" fontId="27" fillId="2" borderId="6" xfId="9" applyFont="1" applyFill="1" applyBorder="1" applyAlignment="1">
      <alignment horizontal="center" vertical="center"/>
    </xf>
    <xf numFmtId="165" fontId="11" fillId="2" borderId="45" xfId="0" applyNumberFormat="1" applyFont="1" applyFill="1" applyBorder="1" applyAlignment="1">
      <alignment horizontal="center" vertical="center" wrapText="1"/>
    </xf>
    <xf numFmtId="165" fontId="11" fillId="2" borderId="5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9" fontId="5" fillId="2" borderId="29" xfId="9" applyFont="1" applyFill="1" applyBorder="1"/>
    <xf numFmtId="9" fontId="21" fillId="2" borderId="29" xfId="9" applyFont="1" applyFill="1" applyBorder="1" applyAlignment="1">
      <alignment wrapText="1"/>
    </xf>
    <xf numFmtId="0" fontId="18" fillId="2" borderId="2" xfId="0" applyFont="1" applyFill="1" applyBorder="1" applyAlignment="1">
      <alignment horizontal="left" wrapText="1"/>
    </xf>
    <xf numFmtId="10" fontId="27" fillId="2" borderId="29" xfId="9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left" wrapText="1"/>
    </xf>
    <xf numFmtId="10" fontId="21" fillId="2" borderId="29" xfId="9" applyNumberFormat="1" applyFont="1" applyFill="1" applyBorder="1" applyAlignment="1" applyProtection="1">
      <alignment horizontal="center"/>
    </xf>
    <xf numFmtId="0" fontId="18" fillId="4" borderId="2" xfId="0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8" fillId="2" borderId="2" xfId="0" applyFont="1" applyFill="1" applyBorder="1" applyAlignment="1" applyProtection="1">
      <alignment horizontal="left" wrapText="1"/>
      <protection locked="0"/>
    </xf>
    <xf numFmtId="10" fontId="27" fillId="2" borderId="29" xfId="9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left" wrapText="1"/>
    </xf>
    <xf numFmtId="6" fontId="27" fillId="0" borderId="43" xfId="0" applyNumberFormat="1" applyFont="1" applyFill="1" applyBorder="1"/>
    <xf numFmtId="6" fontId="11" fillId="0" borderId="44" xfId="0" applyNumberFormat="1" applyFont="1" applyFill="1" applyBorder="1"/>
    <xf numFmtId="0" fontId="11" fillId="2" borderId="29" xfId="0" applyFont="1" applyFill="1" applyBorder="1" applyAlignment="1" applyProtection="1">
      <alignment horizontal="left" vertical="center" wrapText="1"/>
    </xf>
    <xf numFmtId="0" fontId="1" fillId="2" borderId="29" xfId="0" applyFont="1" applyFill="1" applyBorder="1" applyAlignment="1" applyProtection="1">
      <alignment horizontal="left" vertical="center" wrapText="1"/>
    </xf>
    <xf numFmtId="174" fontId="11" fillId="2" borderId="29" xfId="0" applyNumberFormat="1" applyFont="1" applyFill="1" applyBorder="1" applyAlignment="1">
      <alignment horizontal="right" vertical="center"/>
    </xf>
    <xf numFmtId="10" fontId="27" fillId="2" borderId="29" xfId="9" applyNumberFormat="1" applyFont="1" applyFill="1" applyBorder="1"/>
    <xf numFmtId="10" fontId="11" fillId="2" borderId="30" xfId="9" applyNumberFormat="1" applyFont="1" applyFill="1" applyBorder="1"/>
    <xf numFmtId="176" fontId="18" fillId="2" borderId="42" xfId="1" applyNumberFormat="1" applyFont="1" applyFill="1" applyBorder="1"/>
    <xf numFmtId="168" fontId="20" fillId="2" borderId="29" xfId="1" applyNumberFormat="1" applyFont="1" applyFill="1" applyBorder="1"/>
    <xf numFmtId="168" fontId="11" fillId="2" borderId="30" xfId="1" applyNumberFormat="1" applyFont="1" applyFill="1" applyBorder="1"/>
    <xf numFmtId="175" fontId="11" fillId="2" borderId="30" xfId="9" applyNumberFormat="1" applyFont="1" applyFill="1" applyBorder="1"/>
    <xf numFmtId="0" fontId="11" fillId="3" borderId="33" xfId="0" applyFont="1" applyFill="1" applyBorder="1" applyAlignment="1" applyProtection="1">
      <alignment horizontal="left" vertical="center" wrapText="1"/>
    </xf>
    <xf numFmtId="170" fontId="18" fillId="0" borderId="8" xfId="0" applyNumberFormat="1" applyFont="1" applyFill="1" applyBorder="1" applyAlignment="1" applyProtection="1">
      <alignment horizontal="right"/>
      <protection locked="0"/>
    </xf>
    <xf numFmtId="165" fontId="18" fillId="0" borderId="8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>
      <alignment horizontal="left" wrapText="1"/>
    </xf>
    <xf numFmtId="165" fontId="8" fillId="2" borderId="33" xfId="0" applyNumberFormat="1" applyFont="1" applyFill="1" applyBorder="1" applyAlignment="1">
      <alignment horizontal="center"/>
    </xf>
    <xf numFmtId="165" fontId="6" fillId="2" borderId="32" xfId="0" applyNumberFormat="1" applyFont="1" applyFill="1" applyBorder="1" applyAlignment="1" applyProtection="1">
      <alignment horizontal="center"/>
      <protection locked="0"/>
    </xf>
    <xf numFmtId="165" fontId="6" fillId="2" borderId="3" xfId="0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Border="1" applyAlignment="1" applyProtection="1">
      <alignment horizontal="center" wrapText="1"/>
      <protection locked="0"/>
    </xf>
    <xf numFmtId="178" fontId="29" fillId="2" borderId="55" xfId="0" applyNumberFormat="1" applyFont="1" applyFill="1" applyBorder="1" applyAlignment="1">
      <alignment horizontal="center" wrapText="1"/>
    </xf>
    <xf numFmtId="178" fontId="30" fillId="8" borderId="13" xfId="0" applyNumberFormat="1" applyFont="1" applyFill="1" applyBorder="1" applyAlignment="1" applyProtection="1">
      <alignment horizontal="center" wrapText="1"/>
      <protection locked="0"/>
    </xf>
    <xf numFmtId="178" fontId="30" fillId="8" borderId="11" xfId="0" applyNumberFormat="1" applyFont="1" applyFill="1" applyBorder="1" applyAlignment="1" applyProtection="1">
      <alignment horizontal="center"/>
      <protection locked="0"/>
    </xf>
    <xf numFmtId="178" fontId="1" fillId="8" borderId="54" xfId="0" applyNumberFormat="1" applyFont="1" applyFill="1" applyBorder="1" applyAlignment="1" applyProtection="1">
      <alignment horizontal="center" wrapText="1"/>
      <protection locked="0"/>
    </xf>
    <xf numFmtId="178" fontId="1" fillId="8" borderId="51" xfId="0" applyNumberFormat="1" applyFont="1" applyFill="1" applyBorder="1" applyAlignment="1" applyProtection="1">
      <alignment horizontal="center" wrapText="1"/>
      <protection locked="0"/>
    </xf>
    <xf numFmtId="178" fontId="6" fillId="2" borderId="0" xfId="0" applyNumberFormat="1" applyFont="1" applyFill="1" applyBorder="1" applyAlignment="1">
      <alignment horizontal="center"/>
    </xf>
    <xf numFmtId="9" fontId="27" fillId="2" borderId="29" xfId="9" applyFont="1" applyFill="1" applyBorder="1" applyAlignment="1">
      <alignment horizontal="center"/>
    </xf>
    <xf numFmtId="0" fontId="18" fillId="2" borderId="34" xfId="0" applyFont="1" applyFill="1" applyBorder="1" applyAlignment="1">
      <alignment horizontal="left" wrapText="1"/>
    </xf>
    <xf numFmtId="0" fontId="11" fillId="2" borderId="35" xfId="0" applyFont="1" applyFill="1" applyBorder="1" applyAlignment="1">
      <alignment horizontal="left"/>
    </xf>
    <xf numFmtId="10" fontId="27" fillId="2" borderId="35" xfId="9" applyNumberFormat="1" applyFont="1" applyFill="1" applyBorder="1" applyAlignment="1" applyProtection="1">
      <alignment horizontal="left"/>
      <protection locked="0"/>
    </xf>
    <xf numFmtId="10" fontId="20" fillId="2" borderId="0" xfId="9" applyNumberFormat="1" applyFont="1" applyFill="1" applyBorder="1" applyAlignment="1" applyProtection="1">
      <alignment horizontal="left"/>
      <protection locked="0"/>
    </xf>
    <xf numFmtId="9" fontId="20" fillId="2" borderId="0" xfId="9" applyFont="1" applyFill="1" applyBorder="1" applyAlignment="1">
      <alignment horizontal="center"/>
    </xf>
    <xf numFmtId="9" fontId="20" fillId="2" borderId="29" xfId="9" applyFont="1" applyFill="1" applyBorder="1" applyAlignment="1">
      <alignment horizontal="center"/>
    </xf>
    <xf numFmtId="10" fontId="20" fillId="2" borderId="0" xfId="9" applyNumberFormat="1" applyFont="1" applyFill="1" applyBorder="1" applyAlignment="1">
      <alignment horizontal="center"/>
    </xf>
    <xf numFmtId="10" fontId="20" fillId="2" borderId="29" xfId="9" applyNumberFormat="1" applyFont="1" applyFill="1" applyBorder="1" applyAlignment="1">
      <alignment horizontal="center"/>
    </xf>
    <xf numFmtId="10" fontId="27" fillId="2" borderId="0" xfId="9" applyNumberFormat="1" applyFont="1" applyFill="1" applyBorder="1" applyAlignment="1">
      <alignment horizontal="center"/>
    </xf>
    <xf numFmtId="10" fontId="27" fillId="2" borderId="29" xfId="9" applyNumberFormat="1" applyFont="1" applyFill="1" applyBorder="1" applyAlignment="1">
      <alignment horizontal="center"/>
    </xf>
    <xf numFmtId="10" fontId="27" fillId="2" borderId="35" xfId="9" applyNumberFormat="1" applyFont="1" applyFill="1" applyBorder="1" applyAlignment="1">
      <alignment horizontal="center"/>
    </xf>
    <xf numFmtId="10" fontId="27" fillId="2" borderId="36" xfId="9" applyNumberFormat="1" applyFont="1" applyFill="1" applyBorder="1" applyAlignment="1">
      <alignment horizontal="center"/>
    </xf>
    <xf numFmtId="179" fontId="0" fillId="8" borderId="0" xfId="1" applyNumberFormat="1" applyFont="1" applyFill="1"/>
    <xf numFmtId="0" fontId="1" fillId="2" borderId="8" xfId="0" applyFont="1" applyFill="1" applyBorder="1"/>
    <xf numFmtId="0" fontId="1" fillId="13" borderId="8" xfId="0" applyFont="1" applyFill="1" applyBorder="1"/>
    <xf numFmtId="6" fontId="1" fillId="2" borderId="8" xfId="0" applyNumberFormat="1" applyFont="1" applyFill="1" applyBorder="1"/>
    <xf numFmtId="0" fontId="1" fillId="13" borderId="8" xfId="0" applyFont="1" applyFill="1" applyBorder="1" applyAlignment="1">
      <alignment horizontal="center"/>
    </xf>
    <xf numFmtId="168" fontId="1" fillId="2" borderId="8" xfId="0" applyNumberFormat="1" applyFont="1" applyFill="1" applyBorder="1"/>
    <xf numFmtId="180" fontId="1" fillId="2" borderId="8" xfId="15" applyNumberFormat="1" applyFont="1" applyFill="1" applyBorder="1"/>
    <xf numFmtId="10" fontId="1" fillId="2" borderId="8" xfId="9" applyNumberFormat="1" applyFont="1" applyFill="1" applyBorder="1"/>
    <xf numFmtId="0" fontId="1" fillId="2" borderId="21" xfId="0" applyFont="1" applyFill="1" applyBorder="1" applyAlignment="1" applyProtection="1">
      <alignment horizontal="left" vertical="center" wrapText="1"/>
    </xf>
    <xf numFmtId="0" fontId="27" fillId="2" borderId="3" xfId="0" applyFont="1" applyFill="1" applyBorder="1" applyAlignment="1" applyProtection="1">
      <alignment horizontal="center" wrapText="1"/>
    </xf>
    <xf numFmtId="6" fontId="27" fillId="2" borderId="3" xfId="0" applyNumberFormat="1" applyFont="1" applyFill="1" applyBorder="1"/>
    <xf numFmtId="6" fontId="27" fillId="2" borderId="32" xfId="0" applyNumberFormat="1" applyFont="1" applyFill="1" applyBorder="1"/>
    <xf numFmtId="0" fontId="1" fillId="2" borderId="34" xfId="0" applyFont="1" applyFill="1" applyBorder="1" applyAlignment="1" applyProtection="1">
      <alignment horizontal="left" vertical="center" wrapText="1"/>
    </xf>
    <xf numFmtId="0" fontId="11" fillId="2" borderId="35" xfId="0" applyFont="1" applyFill="1" applyBorder="1" applyAlignment="1" applyProtection="1">
      <alignment horizontal="center" wrapText="1"/>
    </xf>
    <xf numFmtId="6" fontId="11" fillId="2" borderId="35" xfId="0" applyNumberFormat="1" applyFont="1" applyFill="1" applyBorder="1"/>
    <xf numFmtId="6" fontId="27" fillId="2" borderId="35" xfId="0" applyNumberFormat="1" applyFont="1" applyFill="1" applyBorder="1"/>
    <xf numFmtId="6" fontId="11" fillId="2" borderId="36" xfId="0" applyNumberFormat="1" applyFont="1" applyFill="1" applyBorder="1"/>
    <xf numFmtId="0" fontId="1" fillId="2" borderId="56" xfId="14" applyFont="1" applyFill="1" applyBorder="1" applyAlignment="1">
      <alignment horizontal="left" wrapText="1"/>
    </xf>
    <xf numFmtId="6" fontId="21" fillId="2" borderId="56" xfId="14" applyNumberFormat="1" applyFont="1" applyFill="1" applyBorder="1" applyAlignment="1">
      <alignment vertical="center"/>
    </xf>
    <xf numFmtId="6" fontId="1" fillId="2" borderId="57" xfId="14" applyNumberFormat="1" applyFont="1" applyFill="1" applyBorder="1" applyAlignment="1">
      <alignment vertical="center"/>
    </xf>
    <xf numFmtId="6" fontId="1" fillId="2" borderId="58" xfId="14" applyNumberFormat="1" applyFont="1" applyFill="1" applyBorder="1" applyAlignment="1">
      <alignment vertical="center"/>
    </xf>
    <xf numFmtId="0" fontId="1" fillId="2" borderId="59" xfId="14" applyFont="1" applyFill="1" applyBorder="1" applyAlignment="1">
      <alignment horizontal="left" wrapText="1"/>
    </xf>
    <xf numFmtId="6" fontId="21" fillId="2" borderId="59" xfId="14" applyNumberFormat="1" applyFont="1" applyFill="1" applyBorder="1" applyAlignment="1">
      <alignment vertical="center"/>
    </xf>
    <xf numFmtId="6" fontId="1" fillId="2" borderId="60" xfId="14" applyNumberFormat="1" applyFont="1" applyFill="1" applyBorder="1" applyAlignment="1">
      <alignment vertical="center"/>
    </xf>
    <xf numFmtId="6" fontId="1" fillId="2" borderId="61" xfId="14" applyNumberFormat="1" applyFont="1" applyFill="1" applyBorder="1" applyAlignment="1">
      <alignment vertical="center"/>
    </xf>
    <xf numFmtId="0" fontId="1" fillId="2" borderId="62" xfId="14" applyFont="1" applyFill="1" applyBorder="1" applyAlignment="1">
      <alignment horizontal="left" wrapText="1"/>
    </xf>
    <xf numFmtId="6" fontId="21" fillId="2" borderId="62" xfId="14" applyNumberFormat="1" applyFont="1" applyFill="1" applyBorder="1" applyAlignment="1">
      <alignment vertical="center"/>
    </xf>
    <xf numFmtId="6" fontId="1" fillId="2" borderId="63" xfId="14" applyNumberFormat="1" applyFont="1" applyFill="1" applyBorder="1" applyAlignment="1">
      <alignment vertical="center"/>
    </xf>
    <xf numFmtId="6" fontId="1" fillId="2" borderId="64" xfId="14" applyNumberFormat="1" applyFont="1" applyFill="1" applyBorder="1" applyAlignment="1">
      <alignment vertical="center"/>
    </xf>
    <xf numFmtId="0" fontId="1" fillId="2" borderId="15" xfId="14" applyFont="1" applyFill="1" applyBorder="1" applyAlignment="1">
      <alignment horizontal="left" wrapText="1"/>
    </xf>
    <xf numFmtId="6" fontId="21" fillId="2" borderId="16" xfId="14" applyNumberFormat="1" applyFont="1" applyFill="1" applyBorder="1"/>
    <xf numFmtId="6" fontId="1" fillId="2" borderId="16" xfId="14" applyNumberFormat="1" applyFont="1" applyFill="1" applyBorder="1"/>
    <xf numFmtId="6" fontId="1" fillId="2" borderId="17" xfId="14" applyNumberFormat="1" applyFont="1" applyFill="1" applyBorder="1"/>
    <xf numFmtId="6" fontId="1" fillId="2" borderId="16" xfId="14" applyNumberFormat="1" applyFont="1" applyFill="1" applyBorder="1" applyAlignment="1">
      <alignment horizontal="right"/>
    </xf>
    <xf numFmtId="6" fontId="1" fillId="2" borderId="17" xfId="14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6" fontId="1" fillId="0" borderId="11" xfId="1" applyNumberFormat="1" applyFont="1" applyFill="1" applyBorder="1" applyAlignment="1" applyProtection="1">
      <alignment horizontal="right" vertical="center"/>
      <protection locked="0"/>
    </xf>
    <xf numFmtId="6" fontId="1" fillId="2" borderId="0" xfId="0" applyNumberFormat="1" applyFont="1" applyFill="1" applyBorder="1" applyAlignment="1">
      <alignment horizontal="left"/>
    </xf>
    <xf numFmtId="6" fontId="1" fillId="0" borderId="12" xfId="1" applyNumberFormat="1" applyFont="1" applyFill="1" applyBorder="1" applyAlignment="1" applyProtection="1">
      <alignment horizontal="right" vertical="center"/>
      <protection locked="0"/>
    </xf>
    <xf numFmtId="6" fontId="1" fillId="2" borderId="0" xfId="1" applyNumberFormat="1" applyFont="1" applyFill="1" applyBorder="1" applyAlignment="1">
      <alignment horizontal="left" wrapText="1"/>
    </xf>
    <xf numFmtId="6" fontId="1" fillId="2" borderId="0" xfId="1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>
      <alignment horizont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6" fontId="1" fillId="8" borderId="8" xfId="1" applyNumberFormat="1" applyFont="1" applyFill="1" applyBorder="1" applyAlignment="1" applyProtection="1">
      <alignment horizontal="right"/>
      <protection locked="0"/>
    </xf>
    <xf numFmtId="6" fontId="21" fillId="0" borderId="8" xfId="1" applyNumberFormat="1" applyFont="1" applyFill="1" applyBorder="1" applyAlignment="1" applyProtection="1">
      <alignment horizontal="right"/>
    </xf>
    <xf numFmtId="0" fontId="1" fillId="2" borderId="0" xfId="0" applyFont="1" applyFill="1"/>
    <xf numFmtId="0" fontId="1" fillId="2" borderId="0" xfId="0" applyFont="1" applyFill="1" applyBorder="1"/>
    <xf numFmtId="6" fontId="1" fillId="8" borderId="8" xfId="1" applyNumberFormat="1" applyFont="1" applyFill="1" applyBorder="1" applyAlignment="1" applyProtection="1">
      <alignment horizontal="right"/>
    </xf>
    <xf numFmtId="0" fontId="21" fillId="2" borderId="0" xfId="14" applyNumberFormat="1" applyFont="1" applyFill="1" applyBorder="1" applyAlignment="1">
      <alignment horizontal="center"/>
    </xf>
    <xf numFmtId="165" fontId="20" fillId="2" borderId="8" xfId="14" applyNumberFormat="1" applyFont="1" applyFill="1" applyBorder="1" applyAlignment="1">
      <alignment horizontal="center" vertical="center"/>
    </xf>
    <xf numFmtId="165" fontId="11" fillId="2" borderId="8" xfId="14" applyNumberFormat="1" applyFont="1" applyFill="1" applyBorder="1" applyAlignment="1">
      <alignment horizontal="center" vertical="center" wrapText="1"/>
    </xf>
    <xf numFmtId="0" fontId="11" fillId="2" borderId="13" xfId="14" applyNumberFormat="1" applyFont="1" applyFill="1" applyBorder="1" applyAlignment="1">
      <alignment horizontal="center"/>
    </xf>
    <xf numFmtId="175" fontId="37" fillId="2" borderId="8" xfId="9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29" xfId="0" applyNumberFormat="1" applyFont="1" applyFill="1" applyBorder="1" applyAlignment="1"/>
    <xf numFmtId="6" fontId="11" fillId="0" borderId="53" xfId="2" applyNumberFormat="1" applyFont="1" applyFill="1" applyBorder="1" applyAlignment="1" applyProtection="1">
      <alignment horizontal="center" vertical="center" wrapText="1"/>
    </xf>
    <xf numFmtId="0" fontId="30" fillId="8" borderId="7" xfId="0" applyFont="1" applyFill="1" applyBorder="1" applyAlignment="1"/>
    <xf numFmtId="6" fontId="5" fillId="8" borderId="11" xfId="0" applyNumberFormat="1" applyFont="1" applyFill="1" applyBorder="1" applyAlignment="1" applyProtection="1">
      <alignment wrapText="1"/>
      <protection locked="0"/>
    </xf>
    <xf numFmtId="0" fontId="30" fillId="8" borderId="9" xfId="0" applyFont="1" applyFill="1" applyBorder="1" applyAlignment="1"/>
    <xf numFmtId="175" fontId="37" fillId="2" borderId="10" xfId="9" applyNumberFormat="1" applyFont="1" applyFill="1" applyBorder="1" applyAlignment="1"/>
    <xf numFmtId="6" fontId="5" fillId="8" borderId="12" xfId="0" applyNumberFormat="1" applyFont="1" applyFill="1" applyBorder="1" applyAlignment="1" applyProtection="1">
      <alignment wrapText="1"/>
      <protection locked="0"/>
    </xf>
    <xf numFmtId="169" fontId="5" fillId="8" borderId="10" xfId="2" applyNumberFormat="1" applyFont="1" applyFill="1" applyBorder="1" applyAlignment="1" applyProtection="1">
      <protection locked="0"/>
    </xf>
    <xf numFmtId="168" fontId="29" fillId="0" borderId="12" xfId="2" applyNumberFormat="1" applyFont="1" applyFill="1" applyBorder="1" applyAlignment="1" applyProtection="1">
      <alignment vertical="center"/>
    </xf>
    <xf numFmtId="0" fontId="11" fillId="3" borderId="42" xfId="0" applyFont="1" applyFill="1" applyBorder="1" applyAlignment="1" applyProtection="1">
      <alignment horizontal="left" vertical="center" wrapText="1"/>
    </xf>
    <xf numFmtId="0" fontId="11" fillId="3" borderId="42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/>
    </xf>
    <xf numFmtId="6" fontId="11" fillId="2" borderId="8" xfId="1" applyNumberFormat="1" applyFont="1" applyFill="1" applyBorder="1" applyAlignment="1">
      <alignment wrapText="1"/>
    </xf>
    <xf numFmtId="6" fontId="11" fillId="2" borderId="0" xfId="1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6" fontId="29" fillId="2" borderId="3" xfId="0" applyNumberFormat="1" applyFont="1" applyFill="1" applyBorder="1" applyAlignment="1" applyProtection="1"/>
    <xf numFmtId="6" fontId="29" fillId="2" borderId="38" xfId="2" applyNumberFormat="1" applyFont="1" applyFill="1" applyBorder="1" applyAlignment="1" applyProtection="1">
      <alignment horizontal="right"/>
    </xf>
    <xf numFmtId="0" fontId="11" fillId="2" borderId="15" xfId="0" applyFont="1" applyFill="1" applyBorder="1" applyAlignment="1" applyProtection="1">
      <alignment wrapText="1"/>
    </xf>
    <xf numFmtId="169" fontId="11" fillId="2" borderId="39" xfId="2" applyNumberFormat="1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/>
    <xf numFmtId="6" fontId="28" fillId="2" borderId="26" xfId="2" applyNumberFormat="1" applyFont="1" applyFill="1" applyBorder="1" applyAlignment="1" applyProtection="1">
      <alignment horizontal="right" vertical="center" wrapText="1"/>
    </xf>
    <xf numFmtId="6" fontId="28" fillId="2" borderId="38" xfId="2" applyNumberFormat="1" applyFont="1" applyFill="1" applyBorder="1" applyAlignment="1" applyProtection="1">
      <alignment horizontal="right" vertical="center" wrapText="1"/>
    </xf>
    <xf numFmtId="6" fontId="8" fillId="2" borderId="16" xfId="2" applyNumberFormat="1" applyFont="1" applyFill="1" applyBorder="1" applyAlignment="1" applyProtection="1">
      <alignment horizontal="right"/>
    </xf>
    <xf numFmtId="169" fontId="29" fillId="2" borderId="16" xfId="2" applyNumberFormat="1" applyFont="1" applyFill="1" applyBorder="1" applyAlignment="1" applyProtection="1"/>
    <xf numFmtId="6" fontId="29" fillId="2" borderId="16" xfId="0" applyNumberFormat="1" applyFont="1" applyFill="1" applyBorder="1" applyAlignment="1" applyProtection="1"/>
    <xf numFmtId="6" fontId="28" fillId="0" borderId="7" xfId="2" applyNumberFormat="1" applyFont="1" applyFill="1" applyBorder="1" applyAlignment="1">
      <alignment vertical="center"/>
    </xf>
    <xf numFmtId="177" fontId="37" fillId="9" borderId="8" xfId="0" applyNumberFormat="1" applyFont="1" applyFill="1" applyBorder="1" applyAlignment="1" applyProtection="1">
      <alignment vertical="center"/>
    </xf>
    <xf numFmtId="6" fontId="28" fillId="0" borderId="9" xfId="2" applyNumberFormat="1" applyFont="1" applyFill="1" applyBorder="1" applyAlignment="1">
      <alignment vertical="center"/>
    </xf>
    <xf numFmtId="177" fontId="37" fillId="9" borderId="10" xfId="0" applyNumberFormat="1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left" wrapText="1"/>
    </xf>
    <xf numFmtId="6" fontId="11" fillId="2" borderId="16" xfId="1" applyNumberFormat="1" applyFont="1" applyFill="1" applyBorder="1" applyAlignment="1" applyProtection="1">
      <alignment horizontal="right" vertical="top" wrapText="1"/>
    </xf>
    <xf numFmtId="6" fontId="11" fillId="2" borderId="15" xfId="0" applyNumberFormat="1" applyFont="1" applyFill="1" applyBorder="1" applyAlignment="1">
      <alignment horizontal="right"/>
    </xf>
    <xf numFmtId="6" fontId="11" fillId="2" borderId="17" xfId="0" applyNumberFormat="1" applyFont="1" applyFill="1" applyBorder="1" applyAlignment="1">
      <alignment horizontal="right"/>
    </xf>
    <xf numFmtId="168" fontId="27" fillId="2" borderId="29" xfId="1" applyNumberFormat="1" applyFont="1" applyFill="1" applyBorder="1"/>
    <xf numFmtId="168" fontId="18" fillId="2" borderId="30" xfId="1" applyNumberFormat="1" applyFont="1" applyFill="1" applyBorder="1"/>
    <xf numFmtId="178" fontId="29" fillId="2" borderId="65" xfId="0" applyNumberFormat="1" applyFont="1" applyFill="1" applyBorder="1" applyAlignment="1">
      <alignment horizontal="center" wrapText="1"/>
    </xf>
    <xf numFmtId="165" fontId="8" fillId="2" borderId="55" xfId="0" applyNumberFormat="1" applyFont="1" applyFill="1" applyBorder="1" applyAlignment="1">
      <alignment horizont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2" borderId="41" xfId="0" applyNumberFormat="1" applyFont="1" applyFill="1" applyBorder="1" applyAlignment="1">
      <alignment horizontal="center" vertical="center" wrapText="1"/>
    </xf>
    <xf numFmtId="165" fontId="11" fillId="2" borderId="28" xfId="0" applyNumberFormat="1" applyFont="1" applyFill="1" applyBorder="1" applyAlignment="1">
      <alignment horizontal="center" vertical="center" wrapText="1"/>
    </xf>
    <xf numFmtId="165" fontId="11" fillId="2" borderId="38" xfId="0" applyNumberFormat="1" applyFont="1" applyFill="1" applyBorder="1" applyAlignment="1">
      <alignment horizontal="center" vertical="center" wrapText="1"/>
    </xf>
    <xf numFmtId="10" fontId="18" fillId="2" borderId="30" xfId="9" applyNumberFormat="1" applyFont="1" applyFill="1" applyBorder="1"/>
    <xf numFmtId="170" fontId="18" fillId="12" borderId="42" xfId="0" applyNumberFormat="1" applyFont="1" applyFill="1" applyBorder="1"/>
    <xf numFmtId="0" fontId="41" fillId="2" borderId="0" xfId="0" applyFont="1" applyFill="1" applyAlignment="1"/>
    <xf numFmtId="6" fontId="11" fillId="2" borderId="9" xfId="1" applyNumberFormat="1" applyFont="1" applyFill="1" applyBorder="1" applyAlignment="1">
      <alignment horizontal="left" vertical="center" wrapText="1"/>
    </xf>
    <xf numFmtId="6" fontId="11" fillId="2" borderId="10" xfId="1" applyNumberFormat="1" applyFont="1" applyFill="1" applyBorder="1" applyAlignment="1">
      <alignment horizontal="left" vertical="center" wrapText="1"/>
    </xf>
    <xf numFmtId="6" fontId="11" fillId="2" borderId="7" xfId="1" applyNumberFormat="1" applyFont="1" applyFill="1" applyBorder="1" applyAlignment="1">
      <alignment horizontal="left" vertical="center" wrapText="1"/>
    </xf>
    <xf numFmtId="6" fontId="11" fillId="2" borderId="8" xfId="1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6" fontId="26" fillId="2" borderId="15" xfId="2" applyNumberFormat="1" applyFont="1" applyFill="1" applyBorder="1" applyAlignment="1" applyProtection="1">
      <alignment horizontal="center" vertical="center"/>
    </xf>
    <xf numFmtId="6" fontId="26" fillId="2" borderId="16" xfId="2" applyNumberFormat="1" applyFont="1" applyFill="1" applyBorder="1" applyAlignment="1" applyProtection="1">
      <alignment horizontal="center" vertical="center"/>
    </xf>
    <xf numFmtId="6" fontId="26" fillId="2" borderId="17" xfId="2" applyNumberFormat="1" applyFont="1" applyFill="1" applyBorder="1" applyAlignment="1" applyProtection="1">
      <alignment horizontal="center" vertical="center"/>
    </xf>
    <xf numFmtId="0" fontId="20" fillId="2" borderId="29" xfId="0" applyNumberFormat="1" applyFont="1" applyFill="1" applyBorder="1" applyAlignment="1" applyProtection="1">
      <alignment horizontal="center" vertical="center" wrapText="1"/>
    </xf>
    <xf numFmtId="0" fontId="20" fillId="2" borderId="37" xfId="0" applyNumberFormat="1" applyFont="1" applyFill="1" applyBorder="1" applyAlignment="1" applyProtection="1">
      <alignment horizontal="center" vertical="center" wrapText="1"/>
    </xf>
    <xf numFmtId="0" fontId="6" fillId="2" borderId="46" xfId="2" applyNumberFormat="1" applyFont="1" applyFill="1" applyBorder="1" applyAlignment="1" applyProtection="1">
      <alignment horizontal="center" wrapText="1"/>
    </xf>
    <xf numFmtId="0" fontId="6" fillId="2" borderId="47" xfId="2" applyNumberFormat="1" applyFont="1" applyFill="1" applyBorder="1" applyAlignment="1" applyProtection="1">
      <alignment horizontal="center" wrapText="1"/>
    </xf>
    <xf numFmtId="0" fontId="6" fillId="2" borderId="48" xfId="2" applyNumberFormat="1" applyFont="1" applyFill="1" applyBorder="1" applyAlignment="1" applyProtection="1">
      <alignment horizont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left" vertical="center"/>
    </xf>
    <xf numFmtId="165" fontId="11" fillId="2" borderId="49" xfId="0" applyNumberFormat="1" applyFont="1" applyFill="1" applyBorder="1" applyAlignment="1">
      <alignment horizontal="center"/>
    </xf>
    <xf numFmtId="165" fontId="16" fillId="2" borderId="52" xfId="0" applyNumberFormat="1" applyFont="1" applyFill="1" applyBorder="1" applyAlignment="1">
      <alignment horizontal="center"/>
    </xf>
    <xf numFmtId="0" fontId="33" fillId="2" borderId="0" xfId="0" applyNumberFormat="1" applyFont="1" applyFill="1" applyBorder="1" applyAlignment="1">
      <alignment horizontal="left"/>
    </xf>
    <xf numFmtId="0" fontId="11" fillId="10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6" fontId="4" fillId="2" borderId="0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 wrapText="1"/>
    </xf>
    <xf numFmtId="0" fontId="1" fillId="13" borderId="8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 wrapText="1"/>
    </xf>
    <xf numFmtId="0" fontId="1" fillId="13" borderId="25" xfId="0" applyFont="1" applyFill="1" applyBorder="1" applyAlignment="1">
      <alignment horizontal="center" wrapText="1"/>
    </xf>
    <xf numFmtId="0" fontId="1" fillId="13" borderId="20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23" fillId="2" borderId="0" xfId="14" applyFont="1" applyFill="1" applyBorder="1" applyAlignment="1">
      <alignment horizontal="left" vertical="justify"/>
    </xf>
    <xf numFmtId="0" fontId="5" fillId="2" borderId="0" xfId="0" applyFont="1" applyFill="1" applyBorder="1" applyAlignment="1">
      <alignment horizontal="left" vertical="top" wrapText="1"/>
    </xf>
  </cellXfs>
  <cellStyles count="16">
    <cellStyle name="Comma" xfId="1" builtinId="3"/>
    <cellStyle name="Comma 2" xfId="12"/>
    <cellStyle name="Comma_Changes" xfId="2"/>
    <cellStyle name="Comma0" xfId="3"/>
    <cellStyle name="Currency" xfId="15" builtinId="4"/>
    <cellStyle name="Currency 2" xfId="1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14"/>
    <cellStyle name="Percent" xfId="9" builtinId="5"/>
    <cellStyle name="Percent 2" xfId="11"/>
    <cellStyle name="Total" xfId="10" builtinId="25" customBuiltin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/>
        <xdr:cNvGrpSpPr>
          <a:grpSpLocks/>
        </xdr:cNvGrpSpPr>
      </xdr:nvGrpSpPr>
      <xdr:grpSpPr bwMode="auto">
        <a:xfrm>
          <a:off x="104775" y="390525"/>
          <a:ext cx="2379345" cy="384810"/>
          <a:chOff x="11" y="147"/>
          <a:chExt cx="521" cy="83"/>
        </a:xfrm>
      </xdr:grpSpPr>
      <xdr:sp macro="" textlink="">
        <xdr:nvSpPr>
          <xdr:cNvPr id="35848" name="AutoShape 14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/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/>
        <xdr:cNvGrpSpPr>
          <a:grpSpLocks/>
        </xdr:cNvGrpSpPr>
      </xdr:nvGrpSpPr>
      <xdr:grpSpPr bwMode="auto">
        <a:xfrm>
          <a:off x="38100" y="381000"/>
          <a:ext cx="5671185" cy="535305"/>
          <a:chOff x="11" y="147"/>
          <a:chExt cx="521" cy="83"/>
        </a:xfrm>
      </xdr:grpSpPr>
      <xdr:sp macro="" textlink="">
        <xdr:nvSpPr>
          <xdr:cNvPr id="24585" name="AutoShape 12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/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/>
        <xdr:cNvGrpSpPr>
          <a:grpSpLocks/>
        </xdr:cNvGrpSpPr>
      </xdr:nvGrpSpPr>
      <xdr:grpSpPr bwMode="auto">
        <a:xfrm>
          <a:off x="66675" y="381000"/>
          <a:ext cx="6677025" cy="533400"/>
          <a:chOff x="11" y="147"/>
          <a:chExt cx="521" cy="83"/>
        </a:xfrm>
      </xdr:grpSpPr>
      <xdr:sp macro="" textlink="">
        <xdr:nvSpPr>
          <xdr:cNvPr id="26630" name="AutoShape 9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/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indexed="42"/>
  </sheetPr>
  <dimension ref="A1:J76"/>
  <sheetViews>
    <sheetView tabSelected="1" view="pageLayout" zoomScaleNormal="100" workbookViewId="0">
      <selection activeCell="D1" sqref="D1"/>
    </sheetView>
  </sheetViews>
  <sheetFormatPr defaultColWidth="9.109375" defaultRowHeight="10.199999999999999"/>
  <cols>
    <col min="1" max="1" width="2.6640625" style="6" customWidth="1"/>
    <col min="2" max="2" width="45.6640625" style="7" bestFit="1" customWidth="1"/>
    <col min="3" max="3" width="3" style="7" customWidth="1"/>
    <col min="4" max="4" width="19.44140625" style="8" customWidth="1"/>
    <col min="5" max="5" width="23.6640625" style="8" customWidth="1"/>
    <col min="6" max="6" width="21.88671875" style="8" bestFit="1" customWidth="1"/>
    <col min="7" max="7" width="29.6640625" style="8" bestFit="1" customWidth="1"/>
    <col min="8" max="8" width="10.6640625" style="9" bestFit="1" customWidth="1"/>
    <col min="9" max="9" width="9.109375" style="1"/>
    <col min="10" max="10" width="9.109375" style="191"/>
    <col min="11" max="16384" width="9.109375" style="6"/>
  </cols>
  <sheetData>
    <row r="1" spans="1:10" s="1" customFormat="1" ht="20.399999999999999">
      <c r="B1" s="10" t="str">
        <f>"Functionalized Accounts"</f>
        <v>Functionalized Accounts</v>
      </c>
      <c r="C1" s="409" t="s">
        <v>183</v>
      </c>
      <c r="D1" s="409"/>
      <c r="E1" s="409"/>
      <c r="F1" s="409"/>
      <c r="G1" s="409"/>
      <c r="J1" s="190"/>
    </row>
    <row r="2" spans="1:10" s="1" customFormat="1">
      <c r="A2" s="2"/>
      <c r="B2" s="2"/>
      <c r="C2" s="2"/>
      <c r="D2" s="2"/>
      <c r="E2" s="2"/>
      <c r="F2" s="2"/>
      <c r="G2" s="184"/>
      <c r="J2" s="190"/>
    </row>
    <row r="3" spans="1:10">
      <c r="D3" s="7"/>
      <c r="E3" s="7"/>
      <c r="F3" s="7"/>
      <c r="G3" s="6"/>
      <c r="H3" s="6"/>
      <c r="I3" s="6"/>
      <c r="J3" s="6"/>
    </row>
    <row r="4" spans="1:10" s="15" customFormat="1" ht="13.2" customHeight="1">
      <c r="A4" s="12"/>
      <c r="B4" s="74"/>
      <c r="C4" s="344"/>
      <c r="D4" s="412" t="s">
        <v>167</v>
      </c>
      <c r="E4" s="413"/>
      <c r="F4" s="346">
        <f>F59</f>
        <v>184890932.87757918</v>
      </c>
      <c r="G4" s="347"/>
    </row>
    <row r="5" spans="1:10" s="15" customFormat="1" ht="13.8" thickBot="1">
      <c r="A5" s="16"/>
      <c r="B5" s="344"/>
      <c r="C5" s="344"/>
      <c r="D5" s="410" t="s">
        <v>168</v>
      </c>
      <c r="E5" s="411"/>
      <c r="F5" s="348">
        <f>F75</f>
        <v>85918000</v>
      </c>
      <c r="G5" s="347"/>
      <c r="H5" s="347"/>
    </row>
    <row r="6" spans="1:10" s="15" customFormat="1" ht="13.2">
      <c r="A6" s="16"/>
      <c r="B6" s="344"/>
      <c r="C6" s="344"/>
      <c r="D6" s="349"/>
      <c r="E6" s="349"/>
      <c r="F6" s="350"/>
      <c r="G6" s="102"/>
      <c r="H6" s="345"/>
      <c r="I6" s="345"/>
    </row>
    <row r="7" spans="1:10" s="15" customFormat="1" ht="16.2" customHeight="1">
      <c r="A7" s="16"/>
      <c r="B7" s="379" t="s">
        <v>170</v>
      </c>
      <c r="C7" s="344"/>
      <c r="D7" s="349"/>
      <c r="E7" s="349"/>
      <c r="F7" s="350"/>
      <c r="G7" s="102"/>
      <c r="H7" s="345"/>
      <c r="I7" s="345"/>
    </row>
    <row r="8" spans="1:10" s="17" customFormat="1" ht="26.4">
      <c r="A8" s="16"/>
      <c r="B8" s="21" t="s">
        <v>0</v>
      </c>
      <c r="C8" s="18"/>
      <c r="D8" s="19" t="s">
        <v>4</v>
      </c>
      <c r="E8" s="20" t="s">
        <v>19</v>
      </c>
      <c r="F8" s="20" t="s">
        <v>20</v>
      </c>
      <c r="G8" s="20" t="s">
        <v>153</v>
      </c>
      <c r="H8" s="351"/>
      <c r="I8" s="351"/>
    </row>
    <row r="9" spans="1:10" s="67" customFormat="1" ht="13.2">
      <c r="A9" s="16"/>
      <c r="B9" s="197" t="s">
        <v>57</v>
      </c>
      <c r="C9" s="352"/>
      <c r="D9" s="353">
        <v>1440412.3852000204</v>
      </c>
      <c r="E9" s="353"/>
      <c r="F9" s="354">
        <f t="shared" ref="F9:F73" si="0">+D9+E9</f>
        <v>1440412.3852000204</v>
      </c>
      <c r="G9" s="310" t="str">
        <f>'TB Allocation Details'!C6</f>
        <v>O&amp;M</v>
      </c>
      <c r="H9" s="355"/>
      <c r="I9" s="356"/>
    </row>
    <row r="10" spans="1:10" s="67" customFormat="1" ht="13.2">
      <c r="A10" s="16"/>
      <c r="B10" s="197" t="s">
        <v>58</v>
      </c>
      <c r="C10" s="352"/>
      <c r="D10" s="353">
        <v>3898639.9999999995</v>
      </c>
      <c r="E10" s="353"/>
      <c r="F10" s="354">
        <f t="shared" si="0"/>
        <v>3898639.9999999995</v>
      </c>
      <c r="G10" s="310" t="str">
        <f>'TB Allocation Details'!C7</f>
        <v>HALF</v>
      </c>
      <c r="H10" s="355"/>
      <c r="I10" s="356"/>
    </row>
    <row r="11" spans="1:10" s="67" customFormat="1" ht="13.2">
      <c r="A11" s="16"/>
      <c r="B11" s="197" t="s">
        <v>59</v>
      </c>
      <c r="C11" s="352"/>
      <c r="D11" s="353">
        <v>1434104.0316998712</v>
      </c>
      <c r="E11" s="353"/>
      <c r="F11" s="354">
        <f t="shared" si="0"/>
        <v>1434104.0316998712</v>
      </c>
      <c r="G11" s="310" t="str">
        <f>'TB Allocation Details'!C8</f>
        <v>O&amp;M</v>
      </c>
      <c r="H11" s="355"/>
      <c r="I11" s="356"/>
    </row>
    <row r="12" spans="1:10" s="67" customFormat="1" ht="13.2">
      <c r="A12" s="16"/>
      <c r="B12" s="197" t="s">
        <v>159</v>
      </c>
      <c r="C12" s="352"/>
      <c r="D12" s="353">
        <v>1407934.602453477</v>
      </c>
      <c r="E12" s="353"/>
      <c r="F12" s="354">
        <f t="shared" si="0"/>
        <v>1407934.602453477</v>
      </c>
      <c r="G12" s="310" t="str">
        <f>'TB Allocation Details'!C9</f>
        <v>MSO</v>
      </c>
      <c r="H12" s="355"/>
      <c r="I12" s="356"/>
    </row>
    <row r="13" spans="1:10" s="67" customFormat="1" ht="13.2">
      <c r="A13" s="16"/>
      <c r="B13" s="197" t="s">
        <v>165</v>
      </c>
      <c r="C13" s="352"/>
      <c r="D13" s="353">
        <v>6198802.96355558</v>
      </c>
      <c r="E13" s="353"/>
      <c r="F13" s="354">
        <f t="shared" ref="F13:F19" si="1">+D13+E13</f>
        <v>6198802.96355558</v>
      </c>
      <c r="G13" s="310" t="str">
        <f>'TB Allocation Details'!C10</f>
        <v>TWh</v>
      </c>
      <c r="H13" s="355"/>
      <c r="I13" s="356"/>
    </row>
    <row r="14" spans="1:10" s="67" customFormat="1" ht="26.4">
      <c r="A14" s="16"/>
      <c r="B14" s="197" t="s">
        <v>164</v>
      </c>
      <c r="C14" s="352"/>
      <c r="D14" s="353">
        <v>3634163.3588411813</v>
      </c>
      <c r="E14" s="353"/>
      <c r="F14" s="354">
        <f t="shared" si="1"/>
        <v>3634163.3588411813</v>
      </c>
      <c r="G14" s="310" t="str">
        <f>'TB Allocation Details'!C11</f>
        <v>TWh</v>
      </c>
      <c r="H14" s="355"/>
      <c r="I14" s="356"/>
    </row>
    <row r="15" spans="1:10" s="67" customFormat="1" ht="26.4">
      <c r="A15" s="16"/>
      <c r="B15" s="197" t="s">
        <v>160</v>
      </c>
      <c r="C15" s="352"/>
      <c r="D15" s="353">
        <v>4987699.8668681663</v>
      </c>
      <c r="E15" s="353"/>
      <c r="F15" s="354">
        <f t="shared" si="1"/>
        <v>4987699.8668681663</v>
      </c>
      <c r="G15" s="310" t="str">
        <f>'TB Allocation Details'!C12</f>
        <v>TWh</v>
      </c>
      <c r="H15" s="355"/>
      <c r="I15" s="356"/>
    </row>
    <row r="16" spans="1:10" s="67" customFormat="1" ht="26.4">
      <c r="A16" s="16"/>
      <c r="B16" s="197" t="s">
        <v>162</v>
      </c>
      <c r="C16" s="352"/>
      <c r="D16" s="353">
        <v>3634963.924583504</v>
      </c>
      <c r="E16" s="353"/>
      <c r="F16" s="354">
        <f t="shared" si="1"/>
        <v>3634963.924583504</v>
      </c>
      <c r="G16" s="310" t="str">
        <f>'TB Allocation Details'!C13</f>
        <v>TWh</v>
      </c>
      <c r="H16" s="355"/>
      <c r="I16" s="356"/>
    </row>
    <row r="17" spans="1:9" s="67" customFormat="1" ht="13.2">
      <c r="A17" s="16"/>
      <c r="B17" s="197" t="s">
        <v>166</v>
      </c>
      <c r="C17" s="352"/>
      <c r="D17" s="353">
        <v>11891778.805312574</v>
      </c>
      <c r="E17" s="353"/>
      <c r="F17" s="354">
        <f t="shared" si="1"/>
        <v>11891778.805312574</v>
      </c>
      <c r="G17" s="310" t="str">
        <f>'TB Allocation Details'!C14</f>
        <v>TWh</v>
      </c>
      <c r="H17" s="355"/>
      <c r="I17" s="356"/>
    </row>
    <row r="18" spans="1:9" s="67" customFormat="1" ht="26.4">
      <c r="A18" s="16"/>
      <c r="B18" s="197" t="s">
        <v>161</v>
      </c>
      <c r="C18" s="352"/>
      <c r="D18" s="353">
        <v>2602329.5853714114</v>
      </c>
      <c r="E18" s="353"/>
      <c r="F18" s="354">
        <f t="shared" si="1"/>
        <v>2602329.5853714114</v>
      </c>
      <c r="G18" s="310" t="str">
        <f>'TB Allocation Details'!C15</f>
        <v>TWh</v>
      </c>
      <c r="H18" s="355"/>
      <c r="I18" s="356"/>
    </row>
    <row r="19" spans="1:9" s="67" customFormat="1" ht="26.4">
      <c r="A19" s="16"/>
      <c r="B19" s="197" t="s">
        <v>163</v>
      </c>
      <c r="C19" s="352"/>
      <c r="D19" s="353">
        <v>910270.4806976543</v>
      </c>
      <c r="E19" s="353"/>
      <c r="F19" s="354">
        <f t="shared" si="1"/>
        <v>910270.4806976543</v>
      </c>
      <c r="G19" s="310" t="str">
        <f>'TB Allocation Details'!C16</f>
        <v>TWh</v>
      </c>
      <c r="H19" s="355"/>
      <c r="I19" s="356"/>
    </row>
    <row r="20" spans="1:9" s="67" customFormat="1" ht="13.2">
      <c r="A20" s="16"/>
      <c r="B20" s="197" t="s">
        <v>61</v>
      </c>
      <c r="C20" s="352"/>
      <c r="D20" s="353">
        <v>1228410</v>
      </c>
      <c r="E20" s="353"/>
      <c r="F20" s="354">
        <f t="shared" si="0"/>
        <v>1228410</v>
      </c>
      <c r="G20" s="310" t="str">
        <f>'TB Allocation Details'!C17</f>
        <v>MRD</v>
      </c>
      <c r="H20" s="355"/>
      <c r="I20" s="356"/>
    </row>
    <row r="21" spans="1:9" s="67" customFormat="1" ht="26.4">
      <c r="A21" s="16"/>
      <c r="B21" s="197" t="s">
        <v>62</v>
      </c>
      <c r="C21" s="352"/>
      <c r="D21" s="353">
        <v>7245981</v>
      </c>
      <c r="E21" s="353"/>
      <c r="F21" s="354">
        <f t="shared" si="0"/>
        <v>7245981</v>
      </c>
      <c r="G21" s="310" t="str">
        <f>'TB Allocation Details'!C18</f>
        <v>DOM</v>
      </c>
      <c r="H21" s="355"/>
      <c r="I21" s="356"/>
    </row>
    <row r="22" spans="1:9" s="67" customFormat="1" ht="26.4">
      <c r="A22" s="16"/>
      <c r="B22" s="197" t="s">
        <v>63</v>
      </c>
      <c r="C22" s="352"/>
      <c r="D22" s="353">
        <v>2661529</v>
      </c>
      <c r="E22" s="353"/>
      <c r="F22" s="354">
        <f t="shared" si="0"/>
        <v>2661529</v>
      </c>
      <c r="G22" s="310" t="str">
        <f>'TB Allocation Details'!C19</f>
        <v>DOM</v>
      </c>
      <c r="H22" s="355"/>
      <c r="I22" s="356"/>
    </row>
    <row r="23" spans="1:9" s="67" customFormat="1" ht="26.4">
      <c r="A23" s="16"/>
      <c r="B23" s="197" t="s">
        <v>64</v>
      </c>
      <c r="C23" s="352"/>
      <c r="D23" s="353">
        <v>1224621.9999999998</v>
      </c>
      <c r="E23" s="353"/>
      <c r="F23" s="354">
        <f t="shared" si="0"/>
        <v>1224621.9999999998</v>
      </c>
      <c r="G23" s="310" t="str">
        <f>'TB Allocation Details'!C20</f>
        <v>DOM</v>
      </c>
      <c r="H23" s="355"/>
      <c r="I23" s="356"/>
    </row>
    <row r="24" spans="1:9" s="67" customFormat="1" ht="26.4">
      <c r="A24" s="16"/>
      <c r="B24" s="197" t="s">
        <v>65</v>
      </c>
      <c r="C24" s="352"/>
      <c r="D24" s="353">
        <v>1455034.9999999998</v>
      </c>
      <c r="E24" s="353"/>
      <c r="F24" s="354">
        <f t="shared" si="0"/>
        <v>1455034.9999999998</v>
      </c>
      <c r="G24" s="310" t="str">
        <f>'TB Allocation Details'!C21</f>
        <v>DOM</v>
      </c>
      <c r="H24" s="355"/>
      <c r="I24" s="356"/>
    </row>
    <row r="25" spans="1:9" s="67" customFormat="1" ht="13.2">
      <c r="A25" s="16"/>
      <c r="B25" s="197" t="s">
        <v>66</v>
      </c>
      <c r="C25" s="352"/>
      <c r="D25" s="353">
        <v>5499521</v>
      </c>
      <c r="E25" s="353"/>
      <c r="F25" s="354">
        <f t="shared" si="0"/>
        <v>5499521</v>
      </c>
      <c r="G25" s="310" t="str">
        <f>'TB Allocation Details'!C22</f>
        <v>TWh</v>
      </c>
      <c r="H25" s="355"/>
      <c r="I25" s="356"/>
    </row>
    <row r="26" spans="1:9" s="67" customFormat="1" ht="13.2">
      <c r="A26" s="16"/>
      <c r="B26" s="197" t="s">
        <v>180</v>
      </c>
      <c r="C26" s="352"/>
      <c r="D26" s="353">
        <v>764142.34188076179</v>
      </c>
      <c r="E26" s="353"/>
      <c r="F26" s="354">
        <f t="shared" si="0"/>
        <v>764142.34188076179</v>
      </c>
      <c r="G26" s="310" t="str">
        <f>'TB Allocation Details'!C23</f>
        <v>CCR</v>
      </c>
      <c r="H26" s="355"/>
      <c r="I26" s="356"/>
    </row>
    <row r="27" spans="1:9" s="67" customFormat="1" ht="26.4">
      <c r="A27" s="16"/>
      <c r="B27" s="197" t="s">
        <v>67</v>
      </c>
      <c r="C27" s="352"/>
      <c r="D27" s="353">
        <v>4091444.9756630883</v>
      </c>
      <c r="E27" s="353"/>
      <c r="F27" s="354">
        <f t="shared" si="0"/>
        <v>4091444.9756630883</v>
      </c>
      <c r="G27" s="310" t="str">
        <f>'TB Allocation Details'!C24</f>
        <v>DOM</v>
      </c>
      <c r="H27" s="355"/>
      <c r="I27" s="356"/>
    </row>
    <row r="28" spans="1:9" s="67" customFormat="1" ht="26.4">
      <c r="A28" s="16"/>
      <c r="B28" s="197" t="s">
        <v>68</v>
      </c>
      <c r="C28" s="352"/>
      <c r="D28" s="353">
        <v>2389846.7074152329</v>
      </c>
      <c r="E28" s="353"/>
      <c r="F28" s="354">
        <f t="shared" si="0"/>
        <v>2389846.7074152329</v>
      </c>
      <c r="G28" s="310" t="str">
        <f>'TB Allocation Details'!C25</f>
        <v>DOM</v>
      </c>
      <c r="H28" s="355"/>
      <c r="I28" s="356"/>
    </row>
    <row r="29" spans="1:9" s="67" customFormat="1" ht="26.4">
      <c r="A29" s="16"/>
      <c r="B29" s="197" t="s">
        <v>69</v>
      </c>
      <c r="C29" s="352"/>
      <c r="D29" s="353">
        <v>3218911.0738582825</v>
      </c>
      <c r="E29" s="353"/>
      <c r="F29" s="354">
        <f t="shared" si="0"/>
        <v>3218911.0738582825</v>
      </c>
      <c r="G29" s="310" t="str">
        <f>'TB Allocation Details'!C26</f>
        <v>TWh</v>
      </c>
      <c r="H29" s="355"/>
      <c r="I29" s="356"/>
    </row>
    <row r="30" spans="1:9" s="67" customFormat="1" ht="26.4">
      <c r="A30" s="16"/>
      <c r="B30" s="197" t="s">
        <v>70</v>
      </c>
      <c r="C30" s="352"/>
      <c r="D30" s="353">
        <v>2058304.3191757097</v>
      </c>
      <c r="E30" s="353"/>
      <c r="F30" s="354">
        <f t="shared" si="0"/>
        <v>2058304.3191757097</v>
      </c>
      <c r="G30" s="310" t="str">
        <f>'TB Allocation Details'!C27</f>
        <v>DOM</v>
      </c>
      <c r="H30" s="355"/>
      <c r="I30" s="356"/>
    </row>
    <row r="31" spans="1:9" s="67" customFormat="1" ht="26.4">
      <c r="A31" s="16"/>
      <c r="B31" s="197" t="s">
        <v>71</v>
      </c>
      <c r="C31" s="352"/>
      <c r="D31" s="353">
        <v>4520580.5476868805</v>
      </c>
      <c r="E31" s="353"/>
      <c r="F31" s="354">
        <f t="shared" si="0"/>
        <v>4520580.5476868805</v>
      </c>
      <c r="G31" s="310" t="str">
        <f>'TB Allocation Details'!C28</f>
        <v>TWh</v>
      </c>
      <c r="H31" s="355"/>
      <c r="I31" s="356"/>
    </row>
    <row r="32" spans="1:9" s="67" customFormat="1" ht="13.2">
      <c r="A32" s="16"/>
      <c r="B32" s="197" t="s">
        <v>72</v>
      </c>
      <c r="C32" s="352"/>
      <c r="D32" s="353">
        <v>528424.32374333299</v>
      </c>
      <c r="E32" s="353"/>
      <c r="F32" s="354">
        <f t="shared" si="0"/>
        <v>528424.32374333299</v>
      </c>
      <c r="G32" s="310" t="str">
        <f>'TB Allocation Details'!C29</f>
        <v>TWh</v>
      </c>
      <c r="H32" s="355"/>
      <c r="I32" s="356"/>
    </row>
    <row r="33" spans="1:9" s="67" customFormat="1" ht="13.2">
      <c r="A33" s="16"/>
      <c r="B33" s="197" t="s">
        <v>73</v>
      </c>
      <c r="C33" s="352"/>
      <c r="D33" s="353">
        <v>1033559</v>
      </c>
      <c r="E33" s="353"/>
      <c r="F33" s="354">
        <f t="shared" si="0"/>
        <v>1033559</v>
      </c>
      <c r="G33" s="310" t="str">
        <f>'TB Allocation Details'!C30</f>
        <v>ITS</v>
      </c>
      <c r="H33" s="355"/>
      <c r="I33" s="356"/>
    </row>
    <row r="34" spans="1:9" s="67" customFormat="1" ht="26.4">
      <c r="A34" s="16"/>
      <c r="B34" s="197" t="s">
        <v>74</v>
      </c>
      <c r="C34" s="352"/>
      <c r="D34" s="353">
        <v>3638288</v>
      </c>
      <c r="E34" s="353"/>
      <c r="F34" s="354">
        <f t="shared" si="0"/>
        <v>3638288</v>
      </c>
      <c r="G34" s="310" t="str">
        <f>'TB Allocation Details'!C31</f>
        <v>O&amp;M</v>
      </c>
      <c r="H34" s="355"/>
      <c r="I34" s="356"/>
    </row>
    <row r="35" spans="1:9" s="67" customFormat="1" ht="26.4">
      <c r="A35" s="16"/>
      <c r="B35" s="197" t="s">
        <v>75</v>
      </c>
      <c r="C35" s="352"/>
      <c r="D35" s="353">
        <v>11622249</v>
      </c>
      <c r="E35" s="353"/>
      <c r="F35" s="354">
        <f t="shared" si="0"/>
        <v>11622249</v>
      </c>
      <c r="G35" s="310" t="str">
        <f>'TB Allocation Details'!C32</f>
        <v>O&amp;M</v>
      </c>
      <c r="H35" s="355"/>
      <c r="I35" s="356"/>
    </row>
    <row r="36" spans="1:9" s="67" customFormat="1" ht="26.4">
      <c r="A36" s="16"/>
      <c r="B36" s="197" t="s">
        <v>76</v>
      </c>
      <c r="C36" s="352"/>
      <c r="D36" s="353">
        <v>15875082</v>
      </c>
      <c r="E36" s="353"/>
      <c r="F36" s="354">
        <f t="shared" si="0"/>
        <v>15875082</v>
      </c>
      <c r="G36" s="310" t="str">
        <f>'TB Allocation Details'!C33</f>
        <v>O&amp;M</v>
      </c>
      <c r="H36" s="355"/>
      <c r="I36" s="356"/>
    </row>
    <row r="37" spans="1:9" s="67" customFormat="1" ht="26.4">
      <c r="A37" s="16"/>
      <c r="B37" s="197" t="s">
        <v>77</v>
      </c>
      <c r="C37" s="352"/>
      <c r="D37" s="353">
        <v>563825</v>
      </c>
      <c r="E37" s="353"/>
      <c r="F37" s="354">
        <f t="shared" si="0"/>
        <v>563825</v>
      </c>
      <c r="G37" s="310" t="str">
        <f>'TB Allocation Details'!C34</f>
        <v>O&amp;M</v>
      </c>
      <c r="H37" s="355"/>
      <c r="I37" s="356"/>
    </row>
    <row r="38" spans="1:9" s="67" customFormat="1" ht="13.2">
      <c r="A38" s="16"/>
      <c r="B38" s="197" t="s">
        <v>78</v>
      </c>
      <c r="C38" s="352"/>
      <c r="D38" s="353">
        <v>2346315</v>
      </c>
      <c r="E38" s="353"/>
      <c r="F38" s="354">
        <f t="shared" si="0"/>
        <v>2346315</v>
      </c>
      <c r="G38" s="310" t="str">
        <f>'TB Allocation Details'!C35</f>
        <v>O&amp;M</v>
      </c>
      <c r="H38" s="355"/>
      <c r="I38" s="356"/>
    </row>
    <row r="39" spans="1:9" s="67" customFormat="1" ht="13.2">
      <c r="A39" s="16"/>
      <c r="B39" s="197" t="s">
        <v>79</v>
      </c>
      <c r="C39" s="352"/>
      <c r="D39" s="353">
        <v>9170740</v>
      </c>
      <c r="E39" s="357"/>
      <c r="F39" s="354">
        <f t="shared" si="0"/>
        <v>9170740</v>
      </c>
      <c r="G39" s="310" t="str">
        <f>'TB Allocation Details'!C36</f>
        <v>O&amp;M</v>
      </c>
      <c r="H39" s="355"/>
      <c r="I39" s="356"/>
    </row>
    <row r="40" spans="1:9" s="67" customFormat="1" ht="26.4">
      <c r="A40" s="16"/>
      <c r="B40" s="197" t="s">
        <v>158</v>
      </c>
      <c r="C40" s="352"/>
      <c r="D40" s="353"/>
      <c r="E40" s="357"/>
      <c r="F40" s="354">
        <f t="shared" si="0"/>
        <v>0</v>
      </c>
      <c r="G40" s="310" t="str">
        <f>'TB Allocation Details'!C37</f>
        <v>TWh</v>
      </c>
      <c r="H40" s="355"/>
      <c r="I40" s="356"/>
    </row>
    <row r="41" spans="1:9" s="67" customFormat="1" ht="13.2">
      <c r="A41" s="16"/>
      <c r="B41" s="197" t="s">
        <v>80</v>
      </c>
      <c r="C41" s="352"/>
      <c r="D41" s="353">
        <v>1318290</v>
      </c>
      <c r="E41" s="353"/>
      <c r="F41" s="354">
        <f t="shared" si="0"/>
        <v>1318290</v>
      </c>
      <c r="G41" s="310" t="str">
        <f>'TB Allocation Details'!C38</f>
        <v>PLAR</v>
      </c>
      <c r="H41" s="355"/>
      <c r="I41" s="356"/>
    </row>
    <row r="42" spans="1:9" s="67" customFormat="1" ht="26.4">
      <c r="A42" s="16"/>
      <c r="B42" s="197" t="s">
        <v>81</v>
      </c>
      <c r="C42" s="352"/>
      <c r="D42" s="353">
        <v>4194831</v>
      </c>
      <c r="E42" s="353"/>
      <c r="F42" s="354">
        <f t="shared" si="0"/>
        <v>4194831</v>
      </c>
      <c r="G42" s="310" t="str">
        <f>'TB Allocation Details'!C39</f>
        <v>TWh</v>
      </c>
      <c r="H42" s="355"/>
      <c r="I42" s="356"/>
    </row>
    <row r="43" spans="1:9" s="67" customFormat="1" ht="26.4">
      <c r="A43" s="16"/>
      <c r="B43" s="197" t="s">
        <v>82</v>
      </c>
      <c r="C43" s="352"/>
      <c r="D43" s="353">
        <v>3267801.9999999995</v>
      </c>
      <c r="E43" s="353"/>
      <c r="F43" s="354">
        <f t="shared" si="0"/>
        <v>3267801.9999999995</v>
      </c>
      <c r="G43" s="310" t="str">
        <f>'TB Allocation Details'!C40</f>
        <v>TWh</v>
      </c>
      <c r="H43" s="355"/>
      <c r="I43" s="356"/>
    </row>
    <row r="44" spans="1:9" s="67" customFormat="1" ht="13.2">
      <c r="A44" s="16"/>
      <c r="B44" s="197" t="s">
        <v>83</v>
      </c>
      <c r="C44" s="352"/>
      <c r="D44" s="353">
        <v>715210</v>
      </c>
      <c r="E44" s="357"/>
      <c r="F44" s="354">
        <f t="shared" si="0"/>
        <v>715210</v>
      </c>
      <c r="G44" s="310" t="str">
        <f>'TB Allocation Details'!C41</f>
        <v>TWh</v>
      </c>
      <c r="H44" s="355"/>
      <c r="I44" s="356"/>
    </row>
    <row r="45" spans="1:9" s="67" customFormat="1" ht="26.4">
      <c r="A45" s="16"/>
      <c r="B45" s="197" t="s">
        <v>84</v>
      </c>
      <c r="C45" s="352"/>
      <c r="D45" s="353">
        <v>807900</v>
      </c>
      <c r="E45" s="353"/>
      <c r="F45" s="354">
        <f t="shared" si="0"/>
        <v>807900</v>
      </c>
      <c r="G45" s="310" t="str">
        <f>'TB Allocation Details'!C42</f>
        <v>DOM</v>
      </c>
      <c r="H45" s="355"/>
      <c r="I45" s="356"/>
    </row>
    <row r="46" spans="1:9" s="67" customFormat="1" ht="26.4">
      <c r="A46" s="16"/>
      <c r="B46" s="197" t="s">
        <v>85</v>
      </c>
      <c r="C46" s="352"/>
      <c r="D46" s="353">
        <v>2025408</v>
      </c>
      <c r="E46" s="353"/>
      <c r="F46" s="354">
        <f t="shared" si="0"/>
        <v>2025408</v>
      </c>
      <c r="G46" s="310" t="str">
        <f>'TB Allocation Details'!C43</f>
        <v>DOM</v>
      </c>
      <c r="H46" s="355"/>
      <c r="I46" s="356"/>
    </row>
    <row r="47" spans="1:9" s="67" customFormat="1" ht="26.4">
      <c r="A47" s="16"/>
      <c r="B47" s="197" t="s">
        <v>86</v>
      </c>
      <c r="C47" s="352"/>
      <c r="D47" s="353">
        <v>2360010</v>
      </c>
      <c r="E47" s="353"/>
      <c r="F47" s="354">
        <f t="shared" si="0"/>
        <v>2360010</v>
      </c>
      <c r="G47" s="310" t="str">
        <f>'TB Allocation Details'!C44</f>
        <v>DOM</v>
      </c>
      <c r="H47" s="355"/>
      <c r="I47" s="356"/>
    </row>
    <row r="48" spans="1:9" s="67" customFormat="1" ht="26.4">
      <c r="A48" s="16"/>
      <c r="B48" s="197" t="s">
        <v>87</v>
      </c>
      <c r="C48" s="352"/>
      <c r="D48" s="353">
        <v>347768</v>
      </c>
      <c r="E48" s="353"/>
      <c r="F48" s="354">
        <f t="shared" si="0"/>
        <v>347768</v>
      </c>
      <c r="G48" s="310" t="str">
        <f>'TB Allocation Details'!C45</f>
        <v>DOM</v>
      </c>
      <c r="H48" s="355"/>
      <c r="I48" s="356"/>
    </row>
    <row r="49" spans="1:9" s="67" customFormat="1" ht="13.2">
      <c r="A49" s="16"/>
      <c r="B49" s="197" t="s">
        <v>88</v>
      </c>
      <c r="C49" s="352"/>
      <c r="D49" s="353">
        <v>549954</v>
      </c>
      <c r="E49" s="353"/>
      <c r="F49" s="354">
        <f t="shared" si="0"/>
        <v>549954</v>
      </c>
      <c r="G49" s="310" t="str">
        <f>'TB Allocation Details'!C46</f>
        <v>CS</v>
      </c>
      <c r="H49" s="355"/>
      <c r="I49" s="356"/>
    </row>
    <row r="50" spans="1:9" s="67" customFormat="1" ht="13.2">
      <c r="A50" s="16"/>
      <c r="B50" s="197" t="s">
        <v>89</v>
      </c>
      <c r="C50" s="352"/>
      <c r="D50" s="353">
        <v>3294988</v>
      </c>
      <c r="E50" s="353"/>
      <c r="F50" s="354">
        <f t="shared" si="0"/>
        <v>3294988</v>
      </c>
      <c r="G50" s="310" t="str">
        <f>'TB Allocation Details'!C47</f>
        <v>TWh</v>
      </c>
      <c r="H50" s="355"/>
      <c r="I50" s="356"/>
    </row>
    <row r="51" spans="1:9" s="67" customFormat="1" ht="13.2">
      <c r="A51" s="16"/>
      <c r="B51" s="197" t="s">
        <v>90</v>
      </c>
      <c r="C51" s="352"/>
      <c r="D51" s="353">
        <v>1401192.3741599999</v>
      </c>
      <c r="E51" s="353"/>
      <c r="F51" s="354">
        <f t="shared" si="0"/>
        <v>1401192.3741599999</v>
      </c>
      <c r="G51" s="310" t="str">
        <f>'TB Allocation Details'!C48</f>
        <v>O&amp;M</v>
      </c>
      <c r="H51" s="355"/>
      <c r="I51" s="356"/>
    </row>
    <row r="52" spans="1:9" s="67" customFormat="1" ht="13.2">
      <c r="A52" s="16"/>
      <c r="B52" s="197" t="s">
        <v>91</v>
      </c>
      <c r="C52" s="352"/>
      <c r="D52" s="353">
        <v>1663835</v>
      </c>
      <c r="E52" s="353"/>
      <c r="F52" s="354">
        <f t="shared" si="0"/>
        <v>1663835</v>
      </c>
      <c r="G52" s="310" t="str">
        <f>'TB Allocation Details'!C49</f>
        <v>O&amp;M</v>
      </c>
      <c r="H52" s="355"/>
      <c r="I52" s="356"/>
    </row>
    <row r="53" spans="1:9" s="67" customFormat="1" ht="13.2">
      <c r="A53" s="16"/>
      <c r="B53" s="197" t="s">
        <v>92</v>
      </c>
      <c r="C53" s="352"/>
      <c r="D53" s="353">
        <v>4161455</v>
      </c>
      <c r="E53" s="353"/>
      <c r="F53" s="354">
        <f t="shared" si="0"/>
        <v>4161455</v>
      </c>
      <c r="G53" s="310" t="str">
        <f>'TB Allocation Details'!C50</f>
        <v>O&amp;M</v>
      </c>
      <c r="H53" s="355"/>
      <c r="I53" s="356"/>
    </row>
    <row r="54" spans="1:9" s="67" customFormat="1" ht="13.2">
      <c r="A54" s="16"/>
      <c r="B54" s="197" t="s">
        <v>93</v>
      </c>
      <c r="C54" s="352"/>
      <c r="D54" s="353">
        <v>5279476</v>
      </c>
      <c r="E54" s="353"/>
      <c r="F54" s="354">
        <f t="shared" si="0"/>
        <v>5279476</v>
      </c>
      <c r="G54" s="310" t="str">
        <f>'TB Allocation Details'!C51</f>
        <v>TWh</v>
      </c>
      <c r="H54" s="355"/>
      <c r="I54" s="356"/>
    </row>
    <row r="55" spans="1:9" s="67" customFormat="1" ht="13.2">
      <c r="A55" s="16"/>
      <c r="B55" s="197" t="s">
        <v>94</v>
      </c>
      <c r="C55" s="352"/>
      <c r="D55" s="353">
        <v>3612409.6494124699</v>
      </c>
      <c r="E55" s="353"/>
      <c r="F55" s="354">
        <f t="shared" si="0"/>
        <v>3612409.6494124699</v>
      </c>
      <c r="G55" s="310" t="str">
        <f>'TB Allocation Details'!C52</f>
        <v>TWh</v>
      </c>
      <c r="H55" s="355"/>
      <c r="I55" s="356"/>
    </row>
    <row r="56" spans="1:9" s="67" customFormat="1" ht="13.2">
      <c r="A56" s="16"/>
      <c r="B56" s="197" t="s">
        <v>95</v>
      </c>
      <c r="C56" s="352"/>
      <c r="D56" s="353">
        <v>18699757</v>
      </c>
      <c r="E56" s="353"/>
      <c r="F56" s="354">
        <f t="shared" si="0"/>
        <v>18699757</v>
      </c>
      <c r="G56" s="310" t="str">
        <f>'TB Allocation Details'!C53</f>
        <v>TWh</v>
      </c>
      <c r="H56" s="355"/>
      <c r="I56" s="356"/>
    </row>
    <row r="57" spans="1:9" s="67" customFormat="1" ht="13.2">
      <c r="A57" s="16"/>
      <c r="B57" s="197" t="s">
        <v>96</v>
      </c>
      <c r="C57" s="352"/>
      <c r="D57" s="353">
        <v>1284000.18</v>
      </c>
      <c r="E57" s="353"/>
      <c r="F57" s="354">
        <f t="shared" si="0"/>
        <v>1284000.18</v>
      </c>
      <c r="G57" s="310" t="str">
        <f>'TB Allocation Details'!C54</f>
        <v>TWh</v>
      </c>
      <c r="H57" s="355"/>
      <c r="I57" s="356"/>
    </row>
    <row r="58" spans="1:9" s="67" customFormat="1" ht="13.2">
      <c r="A58" s="16"/>
      <c r="B58" s="197" t="s">
        <v>97</v>
      </c>
      <c r="C58" s="352"/>
      <c r="D58" s="353">
        <v>6728736.3799999999</v>
      </c>
      <c r="E58" s="353"/>
      <c r="F58" s="354">
        <f t="shared" si="0"/>
        <v>6728736.3799999999</v>
      </c>
      <c r="G58" s="310" t="str">
        <f>'TB Allocation Details'!C55</f>
        <v>O&amp;M</v>
      </c>
      <c r="H58" s="355"/>
      <c r="I58" s="356"/>
    </row>
    <row r="59" spans="1:9" s="15" customFormat="1" ht="13.2">
      <c r="A59" s="16"/>
      <c r="B59" s="375" t="s">
        <v>172</v>
      </c>
      <c r="C59" s="344"/>
      <c r="D59" s="377">
        <f>SUM(D9:D58)</f>
        <v>184890932.87757918</v>
      </c>
      <c r="E59" s="377">
        <f t="shared" ref="E59:F59" si="2">SUM(E9:E58)</f>
        <v>0</v>
      </c>
      <c r="F59" s="377">
        <f t="shared" si="2"/>
        <v>184890932.87757918</v>
      </c>
      <c r="G59" s="376"/>
      <c r="H59" s="345"/>
      <c r="I59" s="345"/>
    </row>
    <row r="60" spans="1:9" s="15" customFormat="1" ht="13.2">
      <c r="A60" s="16"/>
      <c r="B60" s="344"/>
      <c r="C60" s="344"/>
      <c r="D60" s="378"/>
      <c r="E60" s="378"/>
      <c r="F60" s="378"/>
      <c r="G60" s="102"/>
      <c r="H60" s="345"/>
      <c r="I60" s="345"/>
    </row>
    <row r="61" spans="1:9" s="15" customFormat="1" ht="13.2">
      <c r="A61" s="16"/>
      <c r="B61" s="344"/>
      <c r="C61" s="344"/>
      <c r="D61" s="349"/>
      <c r="E61" s="349"/>
      <c r="F61" s="350"/>
      <c r="G61" s="102"/>
      <c r="H61" s="345"/>
      <c r="I61" s="345"/>
    </row>
    <row r="62" spans="1:9" s="15" customFormat="1" ht="15.6">
      <c r="A62" s="16"/>
      <c r="B62" s="379" t="s">
        <v>169</v>
      </c>
      <c r="C62" s="344"/>
      <c r="D62" s="349"/>
      <c r="E62" s="349"/>
      <c r="F62" s="350"/>
      <c r="G62" s="102"/>
      <c r="H62" s="345"/>
      <c r="I62" s="345"/>
    </row>
    <row r="63" spans="1:9" s="17" customFormat="1" ht="26.4">
      <c r="A63" s="16"/>
      <c r="B63" s="21" t="s">
        <v>0</v>
      </c>
      <c r="C63" s="18"/>
      <c r="D63" s="19" t="s">
        <v>4</v>
      </c>
      <c r="E63" s="20" t="s">
        <v>19</v>
      </c>
      <c r="F63" s="20" t="s">
        <v>20</v>
      </c>
      <c r="G63" s="20" t="s">
        <v>153</v>
      </c>
      <c r="H63" s="351"/>
      <c r="I63" s="351"/>
    </row>
    <row r="64" spans="1:9" s="67" customFormat="1" ht="13.2">
      <c r="A64" s="16"/>
      <c r="B64" s="197" t="s">
        <v>98</v>
      </c>
      <c r="C64" s="352"/>
      <c r="D64" s="353">
        <v>50501000</v>
      </c>
      <c r="E64" s="353"/>
      <c r="F64" s="354">
        <f t="shared" si="0"/>
        <v>50501000</v>
      </c>
      <c r="G64" s="310" t="str">
        <f>'TB Allocation Details'!C56</f>
        <v>TWh</v>
      </c>
      <c r="H64" s="355"/>
      <c r="I64" s="356"/>
    </row>
    <row r="65" spans="1:9" s="67" customFormat="1" ht="13.2">
      <c r="A65" s="16"/>
      <c r="B65" s="197" t="s">
        <v>99</v>
      </c>
      <c r="C65" s="352"/>
      <c r="D65" s="353">
        <v>255047000</v>
      </c>
      <c r="E65" s="353"/>
      <c r="F65" s="354">
        <f t="shared" si="0"/>
        <v>255047000</v>
      </c>
      <c r="G65" s="310" t="str">
        <f>'TB Allocation Details'!C57</f>
        <v>TWh</v>
      </c>
      <c r="H65" s="355"/>
      <c r="I65" s="356"/>
    </row>
    <row r="66" spans="1:9" s="67" customFormat="1" ht="13.2">
      <c r="A66" s="16"/>
      <c r="B66" s="197" t="s">
        <v>100</v>
      </c>
      <c r="C66" s="352"/>
      <c r="D66" s="353">
        <v>48132000</v>
      </c>
      <c r="E66" s="353"/>
      <c r="F66" s="354">
        <f t="shared" si="0"/>
        <v>48132000</v>
      </c>
      <c r="G66" s="310" t="str">
        <f>'TB Allocation Details'!C58</f>
        <v>TWh</v>
      </c>
      <c r="H66" s="355"/>
      <c r="I66" s="356"/>
    </row>
    <row r="67" spans="1:9" s="67" customFormat="1" ht="13.2">
      <c r="A67" s="16"/>
      <c r="B67" s="197" t="s">
        <v>101</v>
      </c>
      <c r="C67" s="352"/>
      <c r="D67" s="353">
        <v>19671000</v>
      </c>
      <c r="E67" s="353"/>
      <c r="F67" s="354">
        <f t="shared" si="0"/>
        <v>19671000</v>
      </c>
      <c r="G67" s="310" t="str">
        <f>'TB Allocation Details'!C59</f>
        <v>TWh</v>
      </c>
      <c r="H67" s="355"/>
      <c r="I67" s="356"/>
    </row>
    <row r="68" spans="1:9" s="67" customFormat="1" ht="13.2">
      <c r="A68" s="16"/>
      <c r="B68" s="197" t="s">
        <v>102</v>
      </c>
      <c r="C68" s="352"/>
      <c r="D68" s="353">
        <v>3384000</v>
      </c>
      <c r="E68" s="353"/>
      <c r="F68" s="354">
        <f t="shared" si="0"/>
        <v>3384000</v>
      </c>
      <c r="G68" s="310" t="str">
        <f>'TB Allocation Details'!C60</f>
        <v>O&amp;M</v>
      </c>
      <c r="H68" s="355"/>
      <c r="I68" s="356"/>
    </row>
    <row r="69" spans="1:9" s="67" customFormat="1" ht="13.2">
      <c r="A69" s="16"/>
      <c r="B69" s="197" t="s">
        <v>103</v>
      </c>
      <c r="C69" s="352"/>
      <c r="D69" s="353">
        <v>237000</v>
      </c>
      <c r="E69" s="353"/>
      <c r="F69" s="354">
        <f t="shared" si="0"/>
        <v>237000</v>
      </c>
      <c r="G69" s="310" t="str">
        <f>'TB Allocation Details'!C61</f>
        <v>O&amp;M</v>
      </c>
      <c r="H69" s="355"/>
      <c r="I69" s="356"/>
    </row>
    <row r="70" spans="1:9" s="67" customFormat="1" ht="13.2">
      <c r="A70" s="16"/>
      <c r="B70" s="197" t="s">
        <v>104</v>
      </c>
      <c r="C70" s="352"/>
      <c r="D70" s="353">
        <v>382000</v>
      </c>
      <c r="E70" s="353"/>
      <c r="F70" s="354">
        <f t="shared" si="0"/>
        <v>382000</v>
      </c>
      <c r="G70" s="310" t="str">
        <f>'TB Allocation Details'!C62</f>
        <v>O&amp;M</v>
      </c>
      <c r="H70" s="355"/>
      <c r="I70" s="356"/>
    </row>
    <row r="71" spans="1:9" s="67" customFormat="1" ht="13.2">
      <c r="A71" s="16"/>
      <c r="B71" s="197" t="s">
        <v>105</v>
      </c>
      <c r="C71" s="352"/>
      <c r="D71" s="353">
        <v>5219000</v>
      </c>
      <c r="E71" s="353"/>
      <c r="F71" s="354">
        <f t="shared" si="0"/>
        <v>5219000</v>
      </c>
      <c r="G71" s="310" t="str">
        <f>'TB Allocation Details'!C63</f>
        <v>O&amp;M</v>
      </c>
      <c r="H71" s="355"/>
      <c r="I71" s="356"/>
    </row>
    <row r="72" spans="1:9" s="67" customFormat="1" ht="13.2">
      <c r="A72" s="16"/>
      <c r="B72" s="197" t="s">
        <v>106</v>
      </c>
      <c r="C72" s="352"/>
      <c r="D72" s="353">
        <v>4873000</v>
      </c>
      <c r="E72" s="353"/>
      <c r="F72" s="354">
        <f t="shared" si="0"/>
        <v>4873000</v>
      </c>
      <c r="G72" s="310" t="str">
        <f>'TB Allocation Details'!C64</f>
        <v>O&amp;M</v>
      </c>
      <c r="H72" s="355"/>
      <c r="I72" s="356"/>
    </row>
    <row r="73" spans="1:9" s="67" customFormat="1" ht="13.2">
      <c r="A73" s="16"/>
      <c r="B73" s="197" t="s">
        <v>107</v>
      </c>
      <c r="C73" s="352"/>
      <c r="D73" s="353">
        <v>9442000</v>
      </c>
      <c r="E73" s="353"/>
      <c r="F73" s="354">
        <f t="shared" si="0"/>
        <v>9442000</v>
      </c>
      <c r="G73" s="310" t="str">
        <f>'TB Allocation Details'!C65</f>
        <v>O&amp;M</v>
      </c>
      <c r="H73" s="355"/>
      <c r="I73" s="356"/>
    </row>
    <row r="74" spans="1:9" s="67" customFormat="1" ht="13.2">
      <c r="A74" s="16"/>
      <c r="B74" s="197" t="s">
        <v>108</v>
      </c>
      <c r="C74" s="352"/>
      <c r="D74" s="353">
        <v>-310970000</v>
      </c>
      <c r="E74" s="353"/>
      <c r="F74" s="354">
        <f>+D74+E74</f>
        <v>-310970000</v>
      </c>
      <c r="G74" s="310" t="str">
        <f>'TB Allocation Details'!C66</f>
        <v>Assets</v>
      </c>
      <c r="H74" s="355"/>
      <c r="I74" s="356"/>
    </row>
    <row r="75" spans="1:9" s="15" customFormat="1" ht="13.2">
      <c r="A75" s="16"/>
      <c r="B75" s="375" t="s">
        <v>25</v>
      </c>
      <c r="C75" s="344"/>
      <c r="D75" s="377">
        <f t="shared" ref="D75:E75" si="3">SUM(D64:D74)</f>
        <v>85918000</v>
      </c>
      <c r="E75" s="377">
        <f t="shared" si="3"/>
        <v>0</v>
      </c>
      <c r="F75" s="377">
        <f>SUM(F64:F74)</f>
        <v>85918000</v>
      </c>
      <c r="G75" s="376"/>
      <c r="H75" s="345"/>
      <c r="I75" s="345"/>
    </row>
    <row r="76" spans="1:9" ht="20.399999999999999" customHeight="1">
      <c r="B76" s="414" t="s">
        <v>182</v>
      </c>
      <c r="C76" s="414"/>
      <c r="D76" s="414"/>
    </row>
  </sheetData>
  <mergeCells count="3">
    <mergeCell ref="D5:E5"/>
    <mergeCell ref="D4:E4"/>
    <mergeCell ref="B76:D76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&amp;C  </oddHeader>
    <oddFooter>&amp;L&amp;Z&amp;F - &amp;A&amp;R&amp;D</oddFooter>
  </headerFooter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>
    <tabColor indexed="34"/>
    <pageSetUpPr fitToPage="1"/>
  </sheetPr>
  <dimension ref="A1:E71"/>
  <sheetViews>
    <sheetView workbookViewId="0">
      <selection activeCell="D56" sqref="D56"/>
    </sheetView>
  </sheetViews>
  <sheetFormatPr defaultColWidth="9.109375" defaultRowHeight="10.199999999999999"/>
  <cols>
    <col min="1" max="1" width="2.6640625" style="15" customWidth="1"/>
    <col min="2" max="2" width="83" style="69" bestFit="1" customWidth="1"/>
    <col min="3" max="3" width="15.44140625" style="13" bestFit="1" customWidth="1"/>
    <col min="4" max="4" width="15.44140625" style="6" bestFit="1" customWidth="1"/>
    <col min="5" max="5" width="8.33203125" style="6" bestFit="1" customWidth="1"/>
    <col min="6" max="16384" width="9.109375" style="6"/>
  </cols>
  <sheetData>
    <row r="1" spans="1:5" s="1" customFormat="1" ht="21" customHeight="1">
      <c r="A1" s="57" t="str">
        <f>"Reconciliation Worksheet"</f>
        <v>Reconciliation Worksheet</v>
      </c>
      <c r="B1" s="58"/>
      <c r="C1" s="59"/>
    </row>
    <row r="2" spans="1:5" s="1" customFormat="1" ht="6" customHeight="1">
      <c r="A2" s="2"/>
      <c r="B2" s="2"/>
      <c r="C2" s="2"/>
      <c r="D2" s="2"/>
      <c r="E2" s="2"/>
    </row>
    <row r="3" spans="1:5">
      <c r="A3" s="115"/>
      <c r="B3" s="144"/>
    </row>
    <row r="4" spans="1:5">
      <c r="A4" s="14"/>
      <c r="B4" s="144"/>
    </row>
    <row r="5" spans="1:5">
      <c r="A5" s="72"/>
      <c r="B5" s="144"/>
    </row>
    <row r="6" spans="1:5">
      <c r="A6" s="14"/>
      <c r="B6" s="144"/>
    </row>
    <row r="7" spans="1:5" ht="10.8" thickBot="1">
      <c r="A7" s="94"/>
      <c r="B7" s="130"/>
      <c r="C7" s="165"/>
    </row>
    <row r="8" spans="1:5" s="166" customFormat="1" ht="31.2" thickBot="1">
      <c r="A8" s="94"/>
      <c r="B8" s="167" t="s">
        <v>0</v>
      </c>
      <c r="C8" s="131" t="s">
        <v>1</v>
      </c>
      <c r="D8" s="169" t="s">
        <v>175</v>
      </c>
      <c r="E8" s="168" t="s">
        <v>5</v>
      </c>
    </row>
    <row r="9" spans="1:5" ht="13.2">
      <c r="A9" s="94"/>
      <c r="B9" s="234" t="str">
        <f>'Functionalized Accounts'!B9</f>
        <v>CEO - CEO Office</v>
      </c>
      <c r="C9" s="132">
        <f>'Functionalized Accounts'!F9</f>
        <v>1440412.3852000204</v>
      </c>
      <c r="D9" s="171">
        <f>+SUM('Summary by Class &amp; Accounts'!E9:'Summary by Class &amp; Accounts'!F9)</f>
        <v>1440412.3852000209</v>
      </c>
      <c r="E9" s="196">
        <f t="shared" ref="E9:E28" si="0">+C9-D9</f>
        <v>0</v>
      </c>
    </row>
    <row r="10" spans="1:5" ht="13.2">
      <c r="A10" s="94"/>
      <c r="B10" s="235" t="str">
        <f>'Functionalized Accounts'!B10</f>
        <v>CEO - CEO Office - NERC Membership</v>
      </c>
      <c r="C10" s="132">
        <f>'Functionalized Accounts'!F10</f>
        <v>3898639.9999999995</v>
      </c>
      <c r="D10" s="171">
        <f>+SUM('Summary by Class &amp; Accounts'!E10:'Summary by Class &amp; Accounts'!F10)</f>
        <v>3898639.9999999995</v>
      </c>
      <c r="E10" s="196">
        <f t="shared" si="0"/>
        <v>0</v>
      </c>
    </row>
    <row r="11" spans="1:5" ht="13.2">
      <c r="A11" s="94"/>
      <c r="B11" s="235" t="str">
        <f>'Functionalized Accounts'!B11</f>
        <v>CEO - Internal Audit</v>
      </c>
      <c r="C11" s="132">
        <f>'Functionalized Accounts'!F11</f>
        <v>1434104.0316998712</v>
      </c>
      <c r="D11" s="171">
        <f>+SUM('Summary by Class &amp; Accounts'!E11:'Summary by Class &amp; Accounts'!F11)</f>
        <v>1434104.0316998716</v>
      </c>
      <c r="E11" s="196">
        <f t="shared" si="0"/>
        <v>0</v>
      </c>
    </row>
    <row r="12" spans="1:5" ht="13.2">
      <c r="A12" s="94"/>
      <c r="B12" s="235" t="str">
        <f>'Functionalized Accounts'!B12</f>
        <v>Market and System Operations - VP Office</v>
      </c>
      <c r="C12" s="132">
        <f>'Functionalized Accounts'!F12</f>
        <v>1407934.602453477</v>
      </c>
      <c r="D12" s="171">
        <f>+SUM('Summary by Class &amp; Accounts'!E12:'Summary by Class &amp; Accounts'!F12)</f>
        <v>1407934.602453477</v>
      </c>
      <c r="E12" s="196">
        <f t="shared" si="0"/>
        <v>0</v>
      </c>
    </row>
    <row r="13" spans="1:5" ht="13.2">
      <c r="A13" s="94"/>
      <c r="B13" s="235" t="str">
        <f>'Functionalized Accounts'!B13</f>
        <v>Market and System Operations - System Performance</v>
      </c>
      <c r="C13" s="132">
        <f>'Functionalized Accounts'!F13</f>
        <v>6198802.96355558</v>
      </c>
      <c r="D13" s="171">
        <f>+SUM('Summary by Class &amp; Accounts'!E13:'Summary by Class &amp; Accounts'!F13)</f>
        <v>6198802.96355558</v>
      </c>
      <c r="E13" s="196">
        <f t="shared" ref="E13:E19" si="1">+C13-D13</f>
        <v>0</v>
      </c>
    </row>
    <row r="14" spans="1:5" ht="13.2">
      <c r="A14" s="94"/>
      <c r="B14" s="235" t="str">
        <f>'Functionalized Accounts'!B14</f>
        <v>Market and System Operations - Reliability Assessments</v>
      </c>
      <c r="C14" s="132">
        <f>'Functionalized Accounts'!F14</f>
        <v>3634163.3588411813</v>
      </c>
      <c r="D14" s="171">
        <f>+SUM('Summary by Class &amp; Accounts'!E14:'Summary by Class &amp; Accounts'!F14)</f>
        <v>3634163.3588411817</v>
      </c>
      <c r="E14" s="196">
        <f t="shared" si="1"/>
        <v>0</v>
      </c>
    </row>
    <row r="15" spans="1:5" ht="13.2">
      <c r="A15" s="94"/>
      <c r="B15" s="235" t="str">
        <f>'Functionalized Accounts'!B15</f>
        <v>Market and System Operations - Connections &amp; Registration</v>
      </c>
      <c r="C15" s="132">
        <f>'Functionalized Accounts'!F15</f>
        <v>4987699.8668681663</v>
      </c>
      <c r="D15" s="171">
        <f>+SUM('Summary by Class &amp; Accounts'!E15:'Summary by Class &amp; Accounts'!F15)</f>
        <v>4987699.8668681663</v>
      </c>
      <c r="E15" s="196">
        <f t="shared" si="1"/>
        <v>0</v>
      </c>
    </row>
    <row r="16" spans="1:5" ht="13.2">
      <c r="A16" s="94"/>
      <c r="B16" s="235" t="str">
        <f>'Functionalized Accounts'!B16</f>
        <v>Market and System Operations - Operational Effectiveness</v>
      </c>
      <c r="C16" s="132">
        <f>'Functionalized Accounts'!F16</f>
        <v>3634963.924583504</v>
      </c>
      <c r="D16" s="171">
        <f>+SUM('Summary by Class &amp; Accounts'!E16:'Summary by Class &amp; Accounts'!F16)</f>
        <v>3634963.9245835044</v>
      </c>
      <c r="E16" s="196">
        <f t="shared" si="1"/>
        <v>0</v>
      </c>
    </row>
    <row r="17" spans="1:5" ht="13.2">
      <c r="A17" s="94"/>
      <c r="B17" s="235" t="str">
        <f>'Functionalized Accounts'!B17</f>
        <v>Market and System Operations - System Operations</v>
      </c>
      <c r="C17" s="132">
        <f>'Functionalized Accounts'!F17</f>
        <v>11891778.805312574</v>
      </c>
      <c r="D17" s="171">
        <f>+SUM('Summary by Class &amp; Accounts'!E17:'Summary by Class &amp; Accounts'!F17)</f>
        <v>11891778.805312574</v>
      </c>
      <c r="E17" s="196">
        <f t="shared" si="1"/>
        <v>0</v>
      </c>
    </row>
    <row r="18" spans="1:5" ht="13.2">
      <c r="A18" s="94"/>
      <c r="B18" s="235" t="str">
        <f>'Functionalized Accounts'!B18</f>
        <v>Market and System Operations - Market Forecasts &amp; Integration</v>
      </c>
      <c r="C18" s="132">
        <f>'Functionalized Accounts'!F18</f>
        <v>2602329.5853714114</v>
      </c>
      <c r="D18" s="171">
        <f>+SUM('Summary by Class &amp; Accounts'!E18:'Summary by Class &amp; Accounts'!F18)</f>
        <v>2602329.5853714114</v>
      </c>
      <c r="E18" s="196">
        <f t="shared" si="1"/>
        <v>0</v>
      </c>
    </row>
    <row r="19" spans="1:5" ht="13.2">
      <c r="A19" s="94"/>
      <c r="B19" s="235" t="str">
        <f>'Functionalized Accounts'!B19</f>
        <v>Market and System Operations - Operations Change Initiatives</v>
      </c>
      <c r="C19" s="132">
        <f>'Functionalized Accounts'!F19</f>
        <v>910270.4806976543</v>
      </c>
      <c r="D19" s="171">
        <f>+SUM('Summary by Class &amp; Accounts'!E19:'Summary by Class &amp; Accounts'!F19)</f>
        <v>910270.4806976543</v>
      </c>
      <c r="E19" s="196">
        <f t="shared" si="1"/>
        <v>0</v>
      </c>
    </row>
    <row r="20" spans="1:5" ht="13.2">
      <c r="A20" s="94"/>
      <c r="B20" s="235" t="str">
        <f>'Functionalized Accounts'!B20</f>
        <v>Market and Resource Development - VP Office</v>
      </c>
      <c r="C20" s="132">
        <f>'Functionalized Accounts'!F20</f>
        <v>1228410</v>
      </c>
      <c r="D20" s="171">
        <f>+SUM('Summary by Class &amp; Accounts'!E20:'Summary by Class &amp; Accounts'!F20)</f>
        <v>1228410</v>
      </c>
      <c r="E20" s="196">
        <f t="shared" si="0"/>
        <v>0</v>
      </c>
    </row>
    <row r="21" spans="1:5" ht="13.2">
      <c r="A21" s="94"/>
      <c r="B21" s="235" t="str">
        <f>'Functionalized Accounts'!B21</f>
        <v>Market and Resource Development - Contract Management</v>
      </c>
      <c r="C21" s="132">
        <f>'Functionalized Accounts'!F21</f>
        <v>7245981</v>
      </c>
      <c r="D21" s="171">
        <f>+SUM('Summary by Class &amp; Accounts'!E21:'Summary by Class &amp; Accounts'!F21)</f>
        <v>7245981</v>
      </c>
      <c r="E21" s="196">
        <f t="shared" ref="E21:E23" si="2">+C21-D21</f>
        <v>0</v>
      </c>
    </row>
    <row r="22" spans="1:5" ht="13.2">
      <c r="A22" s="94"/>
      <c r="B22" s="235" t="str">
        <f>'Functionalized Accounts'!B22</f>
        <v>Market and Resource Development - Renewable Procurement</v>
      </c>
      <c r="C22" s="132">
        <f>'Functionalized Accounts'!F22</f>
        <v>2661529</v>
      </c>
      <c r="D22" s="171">
        <f>+SUM('Summary by Class &amp; Accounts'!E22:'Summary by Class &amp; Accounts'!F22)</f>
        <v>2661529</v>
      </c>
      <c r="E22" s="196">
        <f t="shared" si="2"/>
        <v>0</v>
      </c>
    </row>
    <row r="23" spans="1:5" ht="13.2">
      <c r="A23" s="94"/>
      <c r="B23" s="235" t="str">
        <f>'Functionalized Accounts'!B23</f>
        <v>Market and Resource Development - Clean Energy Procurement</v>
      </c>
      <c r="C23" s="132">
        <f>'Functionalized Accounts'!F23</f>
        <v>1224621.9999999998</v>
      </c>
      <c r="D23" s="171">
        <f>+SUM('Summary by Class &amp; Accounts'!E23:'Summary by Class &amp; Accounts'!F23)</f>
        <v>1224621.9999999998</v>
      </c>
      <c r="E23" s="196">
        <f t="shared" si="2"/>
        <v>0</v>
      </c>
    </row>
    <row r="24" spans="1:5" ht="13.2">
      <c r="A24" s="94"/>
      <c r="B24" s="235" t="str">
        <f>'Functionalized Accounts'!B24</f>
        <v>Market and Resource Development - Policy &amp; Analysis</v>
      </c>
      <c r="C24" s="132">
        <f>'Functionalized Accounts'!F24</f>
        <v>1455034.9999999998</v>
      </c>
      <c r="D24" s="171">
        <f>+SUM('Summary by Class &amp; Accounts'!E24:'Summary by Class &amp; Accounts'!F24)</f>
        <v>1455034.9999999998</v>
      </c>
      <c r="E24" s="196">
        <f t="shared" si="0"/>
        <v>0</v>
      </c>
    </row>
    <row r="25" spans="1:5" ht="13.2">
      <c r="A25" s="94"/>
      <c r="B25" s="235" t="str">
        <f>'Functionalized Accounts'!B25</f>
        <v>Market and Resource Development - Markets</v>
      </c>
      <c r="C25" s="132">
        <f>'Functionalized Accounts'!F25</f>
        <v>5499521</v>
      </c>
      <c r="D25" s="171">
        <f>+SUM('Summary by Class &amp; Accounts'!E25:'Summary by Class &amp; Accounts'!F25)</f>
        <v>5499521</v>
      </c>
      <c r="E25" s="196">
        <f t="shared" si="0"/>
        <v>0</v>
      </c>
    </row>
    <row r="26" spans="1:5" ht="13.2">
      <c r="A26" s="94"/>
      <c r="B26" s="235" t="str">
        <f>'Functionalized Accounts'!B26</f>
        <v>Conservation and Corporate Relations - VP Office</v>
      </c>
      <c r="C26" s="132">
        <f>'Functionalized Accounts'!F26</f>
        <v>764142.34188076179</v>
      </c>
      <c r="D26" s="171">
        <f>+SUM('Summary by Class &amp; Accounts'!E26:'Summary by Class &amp; Accounts'!F26)</f>
        <v>764142.34188076179</v>
      </c>
      <c r="E26" s="196">
        <f t="shared" si="0"/>
        <v>0</v>
      </c>
    </row>
    <row r="27" spans="1:5" ht="13.2">
      <c r="A27" s="94"/>
      <c r="B27" s="235" t="str">
        <f>'Functionalized Accounts'!B27</f>
        <v>Conservation and Corporate Relations - Conservation Performance</v>
      </c>
      <c r="C27" s="132">
        <f>'Functionalized Accounts'!F27</f>
        <v>4091444.9756630883</v>
      </c>
      <c r="D27" s="171">
        <f>+SUM('Summary by Class &amp; Accounts'!E27:'Summary by Class &amp; Accounts'!F27)</f>
        <v>4091444.9756630883</v>
      </c>
      <c r="E27" s="196">
        <f t="shared" si="0"/>
        <v>0</v>
      </c>
    </row>
    <row r="28" spans="1:5" ht="13.2">
      <c r="A28" s="94"/>
      <c r="B28" s="235" t="str">
        <f>'Functionalized Accounts'!B28</f>
        <v>Conservation and Corporate Relations - Business Development</v>
      </c>
      <c r="C28" s="132">
        <f>'Functionalized Accounts'!F28</f>
        <v>2389846.7074152329</v>
      </c>
      <c r="D28" s="171">
        <f>+SUM('Summary by Class &amp; Accounts'!E28:'Summary by Class &amp; Accounts'!F28)</f>
        <v>2389846.7074152329</v>
      </c>
      <c r="E28" s="196">
        <f t="shared" si="0"/>
        <v>0</v>
      </c>
    </row>
    <row r="29" spans="1:5" ht="13.2">
      <c r="A29" s="94"/>
      <c r="B29" s="235" t="str">
        <f>'Functionalized Accounts'!B29</f>
        <v>Conservation and Corporate Relations - Strategic Engagement &amp; Innovation</v>
      </c>
      <c r="C29" s="132">
        <f>'Functionalized Accounts'!F29</f>
        <v>3218911.0738582825</v>
      </c>
      <c r="D29" s="171">
        <f>+SUM('Summary by Class &amp; Accounts'!E29:'Summary by Class &amp; Accounts'!F29)</f>
        <v>3218911.0738582825</v>
      </c>
      <c r="E29" s="196">
        <f>+C29-D29</f>
        <v>0</v>
      </c>
    </row>
    <row r="30" spans="1:5" ht="13.2">
      <c r="A30" s="94"/>
      <c r="B30" s="235" t="str">
        <f>'Functionalized Accounts'!B30</f>
        <v>Conservation and Corporate Relations - Program Delivery &amp; Partner Services</v>
      </c>
      <c r="C30" s="132">
        <f>'Functionalized Accounts'!F30</f>
        <v>2058304.3191757097</v>
      </c>
      <c r="D30" s="171">
        <f>+SUM('Summary by Class &amp; Accounts'!E30:'Summary by Class &amp; Accounts'!F30)</f>
        <v>2058304.3191757097</v>
      </c>
      <c r="E30" s="196">
        <f>+C30-D30</f>
        <v>0</v>
      </c>
    </row>
    <row r="31" spans="1:5" ht="13.2">
      <c r="A31" s="94"/>
      <c r="B31" s="235" t="str">
        <f>'Functionalized Accounts'!B31</f>
        <v>Conservation and Corporate Relations - Stakeholders &amp; Public Affairs</v>
      </c>
      <c r="C31" s="132">
        <f>'Functionalized Accounts'!F31</f>
        <v>4520580.5476868805</v>
      </c>
      <c r="D31" s="171">
        <f>+SUM('Summary by Class &amp; Accounts'!E31:'Summary by Class &amp; Accounts'!F31)</f>
        <v>4520580.5476868805</v>
      </c>
      <c r="E31" s="196">
        <f>+C31-D31</f>
        <v>0</v>
      </c>
    </row>
    <row r="32" spans="1:5" ht="13.2">
      <c r="A32" s="94"/>
      <c r="B32" s="235" t="str">
        <f>'Functionalized Accounts'!B32</f>
        <v>Conservation and Corporate Relations - Marketing</v>
      </c>
      <c r="C32" s="132">
        <f>'Functionalized Accounts'!F32</f>
        <v>528424.32374333299</v>
      </c>
      <c r="D32" s="171">
        <f>+SUM('Summary by Class &amp; Accounts'!E32:'Summary by Class &amp; Accounts'!F32)</f>
        <v>528424.32374333299</v>
      </c>
      <c r="E32" s="196">
        <f>+C32-D32</f>
        <v>0</v>
      </c>
    </row>
    <row r="33" spans="1:5" ht="13.2">
      <c r="A33" s="94"/>
      <c r="B33" s="235" t="str">
        <f>'Functionalized Accounts'!B33</f>
        <v>Information and Technology Services - VP Office</v>
      </c>
      <c r="C33" s="132">
        <f>'Functionalized Accounts'!F33</f>
        <v>1033559</v>
      </c>
      <c r="D33" s="171">
        <f>+SUM('Summary by Class &amp; Accounts'!E33:'Summary by Class &amp; Accounts'!F33)</f>
        <v>1033559.0000000002</v>
      </c>
      <c r="E33" s="196">
        <f>+C33-D33</f>
        <v>0</v>
      </c>
    </row>
    <row r="34" spans="1:5" ht="13.2">
      <c r="A34" s="94"/>
      <c r="B34" s="235" t="str">
        <f>'Functionalized Accounts'!B34</f>
        <v>Information and Technology Services - Organizational Governance</v>
      </c>
      <c r="C34" s="132">
        <f>'Functionalized Accounts'!F34</f>
        <v>3638288</v>
      </c>
      <c r="D34" s="171">
        <f>+SUM('Summary by Class &amp; Accounts'!E34:'Summary by Class &amp; Accounts'!F34)</f>
        <v>3638288.0000000009</v>
      </c>
      <c r="E34" s="196">
        <f t="shared" ref="E34:E53" si="3">+C34-D34</f>
        <v>0</v>
      </c>
    </row>
    <row r="35" spans="1:5" ht="13.2">
      <c r="A35" s="94"/>
      <c r="B35" s="235" t="str">
        <f>'Functionalized Accounts'!B35</f>
        <v>Information and Technology Services - Business Solutions + Business Analysis</v>
      </c>
      <c r="C35" s="132">
        <f>'Functionalized Accounts'!F35</f>
        <v>11622249</v>
      </c>
      <c r="D35" s="171">
        <f>+SUM('Summary by Class &amp; Accounts'!E35:'Summary by Class &amp; Accounts'!F35)</f>
        <v>11622249.000000002</v>
      </c>
      <c r="E35" s="196">
        <f t="shared" si="3"/>
        <v>0</v>
      </c>
    </row>
    <row r="36" spans="1:5" ht="13.2">
      <c r="A36" s="94"/>
      <c r="B36" s="235" t="str">
        <f>'Functionalized Accounts'!B36</f>
        <v>Information and Technology Services - Technology Support*</v>
      </c>
      <c r="C36" s="132">
        <f>'Functionalized Accounts'!F36</f>
        <v>15875082</v>
      </c>
      <c r="D36" s="171">
        <f>+SUM('Summary by Class &amp; Accounts'!E36:'Summary by Class &amp; Accounts'!F36)</f>
        <v>15875082.000000004</v>
      </c>
      <c r="E36" s="196">
        <f t="shared" si="3"/>
        <v>0</v>
      </c>
    </row>
    <row r="37" spans="1:5" ht="13.2">
      <c r="A37" s="94"/>
      <c r="B37" s="235" t="str">
        <f>'Functionalized Accounts'!B37</f>
        <v>Information and Technology Services - Solutions (Adelaide)*</v>
      </c>
      <c r="C37" s="132">
        <f>'Functionalized Accounts'!F37</f>
        <v>563825</v>
      </c>
      <c r="D37" s="171">
        <f>+SUM('Summary by Class &amp; Accounts'!E37:'Summary by Class &amp; Accounts'!F37)</f>
        <v>563825.00000000012</v>
      </c>
      <c r="E37" s="196">
        <f t="shared" si="3"/>
        <v>0</v>
      </c>
    </row>
    <row r="38" spans="1:5" ht="13.2">
      <c r="A38" s="94"/>
      <c r="B38" s="235" t="str">
        <f>'Functionalized Accounts'!B38</f>
        <v>Information and Technology Services - IT Operations</v>
      </c>
      <c r="C38" s="132">
        <f>'Functionalized Accounts'!F38</f>
        <v>2346315</v>
      </c>
      <c r="D38" s="171">
        <f>+SUM('Summary by Class &amp; Accounts'!E38:'Summary by Class &amp; Accounts'!F38)</f>
        <v>2346315.0000000009</v>
      </c>
      <c r="E38" s="196">
        <f t="shared" si="3"/>
        <v>0</v>
      </c>
    </row>
    <row r="39" spans="1:5" ht="13.2">
      <c r="A39" s="94"/>
      <c r="B39" s="235" t="str">
        <f>'Functionalized Accounts'!B39</f>
        <v>Information and Technology Services - Facilities</v>
      </c>
      <c r="C39" s="132">
        <f>'Functionalized Accounts'!F39</f>
        <v>9170740</v>
      </c>
      <c r="D39" s="171">
        <f>+SUM('Summary by Class &amp; Accounts'!E39:'Summary by Class &amp; Accounts'!F39)</f>
        <v>9170740.0000000019</v>
      </c>
      <c r="E39" s="196">
        <f t="shared" si="3"/>
        <v>0</v>
      </c>
    </row>
    <row r="40" spans="1:5" ht="13.2">
      <c r="A40" s="94"/>
      <c r="B40" s="235" t="str">
        <f>'Functionalized Accounts'!B40</f>
        <v>Information and Technology Services - Support of Market and System Operation</v>
      </c>
      <c r="C40" s="132">
        <f>'Functionalized Accounts'!F40</f>
        <v>0</v>
      </c>
      <c r="D40" s="171">
        <f>+SUM('Summary by Class &amp; Accounts'!E40:'Summary by Class &amp; Accounts'!F40)</f>
        <v>0</v>
      </c>
      <c r="E40" s="196">
        <f t="shared" si="3"/>
        <v>0</v>
      </c>
    </row>
    <row r="41" spans="1:5" ht="13.2">
      <c r="A41" s="94"/>
      <c r="B41" s="235" t="str">
        <f>'Functionalized Accounts'!B41</f>
        <v>Planning, Law and Aboriginal Relations - VP Office</v>
      </c>
      <c r="C41" s="132">
        <f>'Functionalized Accounts'!F41</f>
        <v>1318290</v>
      </c>
      <c r="D41" s="171">
        <f>+SUM('Summary by Class &amp; Accounts'!E41:'Summary by Class &amp; Accounts'!F41)</f>
        <v>1318290</v>
      </c>
      <c r="E41" s="196">
        <f t="shared" si="3"/>
        <v>0</v>
      </c>
    </row>
    <row r="42" spans="1:5" ht="13.2">
      <c r="A42" s="94"/>
      <c r="B42" s="235" t="str">
        <f>'Functionalized Accounts'!B42</f>
        <v>Planning, Law and Aboriginal Relations - General Counsel</v>
      </c>
      <c r="C42" s="132">
        <f>'Functionalized Accounts'!F42</f>
        <v>4194831</v>
      </c>
      <c r="D42" s="171">
        <f>+SUM('Summary by Class &amp; Accounts'!E42:'Summary by Class &amp; Accounts'!F42)</f>
        <v>4194831</v>
      </c>
      <c r="E42" s="196">
        <f t="shared" si="3"/>
        <v>0</v>
      </c>
    </row>
    <row r="43" spans="1:5" ht="13.2">
      <c r="A43" s="94"/>
      <c r="B43" s="235" t="str">
        <f>'Functionalized Accounts'!B43</f>
        <v>Planning, Law and Aboriginal Relations - Regulatory Affairs</v>
      </c>
      <c r="C43" s="132">
        <f>'Functionalized Accounts'!F43</f>
        <v>3267801.9999999995</v>
      </c>
      <c r="D43" s="171">
        <f>+SUM('Summary by Class &amp; Accounts'!E43:'Summary by Class &amp; Accounts'!F43)</f>
        <v>3267801.9999999995</v>
      </c>
      <c r="E43" s="196">
        <f t="shared" si="3"/>
        <v>0</v>
      </c>
    </row>
    <row r="44" spans="1:5" ht="13.2">
      <c r="A44" s="94"/>
      <c r="B44" s="235" t="str">
        <f>'Functionalized Accounts'!B44</f>
        <v>Planning, Law and Aboriginal Relations - Board</v>
      </c>
      <c r="C44" s="132">
        <f>'Functionalized Accounts'!F44</f>
        <v>715210</v>
      </c>
      <c r="D44" s="171">
        <f>+SUM('Summary by Class &amp; Accounts'!E44:'Summary by Class &amp; Accounts'!F44)</f>
        <v>715210.00000000012</v>
      </c>
      <c r="E44" s="196">
        <f t="shared" si="3"/>
        <v>0</v>
      </c>
    </row>
    <row r="45" spans="1:5" ht="13.2">
      <c r="A45" s="94"/>
      <c r="B45" s="235" t="str">
        <f>'Functionalized Accounts'!B45</f>
        <v>Planning, Law and Aboriginal Relations - First Nations &amp; Metis Relations</v>
      </c>
      <c r="C45" s="132">
        <f>'Functionalized Accounts'!F45</f>
        <v>807900</v>
      </c>
      <c r="D45" s="171">
        <f>+SUM('Summary by Class &amp; Accounts'!E45:'Summary by Class &amp; Accounts'!F45)</f>
        <v>807900</v>
      </c>
      <c r="E45" s="196">
        <f t="shared" si="3"/>
        <v>0</v>
      </c>
    </row>
    <row r="46" spans="1:5" ht="13.2">
      <c r="A46" s="94"/>
      <c r="B46" s="235" t="str">
        <f>'Functionalized Accounts'!B46</f>
        <v xml:space="preserve">Planning, Law and Aboriginal Relations - Transmission Integration </v>
      </c>
      <c r="C46" s="132">
        <f>'Functionalized Accounts'!F46</f>
        <v>2025408</v>
      </c>
      <c r="D46" s="171">
        <f>+SUM('Summary by Class &amp; Accounts'!E46:'Summary by Class &amp; Accounts'!F46)</f>
        <v>2025408</v>
      </c>
      <c r="E46" s="196">
        <f t="shared" si="3"/>
        <v>0</v>
      </c>
    </row>
    <row r="47" spans="1:5" ht="13.2">
      <c r="A47" s="94"/>
      <c r="B47" s="235" t="str">
        <f>'Functionalized Accounts'!B47</f>
        <v>Planning, Law and Aboriginal Relations - Resource Integration</v>
      </c>
      <c r="C47" s="132">
        <f>'Functionalized Accounts'!F47</f>
        <v>2360010</v>
      </c>
      <c r="D47" s="171">
        <f>+SUM('Summary by Class &amp; Accounts'!E47:'Summary by Class &amp; Accounts'!F47)</f>
        <v>2360010</v>
      </c>
      <c r="E47" s="196">
        <f t="shared" si="3"/>
        <v>0</v>
      </c>
    </row>
    <row r="48" spans="1:5" ht="13.2">
      <c r="A48" s="94"/>
      <c r="B48" s="235" t="str">
        <f>'Functionalized Accounts'!B48</f>
        <v>Planning, Law and Aboriginal Relations - Conservation Inegration</v>
      </c>
      <c r="C48" s="132">
        <f>'Functionalized Accounts'!F48</f>
        <v>347768</v>
      </c>
      <c r="D48" s="171">
        <f>+SUM('Summary by Class &amp; Accounts'!E48:'Summary by Class &amp; Accounts'!F48)</f>
        <v>347768</v>
      </c>
      <c r="E48" s="196">
        <f t="shared" si="3"/>
        <v>0</v>
      </c>
    </row>
    <row r="49" spans="1:5" ht="13.2">
      <c r="A49" s="94"/>
      <c r="B49" s="235" t="str">
        <f>'Functionalized Accounts'!B49</f>
        <v>Corporate Services - VP Office</v>
      </c>
      <c r="C49" s="132">
        <f>'Functionalized Accounts'!F49</f>
        <v>549954</v>
      </c>
      <c r="D49" s="171">
        <f>+SUM('Summary by Class &amp; Accounts'!E49:'Summary by Class &amp; Accounts'!F49)</f>
        <v>549954.00000000012</v>
      </c>
      <c r="E49" s="196">
        <f t="shared" si="3"/>
        <v>0</v>
      </c>
    </row>
    <row r="50" spans="1:5" ht="13.2">
      <c r="A50" s="94"/>
      <c r="B50" s="235" t="str">
        <f>'Functionalized Accounts'!B50</f>
        <v>Corporate Services - Corporate Controller</v>
      </c>
      <c r="C50" s="132">
        <f>'Functionalized Accounts'!F50</f>
        <v>3294988</v>
      </c>
      <c r="D50" s="171">
        <f>+SUM('Summary by Class &amp; Accounts'!E50:'Summary by Class &amp; Accounts'!F50)</f>
        <v>3294988</v>
      </c>
      <c r="E50" s="196">
        <f t="shared" si="3"/>
        <v>0</v>
      </c>
    </row>
    <row r="51" spans="1:5" ht="13.2">
      <c r="A51" s="94"/>
      <c r="B51" s="235" t="str">
        <f>'Functionalized Accounts'!B51</f>
        <v>Corporate Services - Financial Planning &amp; Analysis</v>
      </c>
      <c r="C51" s="132">
        <f>'Functionalized Accounts'!F51</f>
        <v>1401192.3741599999</v>
      </c>
      <c r="D51" s="171">
        <f>+SUM('Summary by Class &amp; Accounts'!E51:'Summary by Class &amp; Accounts'!F51)</f>
        <v>1401192.3741600001</v>
      </c>
      <c r="E51" s="196">
        <f t="shared" si="3"/>
        <v>0</v>
      </c>
    </row>
    <row r="52" spans="1:5" ht="13.2">
      <c r="A52" s="94"/>
      <c r="B52" s="235" t="str">
        <f>'Functionalized Accounts'!B52</f>
        <v>Corporate Services - Treasury &amp; Pension Operations</v>
      </c>
      <c r="C52" s="132">
        <f>'Functionalized Accounts'!F52</f>
        <v>1663835</v>
      </c>
      <c r="D52" s="171">
        <f>+SUM('Summary by Class &amp; Accounts'!E52:'Summary by Class &amp; Accounts'!F52)</f>
        <v>1663835.0000000005</v>
      </c>
      <c r="E52" s="196">
        <f t="shared" si="3"/>
        <v>0</v>
      </c>
    </row>
    <row r="53" spans="1:5" ht="13.2">
      <c r="A53" s="94"/>
      <c r="B53" s="235" t="str">
        <f>'Functionalized Accounts'!B53</f>
        <v>Corporate Services - Human Resources</v>
      </c>
      <c r="C53" s="132">
        <f>'Functionalized Accounts'!F53</f>
        <v>4161455</v>
      </c>
      <c r="D53" s="171">
        <f>+SUM('Summary by Class &amp; Accounts'!E53:'Summary by Class &amp; Accounts'!F53)</f>
        <v>4161455.0000000014</v>
      </c>
      <c r="E53" s="196">
        <f t="shared" si="3"/>
        <v>0</v>
      </c>
    </row>
    <row r="54" spans="1:5" ht="13.2">
      <c r="A54" s="94"/>
      <c r="B54" s="235" t="str">
        <f>'Functionalized Accounts'!B54</f>
        <v>Corporate Services - Settlements</v>
      </c>
      <c r="C54" s="132">
        <f>'Functionalized Accounts'!F54</f>
        <v>5279476</v>
      </c>
      <c r="D54" s="171">
        <f>+SUM('Summary by Class &amp; Accounts'!E54:'Summary by Class &amp; Accounts'!F54)</f>
        <v>5279476</v>
      </c>
      <c r="E54" s="196">
        <f>+C54-D54</f>
        <v>0</v>
      </c>
    </row>
    <row r="55" spans="1:5" ht="13.2">
      <c r="A55" s="94"/>
      <c r="B55" s="235" t="str">
        <f>'Functionalized Accounts'!B55</f>
        <v>MACD</v>
      </c>
      <c r="C55" s="132">
        <f>'Functionalized Accounts'!F55</f>
        <v>3612409.6494124699</v>
      </c>
      <c r="D55" s="171">
        <f>+SUM('Summary by Class &amp; Accounts'!E55:'Summary by Class &amp; Accounts'!F55)</f>
        <v>3612409.6494124699</v>
      </c>
      <c r="E55" s="196">
        <f>+C55-D55</f>
        <v>0</v>
      </c>
    </row>
    <row r="56" spans="1:5" ht="13.2">
      <c r="A56" s="94"/>
      <c r="B56" s="235" t="str">
        <f>'Functionalized Accounts'!B56</f>
        <v>Others (IESO Corp Adj+Int+Amort) - Amortization</v>
      </c>
      <c r="C56" s="132">
        <f>'Functionalized Accounts'!F56</f>
        <v>18699757</v>
      </c>
      <c r="D56" s="171">
        <f>+SUM('Summary by Class &amp; Accounts'!E56:'Summary by Class &amp; Accounts'!F56)</f>
        <v>18699757</v>
      </c>
      <c r="E56" s="196">
        <f>+C56-D56</f>
        <v>0</v>
      </c>
    </row>
    <row r="57" spans="1:5" ht="13.2">
      <c r="A57" s="94"/>
      <c r="B57" s="235" t="str">
        <f>'Functionalized Accounts'!B57</f>
        <v>Others (IESO Corp Adj+Int+Amort) - Interest</v>
      </c>
      <c r="C57" s="132">
        <f>'Functionalized Accounts'!F57</f>
        <v>1284000.18</v>
      </c>
      <c r="D57" s="171">
        <f>+SUM('Summary by Class &amp; Accounts'!E57:'Summary by Class &amp; Accounts'!F57)</f>
        <v>1284000.18</v>
      </c>
      <c r="E57" s="196">
        <f>+C57-D57</f>
        <v>0</v>
      </c>
    </row>
    <row r="58" spans="1:5" ht="13.2">
      <c r="A58" s="94"/>
      <c r="B58" s="235" t="str">
        <f>'Functionalized Accounts'!B58</f>
        <v>Others (IESO Corp Adj+Int+Amort) - Uncleared salary</v>
      </c>
      <c r="C58" s="132">
        <f>'Functionalized Accounts'!F58</f>
        <v>6728736.3799999999</v>
      </c>
      <c r="D58" s="171">
        <f>+SUM('Summary by Class &amp; Accounts'!E58:'Summary by Class &amp; Accounts'!F58)</f>
        <v>6728736.3800000018</v>
      </c>
      <c r="E58" s="196">
        <f t="shared" ref="E58:E67" si="4">+C58-D58</f>
        <v>0</v>
      </c>
    </row>
    <row r="59" spans="1:5" ht="13.2">
      <c r="A59" s="94"/>
      <c r="B59" s="235" t="str">
        <f>'Functionalized Accounts'!B64</f>
        <v>Former IESO - Assets</v>
      </c>
      <c r="C59" s="132">
        <f>'Functionalized Accounts'!F64</f>
        <v>50501000</v>
      </c>
      <c r="D59" s="171">
        <f>+SUM('Summary by Class &amp; Accounts'!E59:'Summary by Class &amp; Accounts'!F59)</f>
        <v>50501000.000000007</v>
      </c>
      <c r="E59" s="196">
        <f t="shared" si="4"/>
        <v>0</v>
      </c>
    </row>
    <row r="60" spans="1:5" ht="13.2">
      <c r="A60" s="94"/>
      <c r="B60" s="235" t="str">
        <f>'Functionalized Accounts'!B65</f>
        <v>Former IESO - Market systems &amp; applications</v>
      </c>
      <c r="C60" s="132">
        <f>'Functionalized Accounts'!F65</f>
        <v>255047000</v>
      </c>
      <c r="D60" s="171">
        <f>+SUM('Summary by Class &amp; Accounts'!E60:'Summary by Class &amp; Accounts'!F60)</f>
        <v>255047000</v>
      </c>
      <c r="E60" s="196">
        <f t="shared" si="4"/>
        <v>0</v>
      </c>
    </row>
    <row r="61" spans="1:5" ht="13.2">
      <c r="A61" s="94"/>
      <c r="B61" s="235" t="str">
        <f>'Functionalized Accounts'!B66</f>
        <v>Former IESO - Infrastructure &amp; other assets</v>
      </c>
      <c r="C61" s="132">
        <f>'Functionalized Accounts'!F66</f>
        <v>48132000</v>
      </c>
      <c r="D61" s="171">
        <f>+SUM('Summary by Class &amp; Accounts'!E61:'Summary by Class &amp; Accounts'!F61)</f>
        <v>48132000</v>
      </c>
      <c r="E61" s="196">
        <f t="shared" si="4"/>
        <v>0</v>
      </c>
    </row>
    <row r="62" spans="1:5" ht="13.2">
      <c r="A62" s="94"/>
      <c r="B62" s="235" t="str">
        <f>'Functionalized Accounts'!B67</f>
        <v>Former IESO - Assets Under Construction</v>
      </c>
      <c r="C62" s="132">
        <f>'Functionalized Accounts'!F67</f>
        <v>19671000</v>
      </c>
      <c r="D62" s="171">
        <f>+SUM('Summary by Class &amp; Accounts'!E62:'Summary by Class &amp; Accounts'!F62)</f>
        <v>19671000</v>
      </c>
      <c r="E62" s="196">
        <f t="shared" si="4"/>
        <v>0</v>
      </c>
    </row>
    <row r="63" spans="1:5" ht="13.2">
      <c r="A63" s="94"/>
      <c r="B63" s="235" t="str">
        <f>'Functionalized Accounts'!B68</f>
        <v>Former OPA - Furniture &amp; Equipment</v>
      </c>
      <c r="C63" s="132">
        <f>'Functionalized Accounts'!F68</f>
        <v>3384000</v>
      </c>
      <c r="D63" s="171">
        <f>+SUM('Summary by Class &amp; Accounts'!E63:'Summary by Class &amp; Accounts'!F63)</f>
        <v>3384000.0000000009</v>
      </c>
      <c r="E63" s="196">
        <f t="shared" si="4"/>
        <v>0</v>
      </c>
    </row>
    <row r="64" spans="1:5" ht="13.2">
      <c r="A64" s="94"/>
      <c r="B64" s="235" t="str">
        <f>'Functionalized Accounts'!B69</f>
        <v>Former OPA - Audio Visual</v>
      </c>
      <c r="C64" s="132">
        <f>'Functionalized Accounts'!F69</f>
        <v>237000</v>
      </c>
      <c r="D64" s="171">
        <f>+SUM('Summary by Class &amp; Accounts'!E64:'Summary by Class &amp; Accounts'!F64)</f>
        <v>237000.00000000006</v>
      </c>
      <c r="E64" s="196">
        <f t="shared" si="4"/>
        <v>0</v>
      </c>
    </row>
    <row r="65" spans="1:5" ht="13.2">
      <c r="A65" s="94"/>
      <c r="B65" s="235" t="str">
        <f>'Functionalized Accounts'!B70</f>
        <v>Former OPA - Telephone</v>
      </c>
      <c r="C65" s="132">
        <f>'Functionalized Accounts'!F70</f>
        <v>382000</v>
      </c>
      <c r="D65" s="171">
        <f>+SUM('Summary by Class &amp; Accounts'!E65:'Summary by Class &amp; Accounts'!F65)</f>
        <v>382000.00000000012</v>
      </c>
      <c r="E65" s="196">
        <f t="shared" si="4"/>
        <v>0</v>
      </c>
    </row>
    <row r="66" spans="1:5" ht="13.2">
      <c r="A66" s="94"/>
      <c r="B66" s="235" t="str">
        <f>'Functionalized Accounts'!B71</f>
        <v>Former OPA - Leasehold improvements</v>
      </c>
      <c r="C66" s="132">
        <f>'Functionalized Accounts'!F71</f>
        <v>5219000</v>
      </c>
      <c r="D66" s="171">
        <f>+SUM('Summary by Class &amp; Accounts'!E66:'Summary by Class &amp; Accounts'!F66)</f>
        <v>5219000.0000000019</v>
      </c>
      <c r="E66" s="196">
        <f t="shared" si="4"/>
        <v>0</v>
      </c>
    </row>
    <row r="67" spans="1:5" ht="13.2">
      <c r="A67" s="94"/>
      <c r="B67" s="235" t="str">
        <f>'Functionalized Accounts'!B72</f>
        <v>Former OPA - Computer Hardware</v>
      </c>
      <c r="C67" s="132">
        <f>'Functionalized Accounts'!F72</f>
        <v>4873000</v>
      </c>
      <c r="D67" s="171">
        <f>+SUM('Summary by Class &amp; Accounts'!E67:'Summary by Class &amp; Accounts'!F67)</f>
        <v>4873000.0000000019</v>
      </c>
      <c r="E67" s="196">
        <f t="shared" si="4"/>
        <v>0</v>
      </c>
    </row>
    <row r="68" spans="1:5" ht="13.2">
      <c r="A68" s="94"/>
      <c r="B68" s="235" t="str">
        <f>'Functionalized Accounts'!B73</f>
        <v>Former OPA - Computer Software</v>
      </c>
      <c r="C68" s="132">
        <f>'Functionalized Accounts'!F73</f>
        <v>9442000</v>
      </c>
      <c r="D68" s="171">
        <f>+SUM('Summary by Class &amp; Accounts'!E68:'Summary by Class &amp; Accounts'!F68)</f>
        <v>9442000.0000000019</v>
      </c>
      <c r="E68" s="196">
        <f t="shared" ref="E68:E69" si="5">+C68-D68</f>
        <v>0</v>
      </c>
    </row>
    <row r="69" spans="1:5" ht="13.8" thickBot="1">
      <c r="A69" s="94"/>
      <c r="B69" s="235" t="str">
        <f>'Functionalized Accounts'!B74</f>
        <v>Accumulated Amortization</v>
      </c>
      <c r="C69" s="132">
        <f>'Functionalized Accounts'!F74</f>
        <v>-310970000</v>
      </c>
      <c r="D69" s="171">
        <f>+SUM('Summary by Class &amp; Accounts'!E69:'Summary by Class &amp; Accounts'!F69)</f>
        <v>-310970000</v>
      </c>
      <c r="E69" s="196">
        <f t="shared" si="5"/>
        <v>0</v>
      </c>
    </row>
    <row r="70" spans="1:5" s="4" customFormat="1" ht="16.2" thickBot="1">
      <c r="A70" s="236"/>
      <c r="B70" s="394" t="s">
        <v>10</v>
      </c>
      <c r="C70" s="395">
        <f>IF(ISERROR(SUM(C9:C69)), "-", SUM(C9:C69))</f>
        <v>270808932.87757921</v>
      </c>
      <c r="D70" s="396">
        <f>IF(ISERROR(SUM(D9:D69)), "-", SUM(D9:D69))</f>
        <v>270808932.87757921</v>
      </c>
      <c r="E70" s="397">
        <f>IF(ISERROR(SUM(E9:E69)), "-", SUM(E9:E69))</f>
        <v>0</v>
      </c>
    </row>
    <row r="71" spans="1:5" ht="13.2">
      <c r="A71" s="107"/>
      <c r="B71" s="71"/>
      <c r="C71" s="170"/>
      <c r="D71" s="67"/>
      <c r="E71" s="67"/>
    </row>
  </sheetData>
  <phoneticPr fontId="6" type="noConversion"/>
  <pageMargins left="0.75" right="0.75" top="1" bottom="1" header="0.5" footer="0.5"/>
  <pageSetup scale="72" orientation="portrait" horizontalDpi="4294967294" r:id="rId1"/>
  <headerFooter alignWithMargins="0">
    <oddFooter>&amp;L&amp;Z&amp;F -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4">
    <tabColor indexed="42"/>
  </sheetPr>
  <dimension ref="A1:K20"/>
  <sheetViews>
    <sheetView view="pageLayout" topLeftCell="F169" zoomScaleNormal="100" workbookViewId="0">
      <selection activeCell="K6" sqref="K6"/>
    </sheetView>
  </sheetViews>
  <sheetFormatPr defaultColWidth="9.109375" defaultRowHeight="10.199999999999999"/>
  <cols>
    <col min="1" max="1" width="2.6640625" style="5" customWidth="1"/>
    <col min="2" max="2" width="29.6640625" style="23" customWidth="1"/>
    <col min="3" max="3" width="16.109375" style="51" customWidth="1"/>
    <col min="4" max="4" width="15.6640625" style="23" customWidth="1"/>
    <col min="5" max="6" width="15.6640625" style="52" customWidth="1"/>
    <col min="7" max="7" width="14.109375" style="23" customWidth="1"/>
    <col min="8" max="8" width="13.5546875" style="23" customWidth="1"/>
    <col min="9" max="9" width="13" style="23" customWidth="1"/>
    <col min="10" max="10" width="12.33203125" style="23" customWidth="1"/>
    <col min="11" max="11" width="10.33203125" style="23" bestFit="1" customWidth="1"/>
    <col min="12" max="12" width="12.44140625" style="23" customWidth="1"/>
    <col min="13" max="16384" width="9.109375" style="23"/>
  </cols>
  <sheetData>
    <row r="1" spans="1:11" s="1" customFormat="1" ht="21" customHeight="1">
      <c r="B1" s="10" t="str">
        <f>"Asset Break Out Worksheet "</f>
        <v xml:space="preserve">Asset Break Out Worksheet </v>
      </c>
      <c r="C1" s="11"/>
    </row>
    <row r="2" spans="1:11" s="1" customFormat="1" ht="6" customHeight="1">
      <c r="A2" s="2"/>
      <c r="B2" s="2"/>
      <c r="C2" s="2"/>
      <c r="D2" s="2"/>
      <c r="E2" s="2"/>
      <c r="F2" s="2"/>
    </row>
    <row r="3" spans="1:11" ht="21.75" customHeight="1" thickBot="1">
      <c r="A3" s="24"/>
      <c r="B3" s="25"/>
      <c r="C3" s="26"/>
      <c r="D3" s="27"/>
      <c r="E3" s="28"/>
      <c r="F3" s="28"/>
    </row>
    <row r="4" spans="1:11" ht="18" customHeight="1" thickBot="1">
      <c r="A4" s="229"/>
      <c r="B4" s="418" t="s">
        <v>178</v>
      </c>
      <c r="C4" s="415" t="s">
        <v>14</v>
      </c>
      <c r="D4" s="416"/>
      <c r="E4" s="417"/>
      <c r="F4" s="415" t="s">
        <v>15</v>
      </c>
      <c r="G4" s="416"/>
      <c r="H4" s="416"/>
      <c r="I4" s="417"/>
    </row>
    <row r="5" spans="1:11" s="29" customFormat="1" ht="18" customHeight="1">
      <c r="A5" s="229"/>
      <c r="B5" s="419"/>
      <c r="C5" s="420"/>
      <c r="D5" s="421"/>
      <c r="E5" s="422"/>
      <c r="F5" s="35"/>
      <c r="G5" s="363"/>
      <c r="H5" s="363"/>
      <c r="I5" s="364"/>
    </row>
    <row r="6" spans="1:11" s="38" customFormat="1" ht="66">
      <c r="A6" s="229"/>
      <c r="B6" s="30" t="s">
        <v>6</v>
      </c>
      <c r="C6" s="31" t="s">
        <v>11</v>
      </c>
      <c r="D6" s="32" t="s">
        <v>109</v>
      </c>
      <c r="E6" s="34" t="s">
        <v>13</v>
      </c>
      <c r="F6" s="31" t="s">
        <v>111</v>
      </c>
      <c r="G6" s="33" t="s">
        <v>112</v>
      </c>
      <c r="H6" s="33" t="s">
        <v>112</v>
      </c>
      <c r="I6" s="365" t="s">
        <v>18</v>
      </c>
      <c r="J6" s="66"/>
      <c r="K6" s="66"/>
    </row>
    <row r="7" spans="1:11" s="39" customFormat="1" ht="13.2">
      <c r="A7" s="229"/>
      <c r="B7" s="36" t="str">
        <f>'Functionalized Accounts'!B64</f>
        <v>Former IESO - Assets</v>
      </c>
      <c r="C7" s="390">
        <f>+'Functionalized Accounts'!F64</f>
        <v>50501000</v>
      </c>
      <c r="D7" s="192">
        <v>-19747000</v>
      </c>
      <c r="E7" s="37">
        <f t="shared" ref="E7:E16" si="0">C7+D7</f>
        <v>30754000</v>
      </c>
      <c r="F7" s="366">
        <v>38</v>
      </c>
      <c r="G7" s="391">
        <f>MIN(C7/F7,E7)</f>
        <v>1328973.6842105263</v>
      </c>
      <c r="H7" s="362">
        <f>G7/G$18</f>
        <v>3.948114206909923E-2</v>
      </c>
      <c r="I7" s="367">
        <f t="shared" ref="I7:I16" si="1">I$20*G7/G$18</f>
        <v>738287.76277463289</v>
      </c>
      <c r="J7" s="188"/>
      <c r="K7" s="188"/>
    </row>
    <row r="8" spans="1:11" s="39" customFormat="1" ht="26.4">
      <c r="A8" s="229"/>
      <c r="B8" s="36" t="str">
        <f>'Functionalized Accounts'!B65</f>
        <v>Former IESO - Market systems &amp; applications</v>
      </c>
      <c r="C8" s="390">
        <f>+'Functionalized Accounts'!F65</f>
        <v>255047000</v>
      </c>
      <c r="D8" s="192">
        <v>-234107000</v>
      </c>
      <c r="E8" s="37">
        <f t="shared" si="0"/>
        <v>20940000</v>
      </c>
      <c r="F8" s="366">
        <f>AVERAGE(4,12)</f>
        <v>8</v>
      </c>
      <c r="G8" s="391">
        <f>MIN(C8/F8,E8)</f>
        <v>20940000</v>
      </c>
      <c r="H8" s="362">
        <f t="shared" ref="H8:H16" si="2">G8/G$18</f>
        <v>0.62208539171944399</v>
      </c>
      <c r="I8" s="367">
        <f t="shared" si="1"/>
        <v>11632845.658403415</v>
      </c>
      <c r="J8" s="188"/>
      <c r="K8" s="188"/>
    </row>
    <row r="9" spans="1:11" s="39" customFormat="1" ht="26.4">
      <c r="A9" s="229"/>
      <c r="B9" s="36" t="str">
        <f>'Functionalized Accounts'!B66</f>
        <v>Former IESO - Infrastructure &amp; other assets</v>
      </c>
      <c r="C9" s="390">
        <f>+'Functionalized Accounts'!F66</f>
        <v>48132000</v>
      </c>
      <c r="D9" s="192">
        <v>-38077000</v>
      </c>
      <c r="E9" s="37">
        <f t="shared" si="0"/>
        <v>10055000</v>
      </c>
      <c r="F9" s="366">
        <f>AVERAGE(4,8)</f>
        <v>6</v>
      </c>
      <c r="G9" s="391">
        <f>MIN(C9/F9,E9)</f>
        <v>8022000</v>
      </c>
      <c r="H9" s="362">
        <f t="shared" si="2"/>
        <v>0.23831752685641738</v>
      </c>
      <c r="I9" s="367">
        <f t="shared" si="1"/>
        <v>4456479.841055979</v>
      </c>
      <c r="J9" s="188"/>
      <c r="K9" s="188"/>
    </row>
    <row r="10" spans="1:11" s="39" customFormat="1" ht="26.4">
      <c r="A10" s="229"/>
      <c r="B10" s="36" t="str">
        <f>'Functionalized Accounts'!B67</f>
        <v>Former IESO - Assets Under Construction</v>
      </c>
      <c r="C10" s="390">
        <f>+'Functionalized Accounts'!F67</f>
        <v>19671000</v>
      </c>
      <c r="D10" s="192"/>
      <c r="E10" s="37">
        <f t="shared" si="0"/>
        <v>19671000</v>
      </c>
      <c r="F10" s="366"/>
      <c r="G10" s="391"/>
      <c r="H10" s="362">
        <f t="shared" si="2"/>
        <v>0</v>
      </c>
      <c r="I10" s="367">
        <f t="shared" si="1"/>
        <v>0</v>
      </c>
      <c r="J10" s="188"/>
      <c r="K10" s="188"/>
    </row>
    <row r="11" spans="1:11" s="39" customFormat="1" ht="26.4">
      <c r="A11" s="229"/>
      <c r="B11" s="36" t="str">
        <f>'Functionalized Accounts'!B68</f>
        <v>Former OPA - Furniture &amp; Equipment</v>
      </c>
      <c r="C11" s="390">
        <f>+'Functionalized Accounts'!F68</f>
        <v>3384000</v>
      </c>
      <c r="D11" s="192">
        <v>-2506000</v>
      </c>
      <c r="E11" s="37">
        <f t="shared" si="0"/>
        <v>878000</v>
      </c>
      <c r="F11" s="366">
        <v>10</v>
      </c>
      <c r="G11" s="391">
        <f t="shared" ref="G11:G16" si="3">MIN(C11/F11,E11)</f>
        <v>338400</v>
      </c>
      <c r="H11" s="362">
        <f t="shared" si="2"/>
        <v>1.0053185126927405E-2</v>
      </c>
      <c r="I11" s="367">
        <f t="shared" si="1"/>
        <v>187992.11894955661</v>
      </c>
      <c r="J11" s="188"/>
      <c r="K11" s="188"/>
    </row>
    <row r="12" spans="1:11" s="39" customFormat="1" ht="13.2">
      <c r="A12" s="229"/>
      <c r="B12" s="36" t="str">
        <f>'Functionalized Accounts'!B69</f>
        <v>Former OPA - Audio Visual</v>
      </c>
      <c r="C12" s="390">
        <f>+'Functionalized Accounts'!F69</f>
        <v>237000</v>
      </c>
      <c r="D12" s="192">
        <v>-197000</v>
      </c>
      <c r="E12" s="37">
        <f t="shared" si="0"/>
        <v>40000</v>
      </c>
      <c r="F12" s="366">
        <v>10</v>
      </c>
      <c r="G12" s="391">
        <f t="shared" si="3"/>
        <v>23700</v>
      </c>
      <c r="H12" s="362">
        <f t="shared" si="2"/>
        <v>7.0407945481140515E-4</v>
      </c>
      <c r="I12" s="367">
        <f t="shared" si="1"/>
        <v>13166.114713665756</v>
      </c>
      <c r="J12" s="188"/>
      <c r="K12" s="188"/>
    </row>
    <row r="13" spans="1:11" s="39" customFormat="1" ht="13.2">
      <c r="A13" s="229"/>
      <c r="B13" s="36" t="str">
        <f>'Functionalized Accounts'!B70</f>
        <v>Former OPA - Telephone</v>
      </c>
      <c r="C13" s="390">
        <f>+'Functionalized Accounts'!F70</f>
        <v>382000</v>
      </c>
      <c r="D13" s="192">
        <v>-369000</v>
      </c>
      <c r="E13" s="37">
        <f t="shared" si="0"/>
        <v>13000</v>
      </c>
      <c r="F13" s="366">
        <v>5</v>
      </c>
      <c r="G13" s="391">
        <f t="shared" si="3"/>
        <v>13000</v>
      </c>
      <c r="H13" s="362">
        <f t="shared" si="2"/>
        <v>3.8620392036068632E-4</v>
      </c>
      <c r="I13" s="367">
        <f t="shared" si="1"/>
        <v>7221.9194631921873</v>
      </c>
      <c r="J13" s="188"/>
      <c r="K13" s="188"/>
    </row>
    <row r="14" spans="1:11" s="39" customFormat="1" ht="26.4">
      <c r="A14" s="229"/>
      <c r="B14" s="36" t="str">
        <f>'Functionalized Accounts'!B71</f>
        <v>Former OPA - Leasehold improvements</v>
      </c>
      <c r="C14" s="390">
        <f>+'Functionalized Accounts'!F71</f>
        <v>5219000</v>
      </c>
      <c r="D14" s="192">
        <v>-4125000</v>
      </c>
      <c r="E14" s="37">
        <f t="shared" si="0"/>
        <v>1094000</v>
      </c>
      <c r="F14" s="366">
        <v>10</v>
      </c>
      <c r="G14" s="391">
        <f t="shared" si="3"/>
        <v>521900</v>
      </c>
      <c r="H14" s="362">
        <f t="shared" si="2"/>
        <v>1.5504602002787861E-2</v>
      </c>
      <c r="I14" s="367">
        <f t="shared" si="1"/>
        <v>289932.28983384633</v>
      </c>
      <c r="J14" s="188"/>
      <c r="K14" s="188"/>
    </row>
    <row r="15" spans="1:11" s="39" customFormat="1" ht="26.4">
      <c r="A15" s="229"/>
      <c r="B15" s="36" t="str">
        <f>'Functionalized Accounts'!B72</f>
        <v>Former OPA - Computer Hardware</v>
      </c>
      <c r="C15" s="390">
        <f>+'Functionalized Accounts'!F72</f>
        <v>4873000</v>
      </c>
      <c r="D15" s="192">
        <v>-4663000</v>
      </c>
      <c r="E15" s="37">
        <f t="shared" si="0"/>
        <v>210000</v>
      </c>
      <c r="F15" s="366">
        <v>4</v>
      </c>
      <c r="G15" s="391">
        <f t="shared" si="3"/>
        <v>210000</v>
      </c>
      <c r="H15" s="362">
        <f t="shared" si="2"/>
        <v>6.2386787135187798E-3</v>
      </c>
      <c r="I15" s="367">
        <f t="shared" si="1"/>
        <v>116661.77594387378</v>
      </c>
      <c r="J15" s="188"/>
      <c r="K15" s="188"/>
    </row>
    <row r="16" spans="1:11" s="39" customFormat="1" ht="13.8" thickBot="1">
      <c r="A16" s="229"/>
      <c r="B16" s="36" t="str">
        <f>'Functionalized Accounts'!B73</f>
        <v>Former OPA - Computer Software</v>
      </c>
      <c r="C16" s="392">
        <f>+'Functionalized Accounts'!F73</f>
        <v>9442000</v>
      </c>
      <c r="D16" s="371">
        <v>-7179000</v>
      </c>
      <c r="E16" s="372">
        <f t="shared" si="0"/>
        <v>2263000</v>
      </c>
      <c r="F16" s="368">
        <f>AVERAGE(3,5)</f>
        <v>4</v>
      </c>
      <c r="G16" s="393">
        <f t="shared" si="3"/>
        <v>2263000</v>
      </c>
      <c r="H16" s="369">
        <f t="shared" si="2"/>
        <v>6.7229190136633324E-2</v>
      </c>
      <c r="I16" s="370">
        <f t="shared" si="1"/>
        <v>1257169.51886184</v>
      </c>
      <c r="J16" s="188"/>
      <c r="K16" s="188"/>
    </row>
    <row r="17" spans="1:11" s="39" customFormat="1" ht="13.8" thickBot="1">
      <c r="A17" s="42"/>
      <c r="B17" s="43"/>
      <c r="C17" s="44"/>
      <c r="D17" s="45"/>
      <c r="E17" s="46"/>
      <c r="F17" s="187"/>
      <c r="G17" s="189"/>
      <c r="H17" s="189"/>
      <c r="I17" s="47"/>
      <c r="J17" s="189"/>
      <c r="K17" s="189"/>
    </row>
    <row r="18" spans="1:11" s="49" customFormat="1" ht="13.8" thickBot="1">
      <c r="A18" s="48"/>
      <c r="B18" s="382" t="s">
        <v>10</v>
      </c>
      <c r="C18" s="53">
        <f t="shared" ref="C18:E18" si="4">SUM(C7:C16)</f>
        <v>396888000</v>
      </c>
      <c r="D18" s="53">
        <f t="shared" si="4"/>
        <v>-310970000</v>
      </c>
      <c r="E18" s="53">
        <f t="shared" si="4"/>
        <v>85918000</v>
      </c>
      <c r="F18" s="53"/>
      <c r="G18" s="53">
        <f>SUM(G7:G17)</f>
        <v>33660973.684210524</v>
      </c>
      <c r="H18" s="53"/>
      <c r="I18" s="381">
        <f>SUM(I7:I16)</f>
        <v>18699757.000000004</v>
      </c>
      <c r="J18" s="189"/>
      <c r="K18" s="189"/>
    </row>
    <row r="19" spans="1:11" s="25" customFormat="1" ht="13.8" thickBot="1">
      <c r="A19" s="48"/>
      <c r="B19" s="41" t="s">
        <v>2</v>
      </c>
      <c r="C19" s="387"/>
      <c r="D19" s="388"/>
      <c r="E19" s="389"/>
      <c r="F19" s="40"/>
      <c r="G19" s="40"/>
      <c r="H19" s="40"/>
      <c r="I19" s="380"/>
      <c r="J19" s="40"/>
      <c r="K19" s="40"/>
    </row>
    <row r="20" spans="1:11" s="25" customFormat="1" ht="13.8" thickBot="1">
      <c r="A20" s="48"/>
      <c r="B20" s="383" t="s">
        <v>171</v>
      </c>
      <c r="C20" s="384"/>
      <c r="D20" s="385">
        <f>ROUND('Functionalized Accounts'!F74,0)</f>
        <v>-310970000</v>
      </c>
      <c r="E20" s="53">
        <f>ROUND('Functionalized Accounts'!F75,0)</f>
        <v>85918000</v>
      </c>
      <c r="F20" s="384"/>
      <c r="G20" s="384"/>
      <c r="H20" s="384"/>
      <c r="I20" s="386">
        <f>'Functionalized Accounts'!F56</f>
        <v>18699757</v>
      </c>
      <c r="J20" s="40"/>
      <c r="K20" s="40"/>
    </row>
  </sheetData>
  <mergeCells count="4">
    <mergeCell ref="F4:I4"/>
    <mergeCell ref="B4:B5"/>
    <mergeCell ref="C4:E4"/>
    <mergeCell ref="C5:E5"/>
  </mergeCells>
  <phoneticPr fontId="6" type="noConversion"/>
  <pageMargins left="0.75" right="0.38" top="0.56000000000000005" bottom="0.57999999999999996" header="0.31" footer="0.3"/>
  <pageSetup scale="65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7">
    <tabColor indexed="42"/>
    <pageSetUpPr fitToPage="1"/>
  </sheetPr>
  <dimension ref="A1:U23"/>
  <sheetViews>
    <sheetView workbookViewId="0">
      <selection activeCell="C52" sqref="C52"/>
    </sheetView>
  </sheetViews>
  <sheetFormatPr defaultColWidth="9.109375" defaultRowHeight="10.199999999999999"/>
  <cols>
    <col min="1" max="1" width="32.109375" style="5" customWidth="1"/>
    <col min="2" max="2" width="15.6640625" style="55" customWidth="1"/>
    <col min="3" max="3" width="16" style="56" customWidth="1"/>
    <col min="4" max="4" width="11.6640625" style="56" bestFit="1" customWidth="1"/>
    <col min="5" max="5" width="16" style="56" customWidth="1"/>
    <col min="6" max="11" width="9.109375" style="56"/>
    <col min="12" max="16384" width="9.109375" style="5"/>
  </cols>
  <sheetData>
    <row r="1" spans="1:21" s="1" customFormat="1" ht="21" customHeight="1">
      <c r="A1" s="57" t="str">
        <f>"Revenue Worksheet "</f>
        <v xml:space="preserve">Revenue Worksheet </v>
      </c>
      <c r="B1" s="58"/>
      <c r="C1" s="11"/>
      <c r="D1" s="59"/>
    </row>
    <row r="2" spans="1:21" s="1" customFormat="1" ht="6" customHeight="1">
      <c r="A2" s="2"/>
      <c r="B2" s="2"/>
      <c r="C2" s="2"/>
      <c r="D2" s="2"/>
    </row>
    <row r="4" spans="1:21" ht="2.25" customHeight="1">
      <c r="A4" s="54"/>
      <c r="D4" s="5"/>
    </row>
    <row r="5" spans="1:21" ht="20.25" customHeight="1">
      <c r="A5" s="60"/>
      <c r="D5" s="5"/>
      <c r="J5" s="5"/>
      <c r="K5" s="5"/>
    </row>
    <row r="6" spans="1:21" s="62" customFormat="1" ht="13.2">
      <c r="C6" s="64">
        <v>1</v>
      </c>
      <c r="D6" s="64">
        <v>2</v>
      </c>
      <c r="E6" s="61"/>
    </row>
    <row r="7" spans="1:21" s="172" customFormat="1" ht="45" customHeight="1">
      <c r="B7" s="174" t="s">
        <v>10</v>
      </c>
      <c r="C7" s="402" t="s">
        <v>27</v>
      </c>
      <c r="D7" s="403" t="s">
        <v>28</v>
      </c>
      <c r="E7" s="173"/>
      <c r="F7" s="173"/>
      <c r="G7" s="173"/>
      <c r="H7" s="173"/>
      <c r="I7" s="173"/>
      <c r="J7" s="173"/>
      <c r="K7" s="173"/>
    </row>
    <row r="8" spans="1:21" ht="9.75" customHeight="1">
      <c r="A8" s="423" t="s">
        <v>22</v>
      </c>
      <c r="B8" s="425"/>
      <c r="C8" s="425"/>
      <c r="D8" s="425"/>
    </row>
    <row r="9" spans="1:21">
      <c r="A9" s="424"/>
      <c r="B9" s="426"/>
      <c r="C9" s="426"/>
      <c r="D9" s="426"/>
    </row>
    <row r="10" spans="1:21" ht="24" customHeight="1">
      <c r="A10" s="246" t="s">
        <v>55</v>
      </c>
      <c r="B10" s="194">
        <f>SUM(C10:D10)</f>
        <v>161226461.48390108</v>
      </c>
      <c r="C10" s="284">
        <f>'Energy Throughput'!D12*1000000</f>
        <v>143611300.11353073</v>
      </c>
      <c r="D10" s="284">
        <f>'Energy Throughput'!E12*1000000</f>
        <v>17615161.370370373</v>
      </c>
      <c r="E10" s="177"/>
      <c r="F10" s="177"/>
      <c r="G10" s="177"/>
      <c r="H10" s="177"/>
      <c r="I10" s="177"/>
      <c r="J10" s="177"/>
      <c r="K10" s="177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ht="6" customHeight="1">
      <c r="A11" s="175"/>
      <c r="B11" s="178"/>
      <c r="C11" s="178"/>
      <c r="D11" s="178"/>
      <c r="E11" s="177"/>
      <c r="F11" s="177"/>
      <c r="G11" s="177"/>
      <c r="H11" s="177"/>
      <c r="I11" s="177"/>
      <c r="J11" s="177"/>
      <c r="K11" s="177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pans="1:21" s="63" customFormat="1" ht="13.2">
      <c r="A12" s="176" t="s">
        <v>48</v>
      </c>
      <c r="B12" s="181"/>
      <c r="C12" s="193">
        <v>0.80300000000000005</v>
      </c>
      <c r="D12" s="193">
        <v>0.80300000000000005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</row>
    <row r="13" spans="1:21" s="63" customFormat="1" ht="13.2">
      <c r="A13" s="176" t="s">
        <v>49</v>
      </c>
      <c r="B13" s="181"/>
      <c r="C13" s="193">
        <v>0.439</v>
      </c>
      <c r="D13" s="193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</row>
    <row r="14" spans="1:21" ht="6" customHeight="1">
      <c r="A14" s="175"/>
      <c r="B14" s="178"/>
      <c r="C14" s="178"/>
      <c r="D14" s="178"/>
      <c r="E14" s="177"/>
      <c r="F14" s="177"/>
      <c r="G14" s="177"/>
      <c r="H14" s="177"/>
      <c r="I14" s="177"/>
      <c r="J14" s="177"/>
      <c r="K14" s="177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1" s="63" customFormat="1" ht="13.2">
      <c r="A15" s="182" t="s">
        <v>24</v>
      </c>
      <c r="B15" s="181">
        <f>+SUM(C15:D15)</f>
        <v>192510209.32141259</v>
      </c>
      <c r="C15" s="183">
        <f>C10*C12+C10*C13</f>
        <v>178365234.74100518</v>
      </c>
      <c r="D15" s="183">
        <f>D10*D12+D10*D13</f>
        <v>14144974.580407411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</row>
    <row r="16" spans="1:21" ht="6" customHeight="1">
      <c r="A16" s="175"/>
      <c r="B16" s="178"/>
      <c r="C16" s="179"/>
      <c r="D16" s="179"/>
      <c r="E16" s="177"/>
      <c r="F16" s="177"/>
      <c r="G16" s="177"/>
      <c r="H16" s="177"/>
      <c r="I16" s="177"/>
      <c r="J16" s="177"/>
      <c r="K16" s="177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8" spans="1:4">
      <c r="A18" s="427" t="s">
        <v>50</v>
      </c>
    </row>
    <row r="19" spans="1:4" ht="11.25" customHeight="1">
      <c r="A19" s="424" t="s">
        <v>50</v>
      </c>
    </row>
    <row r="20" spans="1:4" ht="12.75" customHeight="1">
      <c r="A20" s="176" t="s">
        <v>51</v>
      </c>
      <c r="B20" s="181">
        <f>'Functionalized Accounts'!F4</f>
        <v>184890932.87757918</v>
      </c>
      <c r="C20" s="183"/>
      <c r="D20" s="183"/>
    </row>
    <row r="21" spans="1:4" ht="12.75" customHeight="1">
      <c r="A21" s="176" t="s">
        <v>52</v>
      </c>
      <c r="B21" s="181"/>
      <c r="C21" s="283">
        <f>B20/B10</f>
        <v>1.1467778376816951</v>
      </c>
      <c r="D21" s="283">
        <f>C21</f>
        <v>1.1467778376816951</v>
      </c>
    </row>
    <row r="22" spans="1:4" ht="12.75" customHeight="1">
      <c r="A22" s="176" t="s">
        <v>53</v>
      </c>
      <c r="B22" s="181"/>
      <c r="C22" s="183">
        <f>C21*C10</f>
        <v>164690256.21085173</v>
      </c>
      <c r="D22" s="183">
        <f>D21*D10</f>
        <v>20200676.666727461</v>
      </c>
    </row>
    <row r="23" spans="1:4" ht="13.2">
      <c r="A23" s="175"/>
      <c r="B23" s="178"/>
      <c r="C23" s="179"/>
      <c r="D23" s="179"/>
    </row>
  </sheetData>
  <mergeCells count="3">
    <mergeCell ref="A8:A9"/>
    <mergeCell ref="B8:D9"/>
    <mergeCell ref="A18:A19"/>
  </mergeCells>
  <phoneticPr fontId="36" type="noConversion"/>
  <pageMargins left="0.39370078740157499" right="0.39370078740157499" top="0.74803149606299202" bottom="0.74803149606299202" header="0.31496062992126" footer="0.31496062992126"/>
  <pageSetup fitToHeight="5" orientation="landscape" r:id="rId1"/>
  <headerFooter>
    <oddFooter>&amp;L&amp;Z&amp;F -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tabColor indexed="42"/>
    <pageSetUpPr fitToPage="1"/>
  </sheetPr>
  <dimension ref="A1:E15"/>
  <sheetViews>
    <sheetView workbookViewId="0">
      <selection activeCell="C13" sqref="C13"/>
    </sheetView>
  </sheetViews>
  <sheetFormatPr defaultColWidth="8.44140625" defaultRowHeight="10.199999999999999"/>
  <cols>
    <col min="1" max="1" width="23.88671875" style="79" customWidth="1"/>
    <col min="2" max="2" width="12.5546875" style="79" customWidth="1"/>
    <col min="3" max="4" width="15.6640625" style="78" customWidth="1"/>
    <col min="5" max="5" width="11.33203125" style="78" bestFit="1" customWidth="1"/>
    <col min="6" max="16384" width="8.44140625" style="78"/>
  </cols>
  <sheetData>
    <row r="1" spans="1:5" s="1" customFormat="1" ht="21" customHeight="1">
      <c r="A1" s="57" t="str">
        <f>"Demand Data Worksheet "</f>
        <v xml:space="preserve">Demand Data Worksheet </v>
      </c>
      <c r="B1" s="58"/>
      <c r="C1" s="58"/>
      <c r="D1" s="11"/>
      <c r="E1" s="59"/>
    </row>
    <row r="2" spans="1:5" s="1" customFormat="1" ht="6" customHeight="1">
      <c r="A2" s="2"/>
      <c r="B2" s="2"/>
      <c r="C2" s="2"/>
      <c r="D2" s="2"/>
      <c r="E2" s="2"/>
    </row>
    <row r="3" spans="1:5" ht="10.8" thickBot="1"/>
    <row r="4" spans="1:5" ht="19.5" customHeight="1" thickBot="1">
      <c r="D4" s="85">
        <v>1</v>
      </c>
      <c r="E4" s="86">
        <v>2</v>
      </c>
    </row>
    <row r="5" spans="1:5" ht="16.2" thickBot="1">
      <c r="A5" s="430" t="s">
        <v>9</v>
      </c>
      <c r="B5" s="430"/>
      <c r="C5" s="83" t="s">
        <v>10</v>
      </c>
      <c r="D5" s="245" t="str">
        <f>Revenue!C7</f>
        <v>Domestic</v>
      </c>
      <c r="E5" s="82" t="str">
        <f>Revenue!D7</f>
        <v>Export</v>
      </c>
    </row>
    <row r="6" spans="1:5" ht="10.8" thickBot="1">
      <c r="C6" s="286"/>
      <c r="D6" s="288"/>
      <c r="E6" s="287"/>
    </row>
    <row r="7" spans="1:5" ht="14.4" thickTop="1" thickBot="1">
      <c r="A7" s="428" t="s">
        <v>39</v>
      </c>
      <c r="B7" s="429"/>
      <c r="C7" s="84"/>
      <c r="D7" s="289"/>
      <c r="E7" s="81"/>
    </row>
    <row r="8" spans="1:5" ht="10.8" thickTop="1">
      <c r="B8" s="80"/>
      <c r="C8" s="84"/>
      <c r="D8" s="289"/>
      <c r="E8" s="81"/>
    </row>
    <row r="9" spans="1:5" ht="13.2">
      <c r="A9" s="199" t="s">
        <v>136</v>
      </c>
      <c r="B9" s="80"/>
      <c r="C9" s="84"/>
      <c r="D9" s="291">
        <v>139.74132282170191</v>
      </c>
      <c r="E9" s="292"/>
    </row>
    <row r="10" spans="1:5" ht="13.2">
      <c r="A10" s="199" t="s">
        <v>137</v>
      </c>
      <c r="B10" s="80"/>
      <c r="C10" s="84"/>
      <c r="D10" s="309">
        <v>-3.0743091020774398</v>
      </c>
      <c r="E10" s="292"/>
    </row>
    <row r="11" spans="1:5" ht="13.2">
      <c r="A11" s="199" t="s">
        <v>138</v>
      </c>
      <c r="B11" s="80"/>
      <c r="C11" s="401"/>
      <c r="D11" s="291">
        <v>6.944286393906264</v>
      </c>
      <c r="E11" s="292"/>
    </row>
    <row r="12" spans="1:5" ht="13.2">
      <c r="A12" s="199" t="s">
        <v>55</v>
      </c>
      <c r="B12" s="285" t="s">
        <v>127</v>
      </c>
      <c r="C12" s="290">
        <f>SUM(D12:E12)</f>
        <v>161.22646148390109</v>
      </c>
      <c r="D12" s="291">
        <f>SUM(D9:D11)</f>
        <v>143.61130011353072</v>
      </c>
      <c r="E12" s="292">
        <v>17.615161370370373</v>
      </c>
    </row>
    <row r="13" spans="1:5" ht="13.8" thickBot="1">
      <c r="A13" s="199" t="s">
        <v>40</v>
      </c>
      <c r="B13" s="285" t="s">
        <v>132</v>
      </c>
      <c r="C13" s="400">
        <f>SUM(D13:E13)</f>
        <v>143.61130011353072</v>
      </c>
      <c r="D13" s="293">
        <f>D12</f>
        <v>143.61130011353072</v>
      </c>
      <c r="E13" s="294"/>
    </row>
    <row r="14" spans="1:5">
      <c r="C14" s="295"/>
      <c r="D14" s="295"/>
      <c r="E14" s="295"/>
    </row>
    <row r="15" spans="1:5">
      <c r="C15" s="295"/>
      <c r="D15" s="295"/>
      <c r="E15" s="295"/>
    </row>
  </sheetData>
  <mergeCells count="2">
    <mergeCell ref="A7:B7"/>
    <mergeCell ref="A5:B5"/>
  </mergeCells>
  <phoneticPr fontId="0" type="noConversion"/>
  <pageMargins left="0.39370078740157499" right="0.39370078740157499" top="0.39370078740157499" bottom="0.39370078740157499" header="0.511811023622047" footer="0.511811023622047"/>
  <pageSetup orientation="landscape" horizontalDpi="300" verticalDpi="300" r:id="rId1"/>
  <headerFooter alignWithMargins="0">
    <oddFooter>&amp;L&amp;Z&amp;F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6">
    <tabColor indexed="9"/>
    <pageSetUpPr fitToPage="1"/>
  </sheetPr>
  <dimension ref="A1:N46"/>
  <sheetViews>
    <sheetView zoomScaleNormal="100" workbookViewId="0"/>
  </sheetViews>
  <sheetFormatPr defaultColWidth="9.109375" defaultRowHeight="10.199999999999999"/>
  <cols>
    <col min="1" max="1" width="10.5546875" style="73" customWidth="1"/>
    <col min="2" max="2" width="50.5546875" style="6" bestFit="1" customWidth="1"/>
    <col min="3" max="3" width="15.6640625" style="90" customWidth="1"/>
    <col min="4" max="4" width="15.6640625" style="91" customWidth="1"/>
    <col min="5" max="5" width="13.44140625" style="91" bestFit="1" customWidth="1"/>
    <col min="6" max="6" width="12.33203125" style="6" customWidth="1"/>
    <col min="7" max="7" width="9.33203125" style="6" bestFit="1" customWidth="1"/>
    <col min="8" max="8" width="13.5546875" style="6" bestFit="1" customWidth="1"/>
    <col min="9" max="9" width="12.44140625" style="6" bestFit="1" customWidth="1"/>
    <col min="10" max="10" width="10" style="6" bestFit="1" customWidth="1"/>
    <col min="11" max="11" width="9" style="6" bestFit="1" customWidth="1"/>
    <col min="12" max="12" width="10" style="6" bestFit="1" customWidth="1"/>
    <col min="13" max="13" width="8.88671875" style="6" bestFit="1" customWidth="1"/>
    <col min="14" max="14" width="12" style="6" bestFit="1" customWidth="1"/>
    <col min="15" max="16384" width="9.109375" style="6"/>
  </cols>
  <sheetData>
    <row r="1" spans="1:14" s="1" customFormat="1" ht="21" customHeight="1">
      <c r="A1" s="57" t="str">
        <f>"Revenue to Cost Summary Worksheet "</f>
        <v xml:space="preserve">Revenue to Cost Summary Worksheet </v>
      </c>
      <c r="B1" s="58"/>
      <c r="C1" s="87"/>
      <c r="D1" s="87"/>
      <c r="E1" s="59"/>
    </row>
    <row r="2" spans="1:14" s="1" customFormat="1" ht="6" customHeight="1">
      <c r="A2" s="2"/>
      <c r="B2" s="2"/>
      <c r="C2" s="88"/>
      <c r="D2" s="88"/>
      <c r="E2" s="2"/>
    </row>
    <row r="3" spans="1:14" ht="12" customHeight="1"/>
    <row r="4" spans="1:14" ht="12" customHeight="1">
      <c r="A4" s="92"/>
      <c r="B4" s="93"/>
    </row>
    <row r="5" spans="1:14">
      <c r="B5" s="3"/>
      <c r="C5" s="3"/>
      <c r="D5" s="3"/>
      <c r="E5" s="3"/>
    </row>
    <row r="6" spans="1:14" ht="15.9" customHeight="1" thickBot="1">
      <c r="A6" s="94"/>
      <c r="B6" s="95"/>
      <c r="C6" s="434"/>
      <c r="D6" s="434"/>
      <c r="E6" s="434"/>
    </row>
    <row r="7" spans="1:14" s="98" customFormat="1" ht="15.9" customHeight="1">
      <c r="A7" s="96"/>
      <c r="B7" s="97"/>
      <c r="C7" s="103"/>
      <c r="D7" s="104">
        <v>1</v>
      </c>
      <c r="E7" s="104">
        <v>2</v>
      </c>
    </row>
    <row r="8" spans="1:14" ht="13.2">
      <c r="A8" s="101"/>
      <c r="B8" s="89"/>
      <c r="C8" s="108" t="s">
        <v>10</v>
      </c>
      <c r="D8" s="404" t="str">
        <f>Revenue!C7</f>
        <v>Domestic</v>
      </c>
      <c r="E8" s="404" t="str">
        <f>Revenue!D7</f>
        <v>Export</v>
      </c>
      <c r="G8" s="435" t="s">
        <v>151</v>
      </c>
      <c r="H8" s="435"/>
      <c r="I8" s="435"/>
      <c r="J8" s="435"/>
      <c r="K8" s="435"/>
      <c r="L8" s="435"/>
      <c r="M8" s="435"/>
      <c r="N8" s="435"/>
    </row>
    <row r="9" spans="1:14" ht="13.2">
      <c r="A9" s="101"/>
      <c r="B9" s="89"/>
      <c r="C9" s="108"/>
      <c r="D9" s="238"/>
      <c r="E9" s="238"/>
      <c r="G9" s="310"/>
      <c r="H9" s="437" t="s">
        <v>142</v>
      </c>
      <c r="I9" s="439" t="s">
        <v>143</v>
      </c>
      <c r="J9" s="436" t="s">
        <v>144</v>
      </c>
      <c r="K9" s="436"/>
      <c r="L9" s="436"/>
      <c r="M9" s="441" t="s">
        <v>148</v>
      </c>
      <c r="N9" s="442"/>
    </row>
    <row r="10" spans="1:14" ht="13.2">
      <c r="A10" s="101"/>
      <c r="B10" s="273" t="s">
        <v>43</v>
      </c>
      <c r="C10" s="109">
        <f>SUM(D10:E10)</f>
        <v>192510209.32141259</v>
      </c>
      <c r="D10" s="105">
        <f>Revenue!C15</f>
        <v>178365234.74100518</v>
      </c>
      <c r="E10" s="105">
        <f>Revenue!D15</f>
        <v>14144974.580407411</v>
      </c>
      <c r="G10" s="310"/>
      <c r="H10" s="438"/>
      <c r="I10" s="440"/>
      <c r="J10" s="313" t="s">
        <v>145</v>
      </c>
      <c r="K10" s="313" t="s">
        <v>146</v>
      </c>
      <c r="L10" s="313" t="s">
        <v>147</v>
      </c>
      <c r="M10" s="313" t="s">
        <v>149</v>
      </c>
      <c r="N10" s="313" t="s">
        <v>150</v>
      </c>
    </row>
    <row r="11" spans="1:14" ht="13.2">
      <c r="A11" s="101"/>
      <c r="B11" s="274" t="s">
        <v>179</v>
      </c>
      <c r="C11" s="275">
        <f>C29/C10</f>
        <v>0.96042144221498227</v>
      </c>
      <c r="D11" s="238"/>
      <c r="E11" s="238"/>
      <c r="G11" s="311" t="s">
        <v>27</v>
      </c>
      <c r="H11" s="312">
        <f>D29</f>
        <v>167215373.73572481</v>
      </c>
      <c r="I11" s="314">
        <f>D38</f>
        <v>143611300.11353073</v>
      </c>
      <c r="J11" s="315">
        <f>H11/I11</f>
        <v>1.1643608379252475</v>
      </c>
      <c r="K11" s="315">
        <f>H11/I11*0.8</f>
        <v>0.931488670340198</v>
      </c>
      <c r="L11" s="315">
        <f>H11/I11*1.2</f>
        <v>1.3972330055102968</v>
      </c>
      <c r="M11" s="315">
        <f>J$13</f>
        <v>1.1467778376816953</v>
      </c>
      <c r="N11" s="316">
        <f>M11/J11</f>
        <v>0.98489901096735355</v>
      </c>
    </row>
    <row r="12" spans="1:14" ht="13.2">
      <c r="A12" s="101"/>
      <c r="B12" s="273" t="s">
        <v>54</v>
      </c>
      <c r="C12" s="109">
        <f>SUM(D12:E12)</f>
        <v>184890932.87757918</v>
      </c>
      <c r="D12" s="105">
        <f>D10*$C11</f>
        <v>171305795.99097005</v>
      </c>
      <c r="E12" s="105">
        <f>E10*$C11</f>
        <v>13585136.88660915</v>
      </c>
      <c r="G12" s="311" t="s">
        <v>28</v>
      </c>
      <c r="H12" s="312">
        <f>E33</f>
        <v>17675559.141854391</v>
      </c>
      <c r="I12" s="314">
        <f>E38</f>
        <v>17615161.370370373</v>
      </c>
      <c r="J12" s="315">
        <f>H12/I12</f>
        <v>1.0034287379044742</v>
      </c>
      <c r="K12" s="315">
        <f t="shared" ref="K12" si="0">H12/I12*0.8</f>
        <v>0.80274299032357943</v>
      </c>
      <c r="L12" s="315">
        <f t="shared" ref="L12" si="1">H12/I12*1.2</f>
        <v>1.2041144854853689</v>
      </c>
      <c r="M12" s="315">
        <f>J$13</f>
        <v>1.1467778376816953</v>
      </c>
      <c r="N12" s="316">
        <f t="shared" ref="N12:N13" si="2">M12/J12</f>
        <v>1.1428592727736564</v>
      </c>
    </row>
    <row r="13" spans="1:14" ht="13.2">
      <c r="A13" s="101"/>
      <c r="B13" s="273"/>
      <c r="C13" s="109"/>
      <c r="D13" s="105"/>
      <c r="E13" s="105"/>
      <c r="G13" s="311" t="s">
        <v>152</v>
      </c>
      <c r="H13" s="312">
        <f>C33</f>
        <v>184890932.87757921</v>
      </c>
      <c r="I13" s="314">
        <f>C38</f>
        <v>161226461.48390108</v>
      </c>
      <c r="J13" s="315">
        <f>H13/I13</f>
        <v>1.1467778376816953</v>
      </c>
      <c r="K13" s="315"/>
      <c r="L13" s="315"/>
      <c r="M13" s="315">
        <f>J$13</f>
        <v>1.1467778376816953</v>
      </c>
      <c r="N13" s="316">
        <f t="shared" si="2"/>
        <v>1</v>
      </c>
    </row>
    <row r="14" spans="1:14" ht="13.2">
      <c r="A14" s="101"/>
      <c r="B14" s="273" t="s">
        <v>44</v>
      </c>
      <c r="C14" s="109">
        <f>SUM(D14:E14)</f>
        <v>184890932.87757918</v>
      </c>
      <c r="D14" s="105">
        <f>Revenue!C22</f>
        <v>164690256.21085173</v>
      </c>
      <c r="E14" s="105">
        <f>Revenue!D22</f>
        <v>20200676.666727461</v>
      </c>
    </row>
    <row r="15" spans="1:14" ht="13.2">
      <c r="A15" s="101"/>
      <c r="B15" s="89"/>
      <c r="C15" s="108"/>
      <c r="D15" s="238"/>
      <c r="E15" s="238"/>
    </row>
    <row r="16" spans="1:14" ht="13.2">
      <c r="A16" s="101"/>
      <c r="B16" s="89"/>
      <c r="C16" s="108"/>
      <c r="D16" s="238"/>
      <c r="E16" s="238"/>
    </row>
    <row r="17" spans="1:5" ht="13.2">
      <c r="A17" s="110"/>
      <c r="B17" s="112" t="s">
        <v>12</v>
      </c>
      <c r="C17" s="109"/>
      <c r="D17" s="105"/>
      <c r="E17" s="105"/>
    </row>
    <row r="18" spans="1:5" ht="13.2">
      <c r="A18" s="110" t="s">
        <v>113</v>
      </c>
      <c r="B18" s="237" t="s">
        <v>113</v>
      </c>
      <c r="C18" s="109">
        <f>SUM(D18:E18)</f>
        <v>6773156.4168998925</v>
      </c>
      <c r="D18" s="105">
        <f>SUMIF('Summary by Class &amp; Accounts'!$C$9:$C$69, 'Revenue to Cost|RR'!$A18,'Summary by Class &amp; Accounts'!E$9:E$69)</f>
        <v>4553870.0517171482</v>
      </c>
      <c r="E18" s="105">
        <f>SUMIF('Summary by Class &amp; Accounts'!$C$9:$C$69, 'Revenue to Cost|RR'!$A18,'Summary by Class &amp; Accounts'!F$9:F$69)</f>
        <v>2219286.3651827443</v>
      </c>
    </row>
    <row r="19" spans="1:5" ht="13.2">
      <c r="A19" s="110" t="s">
        <v>114</v>
      </c>
      <c r="B19" s="75" t="s">
        <v>60</v>
      </c>
      <c r="C19" s="109">
        <f t="shared" ref="C19:C26" si="3">SUM(D19:E19)</f>
        <v>35267943.587683544</v>
      </c>
      <c r="D19" s="105">
        <f>SUMIF('Summary by Class &amp; Accounts'!$C$9:$C$69, 'Revenue to Cost|RR'!$A19,'Summary by Class &amp; Accounts'!E$9:E$69)</f>
        <v>31414664.716583356</v>
      </c>
      <c r="E19" s="105">
        <f>SUMIF('Summary by Class &amp; Accounts'!$C$9:$C$69, 'Revenue to Cost|RR'!$A19,'Summary by Class &amp; Accounts'!F$9:F$69)</f>
        <v>3853278.8711001901</v>
      </c>
    </row>
    <row r="20" spans="1:5" ht="13.2">
      <c r="A20" s="110" t="s">
        <v>115</v>
      </c>
      <c r="B20" s="237" t="s">
        <v>121</v>
      </c>
      <c r="C20" s="109">
        <f t="shared" si="3"/>
        <v>19315098.000000004</v>
      </c>
      <c r="D20" s="105">
        <f>SUMIF('Summary by Class &amp; Accounts'!$C$9:$C$69, 'Revenue to Cost|RR'!$A20,'Summary by Class &amp; Accounts'!E$9:E$69)</f>
        <v>18673426.075965434</v>
      </c>
      <c r="E20" s="105">
        <f>SUMIF('Summary by Class &amp; Accounts'!$C$9:$C$69, 'Revenue to Cost|RR'!$A20,'Summary by Class &amp; Accounts'!F$9:F$69)</f>
        <v>641671.9240345679</v>
      </c>
    </row>
    <row r="21" spans="1:5" ht="13.2">
      <c r="A21" s="110" t="s">
        <v>116</v>
      </c>
      <c r="B21" s="237" t="s">
        <v>120</v>
      </c>
      <c r="C21" s="109">
        <f t="shared" si="3"/>
        <v>17571654.289423287</v>
      </c>
      <c r="D21" s="105">
        <f>SUMIF('Summary by Class &amp; Accounts'!$C$9:$C$69, 'Revenue to Cost|RR'!$A21,'Summary by Class &amp; Accounts'!E$9:E$69)</f>
        <v>16627255.16013612</v>
      </c>
      <c r="E21" s="105">
        <f>SUMIF('Summary by Class &amp; Accounts'!$C$9:$C$69, 'Revenue to Cost|RR'!$A21,'Summary by Class &amp; Accounts'!F$9:F$69)</f>
        <v>944399.12928716769</v>
      </c>
    </row>
    <row r="22" spans="1:5" ht="13.2">
      <c r="A22" s="110" t="s">
        <v>126</v>
      </c>
      <c r="B22" s="237" t="s">
        <v>122</v>
      </c>
      <c r="C22" s="109">
        <f t="shared" si="3"/>
        <v>44250058.000000007</v>
      </c>
      <c r="D22" s="105">
        <f>SUMIF('Summary by Class &amp; Accounts'!$C$9:$C$69, 'Revenue to Cost|RR'!$A22,'Summary by Class &amp; Accounts'!E$9:E$69)</f>
        <v>40094219.03969615</v>
      </c>
      <c r="E22" s="105">
        <f>SUMIF('Summary by Class &amp; Accounts'!$C$9:$C$69, 'Revenue to Cost|RR'!$A22,'Summary by Class &amp; Accounts'!F$9:F$69)</f>
        <v>4155838.9603038589</v>
      </c>
    </row>
    <row r="23" spans="1:5" ht="13.2">
      <c r="A23" s="110" t="s">
        <v>117</v>
      </c>
      <c r="B23" s="237" t="s">
        <v>123</v>
      </c>
      <c r="C23" s="109">
        <f t="shared" si="3"/>
        <v>15037219</v>
      </c>
      <c r="D23" s="105">
        <f>SUMIF('Summary by Class &amp; Accounts'!$C$9:$C$69, 'Revenue to Cost|RR'!$A23,'Summary by Class &amp; Accounts'!E$9:E$69)</f>
        <v>14057872.470748948</v>
      </c>
      <c r="E23" s="105">
        <f>SUMIF('Summary by Class &amp; Accounts'!$C$9:$C$69, 'Revenue to Cost|RR'!$A23,'Summary by Class &amp; Accounts'!F$9:F$69)</f>
        <v>979346.52925105195</v>
      </c>
    </row>
    <row r="24" spans="1:5" ht="13.2">
      <c r="A24" s="110" t="s">
        <v>118</v>
      </c>
      <c r="B24" s="237" t="s">
        <v>124</v>
      </c>
      <c r="C24" s="109">
        <f t="shared" si="3"/>
        <v>16350900.374160003</v>
      </c>
      <c r="D24" s="105">
        <f>SUMIF('Summary by Class &amp; Accounts'!$C$9:$C$69, 'Revenue to Cost|RR'!$A24,'Summary by Class &amp; Accounts'!E$9:E$69)</f>
        <v>14679159.225287102</v>
      </c>
      <c r="E24" s="105">
        <f>SUMIF('Summary by Class &amp; Accounts'!$C$9:$C$69, 'Revenue to Cost|RR'!$A24,'Summary by Class &amp; Accounts'!F$9:F$69)</f>
        <v>1671741.1488729005</v>
      </c>
    </row>
    <row r="25" spans="1:5" ht="13.2">
      <c r="A25" s="110" t="s">
        <v>94</v>
      </c>
      <c r="B25" s="75" t="s">
        <v>94</v>
      </c>
      <c r="C25" s="109">
        <f t="shared" si="3"/>
        <v>3612409.6494124699</v>
      </c>
      <c r="D25" s="105">
        <f>SUMIF('Summary by Class &amp; Accounts'!$C$9:$C$69, 'Revenue to Cost|RR'!$A25,'Summary by Class &amp; Accounts'!E$9:E$69)</f>
        <v>3217727.6702595772</v>
      </c>
      <c r="E25" s="105">
        <f>SUMIF('Summary by Class &amp; Accounts'!$C$9:$C$69, 'Revenue to Cost|RR'!$A25,'Summary by Class &amp; Accounts'!F$9:F$69)</f>
        <v>394681.97915289277</v>
      </c>
    </row>
    <row r="26" spans="1:5" ht="13.2">
      <c r="A26" s="110" t="s">
        <v>119</v>
      </c>
      <c r="B26" s="237" t="s">
        <v>125</v>
      </c>
      <c r="C26" s="109">
        <f t="shared" si="3"/>
        <v>6728736.3800000018</v>
      </c>
      <c r="D26" s="105">
        <f>SUMIF('Summary by Class &amp; Accounts'!$C$9:$C$69, 'Revenue to Cost|RR'!$A26,'Summary by Class &amp; Accounts'!E$9:E$69)</f>
        <v>6096792.6930195699</v>
      </c>
      <c r="E26" s="105">
        <f>SUMIF('Summary by Class &amp; Accounts'!$C$9:$C$69, 'Revenue to Cost|RR'!$A26,'Summary by Class &amp; Accounts'!F$9:F$69)</f>
        <v>631943.68698043178</v>
      </c>
    </row>
    <row r="27" spans="1:5" ht="13.2">
      <c r="A27" s="110" t="s">
        <v>110</v>
      </c>
      <c r="B27" s="237" t="s">
        <v>56</v>
      </c>
      <c r="C27" s="109">
        <f>SUM(D27:E27)</f>
        <v>1284000.18</v>
      </c>
      <c r="D27" s="105">
        <f>SUMIF('Summary by Class &amp; Accounts'!$C$9:$C$69, 'Revenue to Cost|RR'!$A27,'Summary by Class &amp; Accounts'!E$9:E$69)</f>
        <v>1143713.8388987095</v>
      </c>
      <c r="E27" s="105">
        <f>SUMIF('Summary by Class &amp; Accounts'!$C$9:$C$69, 'Revenue to Cost|RR'!$A27,'Summary by Class &amp; Accounts'!F$9:F$69)</f>
        <v>140286.3411012904</v>
      </c>
    </row>
    <row r="28" spans="1:5" ht="13.8" thickBot="1">
      <c r="A28" s="110" t="s">
        <v>31</v>
      </c>
      <c r="B28" s="75" t="s">
        <v>32</v>
      </c>
      <c r="C28" s="109">
        <f>SUM(D28:E28)</f>
        <v>18699757</v>
      </c>
      <c r="D28" s="105">
        <f>SUMIF('Summary by Class &amp; Accounts'!$C$9:$C$69, 'Revenue to Cost|RR'!$A28,'Summary by Class &amp; Accounts'!E$9:E$69)</f>
        <v>16656672.793412706</v>
      </c>
      <c r="E28" s="105">
        <f>SUMIF('Summary by Class &amp; Accounts'!$C$9:$C$69, 'Revenue to Cost|RR'!$A28,'Summary by Class &amp; Accounts'!F$9:F$69)</f>
        <v>2043084.2065872941</v>
      </c>
    </row>
    <row r="29" spans="1:5" s="4" customFormat="1" ht="13.8" thickBot="1">
      <c r="A29" s="110"/>
      <c r="B29" s="112" t="s">
        <v>51</v>
      </c>
      <c r="C29" s="271">
        <f>SUM(C18:C28)</f>
        <v>184890932.87757921</v>
      </c>
      <c r="D29" s="272">
        <f>SUM(D18:D28)</f>
        <v>167215373.73572481</v>
      </c>
      <c r="E29" s="272">
        <f>SUM(E18:E28)</f>
        <v>17675559.141854391</v>
      </c>
    </row>
    <row r="30" spans="1:5" ht="16.5" customHeight="1" thickTop="1">
      <c r="A30" s="111"/>
      <c r="B30" s="75"/>
      <c r="C30" s="431" t="str">
        <f>IFERROR(IF(ROUND('Functionalized Accounts'!F59-C29,-1)=0,"Revenue Requirement Input equals Output","Revenue Requirement Input Does Not Equal Output"),"-")</f>
        <v>Revenue Requirement Input equals Output</v>
      </c>
      <c r="D30" s="432"/>
      <c r="E30" s="433"/>
    </row>
    <row r="31" spans="1:5" ht="13.2">
      <c r="A31" s="110"/>
      <c r="B31" s="75"/>
      <c r="C31" s="109"/>
      <c r="D31" s="105"/>
      <c r="E31" s="105"/>
    </row>
    <row r="32" spans="1:5" ht="13.8" thickBot="1">
      <c r="A32" s="110"/>
      <c r="B32" s="75"/>
      <c r="C32" s="109"/>
      <c r="D32" s="105"/>
      <c r="E32" s="105"/>
    </row>
    <row r="33" spans="1:5" ht="13.8" thickBot="1">
      <c r="A33" s="110"/>
      <c r="B33" s="113" t="s">
        <v>37</v>
      </c>
      <c r="C33" s="114">
        <f>C29</f>
        <v>184890932.87757921</v>
      </c>
      <c r="D33" s="114">
        <f>D29</f>
        <v>167215373.73572481</v>
      </c>
      <c r="E33" s="114">
        <f>E29</f>
        <v>17675559.141854391</v>
      </c>
    </row>
    <row r="34" spans="1:5" ht="13.8" thickTop="1">
      <c r="A34" s="110"/>
      <c r="B34" s="75"/>
      <c r="C34" s="109"/>
      <c r="D34" s="407"/>
      <c r="E34" s="407"/>
    </row>
    <row r="35" spans="1:5" ht="13.2">
      <c r="A35" s="110"/>
      <c r="B35" s="112" t="s">
        <v>173</v>
      </c>
      <c r="C35" s="276">
        <v>1</v>
      </c>
      <c r="D35" s="277">
        <f>D12/D33</f>
        <v>1.0244619987018055</v>
      </c>
      <c r="E35" s="277">
        <f>E12/E33</f>
        <v>0.76858314792659488</v>
      </c>
    </row>
    <row r="36" spans="1:5" ht="13.2">
      <c r="A36" s="110"/>
      <c r="B36" s="112" t="s">
        <v>45</v>
      </c>
      <c r="C36" s="276">
        <v>1</v>
      </c>
      <c r="D36" s="277">
        <f>D14/D33</f>
        <v>0.98489901096735344</v>
      </c>
      <c r="E36" s="277">
        <f>E14/E33</f>
        <v>1.1428592727736562</v>
      </c>
    </row>
    <row r="37" spans="1:5" ht="13.2">
      <c r="A37" s="110"/>
      <c r="B37" s="237"/>
      <c r="C37" s="240"/>
      <c r="D37" s="105"/>
      <c r="E37" s="239"/>
    </row>
    <row r="38" spans="1:5" ht="13.2">
      <c r="A38" s="110"/>
      <c r="B38" s="237" t="s">
        <v>38</v>
      </c>
      <c r="C38" s="398">
        <f>SUM(D38:E38)</f>
        <v>161226461.48390108</v>
      </c>
      <c r="D38" s="399">
        <f>'Energy Throughput'!D12*1000000</f>
        <v>143611300.11353073</v>
      </c>
      <c r="E38" s="399">
        <f>'Energy Throughput'!E12*1000000</f>
        <v>17615161.370370373</v>
      </c>
    </row>
    <row r="39" spans="1:5" ht="13.8" thickBot="1">
      <c r="A39" s="6"/>
      <c r="B39" s="237"/>
      <c r="C39" s="243"/>
      <c r="D39" s="244"/>
      <c r="E39" s="244"/>
    </row>
    <row r="40" spans="1:5" s="4" customFormat="1" ht="23.25" customHeight="1" thickBot="1">
      <c r="B40" s="241" t="s">
        <v>46</v>
      </c>
      <c r="C40" s="242"/>
      <c r="D40" s="408">
        <f>D33/D38</f>
        <v>1.1643608379252475</v>
      </c>
      <c r="E40" s="408">
        <f>E33/E38</f>
        <v>1.0034287379044742</v>
      </c>
    </row>
    <row r="41" spans="1:5" ht="13.2">
      <c r="A41" s="110"/>
      <c r="B41" s="237"/>
      <c r="C41" s="240"/>
      <c r="D41" s="105"/>
      <c r="E41" s="239"/>
    </row>
    <row r="42" spans="1:5" ht="13.2">
      <c r="A42" s="110"/>
      <c r="B42" s="112" t="s">
        <v>47</v>
      </c>
      <c r="C42" s="279"/>
      <c r="D42" s="280"/>
      <c r="E42" s="281">
        <f>E40/D40</f>
        <v>0.86178502850754135</v>
      </c>
    </row>
    <row r="43" spans="1:5" ht="13.8" thickBot="1">
      <c r="A43" s="6"/>
      <c r="B43" s="237"/>
      <c r="C43" s="243"/>
      <c r="D43" s="244"/>
      <c r="E43" s="278"/>
    </row>
    <row r="44" spans="1:5" ht="13.2">
      <c r="A44" s="102"/>
      <c r="B44" s="67"/>
    </row>
    <row r="45" spans="1:5" ht="13.2">
      <c r="A45" s="100"/>
    </row>
    <row r="46" spans="1:5" ht="13.2">
      <c r="A46" s="100"/>
    </row>
  </sheetData>
  <mergeCells count="7">
    <mergeCell ref="C30:E30"/>
    <mergeCell ref="C6:E6"/>
    <mergeCell ref="G8:N8"/>
    <mergeCell ref="J9:L9"/>
    <mergeCell ref="H9:H10"/>
    <mergeCell ref="I9:I10"/>
    <mergeCell ref="M9:N9"/>
  </mergeCells>
  <phoneticPr fontId="6" type="noConversion"/>
  <conditionalFormatting sqref="C30">
    <cfRule type="cellIs" dxfId="0" priority="3" stopIfTrue="1" operator="equal">
      <formula>"Error"</formula>
    </cfRule>
  </conditionalFormatting>
  <pageMargins left="0.39370078740157499" right="0.39370078740157499" top="0.39370078740157499" bottom="0.39370078740157499" header="0.15748031496063" footer="0.511811023622047"/>
  <pageSetup scale="96" fitToHeight="3" orientation="portrait" r:id="rId1"/>
  <headerFooter alignWithMargins="0">
    <oddFooter>&amp;L&amp;Z&amp;F -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7">
    <tabColor indexed="9"/>
    <pageSetUpPr fitToPage="1"/>
  </sheetPr>
  <dimension ref="B1:F73"/>
  <sheetViews>
    <sheetView topLeftCell="A9" workbookViewId="0">
      <selection activeCell="A61" sqref="A61"/>
    </sheetView>
  </sheetViews>
  <sheetFormatPr defaultColWidth="9.109375" defaultRowHeight="10.199999999999999"/>
  <cols>
    <col min="1" max="1" width="2.5546875" style="6" customWidth="1"/>
    <col min="2" max="2" width="60.109375" style="7" bestFit="1" customWidth="1"/>
    <col min="3" max="3" width="12.5546875" style="70" customWidth="1"/>
    <col min="4" max="4" width="19.33203125" style="91" customWidth="1"/>
    <col min="5" max="5" width="16.44140625" style="91" bestFit="1" customWidth="1"/>
    <col min="6" max="6" width="12.33203125" style="91" bestFit="1" customWidth="1"/>
    <col min="7" max="16384" width="9.109375" style="6"/>
  </cols>
  <sheetData>
    <row r="1" spans="2:6" s="1" customFormat="1" ht="21" customHeight="1">
      <c r="B1" s="57" t="s">
        <v>176</v>
      </c>
      <c r="C1" s="87"/>
      <c r="D1" s="87"/>
      <c r="E1" s="59"/>
    </row>
    <row r="2" spans="2:6" s="1" customFormat="1" ht="6" customHeight="1">
      <c r="B2" s="2"/>
      <c r="C2" s="88"/>
      <c r="D2" s="88"/>
      <c r="E2" s="2"/>
      <c r="F2" s="2"/>
    </row>
    <row r="4" spans="2:6" ht="11.25" customHeight="1">
      <c r="B4" s="230" t="s">
        <v>3</v>
      </c>
    </row>
    <row r="5" spans="2:6" ht="11.25" customHeight="1">
      <c r="B5" s="230"/>
    </row>
    <row r="6" spans="2:6" ht="10.8" thickBot="1">
      <c r="B6" s="117"/>
      <c r="E6" s="118"/>
      <c r="F6" s="118"/>
    </row>
    <row r="7" spans="2:6" s="120" customFormat="1" ht="25.5" customHeight="1" thickBot="1">
      <c r="B7" s="119"/>
      <c r="C7" s="125"/>
      <c r="D7" s="126"/>
      <c r="E7" s="127">
        <v>1</v>
      </c>
      <c r="F7" s="128">
        <v>2</v>
      </c>
    </row>
    <row r="8" spans="2:6" s="77" customFormat="1" ht="45.75" customHeight="1" thickBot="1">
      <c r="B8" s="106" t="s">
        <v>0</v>
      </c>
      <c r="C8" s="123" t="s">
        <v>7</v>
      </c>
      <c r="D8" s="124" t="s">
        <v>10</v>
      </c>
      <c r="E8" s="405" t="str">
        <f>'Revenue to Cost|RR'!D8</f>
        <v>Domestic</v>
      </c>
      <c r="F8" s="406" t="str">
        <f>'Revenue to Cost|RR'!E8</f>
        <v>Export</v>
      </c>
    </row>
    <row r="9" spans="2:6" ht="13.2">
      <c r="B9" s="231" t="str">
        <f>'Functionalized Accounts'!B9</f>
        <v>CEO - CEO Office</v>
      </c>
      <c r="C9" s="247" t="s">
        <v>113</v>
      </c>
      <c r="D9" s="121">
        <f>'Functionalized Accounts'!F9</f>
        <v>1440412.3852000204</v>
      </c>
      <c r="E9" s="99">
        <f>VLOOKUP('TB Allocation Details'!$C6, Allocators!$B$9:$E$195, MATCH(E$8, Allocators!$B$9:$E$9, 0),FALSE)*$D9</f>
        <v>1305132.9713443723</v>
      </c>
      <c r="F9" s="122">
        <f>VLOOKUP('TB Allocation Details'!$C6, Allocators!$B$9:$E$195, MATCH(F$8, Allocators!$B$9:$E$9, 0),FALSE)*$D9</f>
        <v>135279.4138556486</v>
      </c>
    </row>
    <row r="10" spans="2:6" ht="12.9" customHeight="1">
      <c r="B10" s="232" t="str">
        <f>'Functionalized Accounts'!B10</f>
        <v>CEO - CEO Office - NERC Membership</v>
      </c>
      <c r="C10" s="247" t="s">
        <v>113</v>
      </c>
      <c r="D10" s="121">
        <f>'Functionalized Accounts'!F10</f>
        <v>3898639.9999999995</v>
      </c>
      <c r="E10" s="99">
        <f>VLOOKUP('TB Allocation Details'!$C7, Allocators!$B$9:$E$195, MATCH(E$8, Allocators!$B$9:$E$9, 0),FALSE)*$D10</f>
        <v>1949319.9999999998</v>
      </c>
      <c r="F10" s="122">
        <f>VLOOKUP('TB Allocation Details'!$C7, Allocators!$B$9:$E$195, MATCH(F$8, Allocators!$B$9:$E$9, 0),FALSE)*$D10</f>
        <v>1949319.9999999998</v>
      </c>
    </row>
    <row r="11" spans="2:6" ht="12.9" customHeight="1">
      <c r="B11" s="232" t="str">
        <f>'Functionalized Accounts'!B11</f>
        <v>CEO - Internal Audit</v>
      </c>
      <c r="C11" s="247" t="s">
        <v>113</v>
      </c>
      <c r="D11" s="121">
        <f>'Functionalized Accounts'!F11</f>
        <v>1434104.0316998712</v>
      </c>
      <c r="E11" s="99">
        <f>VLOOKUP('TB Allocation Details'!$C8, Allocators!$B$9:$E$195, MATCH(E$8, Allocators!$B$9:$E$9, 0),FALSE)*$D11</f>
        <v>1299417.0803727759</v>
      </c>
      <c r="F11" s="122">
        <f>VLOOKUP('TB Allocation Details'!$C8, Allocators!$B$9:$E$195, MATCH(F$8, Allocators!$B$9:$E$9, 0),FALSE)*$D11</f>
        <v>134686.95132709577</v>
      </c>
    </row>
    <row r="12" spans="2:6" ht="12.9" customHeight="1">
      <c r="B12" s="232" t="str">
        <f>'Functionalized Accounts'!B12</f>
        <v>Market and System Operations - VP Office</v>
      </c>
      <c r="C12" s="247" t="s">
        <v>114</v>
      </c>
      <c r="D12" s="121">
        <f>'Functionalized Accounts'!F12</f>
        <v>1407934.602453477</v>
      </c>
      <c r="E12" s="99">
        <f>VLOOKUP('TB Allocation Details'!$C9, Allocators!$B$9:$E$195, MATCH(E$8, Allocators!$B$9:$E$9, 0),FALSE)*$D12</f>
        <v>1254107.5259743303</v>
      </c>
      <c r="F12" s="122">
        <f>VLOOKUP('TB Allocation Details'!$C9, Allocators!$B$9:$E$195, MATCH(F$8, Allocators!$B$9:$E$9, 0),FALSE)*$D12</f>
        <v>153827.07647914672</v>
      </c>
    </row>
    <row r="13" spans="2:6" ht="12.9" customHeight="1">
      <c r="B13" s="232" t="str">
        <f>'Functionalized Accounts'!B13</f>
        <v>Market and System Operations - System Performance</v>
      </c>
      <c r="C13" s="247" t="s">
        <v>114</v>
      </c>
      <c r="D13" s="121">
        <f>'Functionalized Accounts'!F13</f>
        <v>6198802.96355558</v>
      </c>
      <c r="E13" s="99">
        <f>VLOOKUP('TB Allocation Details'!$C10, Allocators!$B$9:$E$195, MATCH(E$8, Allocators!$B$9:$E$9, 0),FALSE)*$D13</f>
        <v>5521538.7384329261</v>
      </c>
      <c r="F13" s="122">
        <f>VLOOKUP('TB Allocation Details'!$C10, Allocators!$B$9:$E$195, MATCH(F$8, Allocators!$B$9:$E$9, 0),FALSE)*$D13</f>
        <v>677264.22512265365</v>
      </c>
    </row>
    <row r="14" spans="2:6" ht="12.9" customHeight="1">
      <c r="B14" s="232" t="str">
        <f>'Functionalized Accounts'!B14</f>
        <v>Market and System Operations - Reliability Assessments</v>
      </c>
      <c r="C14" s="247" t="s">
        <v>114</v>
      </c>
      <c r="D14" s="121">
        <f>'Functionalized Accounts'!F14</f>
        <v>3634163.3588411813</v>
      </c>
      <c r="E14" s="99">
        <f>VLOOKUP('TB Allocation Details'!$C11, Allocators!$B$9:$E$195, MATCH(E$8, Allocators!$B$9:$E$9, 0),FALSE)*$D14</f>
        <v>3237104.6290081334</v>
      </c>
      <c r="F14" s="122">
        <f>VLOOKUP('TB Allocation Details'!$C11, Allocators!$B$9:$E$195, MATCH(F$8, Allocators!$B$9:$E$9, 0),FALSE)*$D14</f>
        <v>397058.72983304813</v>
      </c>
    </row>
    <row r="15" spans="2:6" ht="12.9" customHeight="1">
      <c r="B15" s="232" t="str">
        <f>'Functionalized Accounts'!B15</f>
        <v>Market and System Operations - Connections &amp; Registration</v>
      </c>
      <c r="C15" s="247" t="s">
        <v>114</v>
      </c>
      <c r="D15" s="121">
        <f>'Functionalized Accounts'!F15</f>
        <v>4987699.8668681663</v>
      </c>
      <c r="E15" s="99">
        <f>VLOOKUP('TB Allocation Details'!$C12, Allocators!$B$9:$E$195, MATCH(E$8, Allocators!$B$9:$E$9, 0),FALSE)*$D15</f>
        <v>4442757.4472850719</v>
      </c>
      <c r="F15" s="122">
        <f>VLOOKUP('TB Allocation Details'!$C12, Allocators!$B$9:$E$195, MATCH(F$8, Allocators!$B$9:$E$9, 0),FALSE)*$D15</f>
        <v>544942.41958309407</v>
      </c>
    </row>
    <row r="16" spans="2:6" ht="12.9" customHeight="1">
      <c r="B16" s="232" t="str">
        <f>'Functionalized Accounts'!B16</f>
        <v>Market and System Operations - Operational Effectiveness</v>
      </c>
      <c r="C16" s="247" t="s">
        <v>114</v>
      </c>
      <c r="D16" s="121">
        <f>'Functionalized Accounts'!F16</f>
        <v>3634963.924583504</v>
      </c>
      <c r="E16" s="99">
        <f>VLOOKUP('TB Allocation Details'!$C13, Allocators!$B$9:$E$195, MATCH(E$8, Allocators!$B$9:$E$9, 0),FALSE)*$D16</f>
        <v>3237817.7271312526</v>
      </c>
      <c r="F16" s="122">
        <f>VLOOKUP('TB Allocation Details'!$C13, Allocators!$B$9:$E$195, MATCH(F$8, Allocators!$B$9:$E$9, 0),FALSE)*$D16</f>
        <v>397146.19745225162</v>
      </c>
    </row>
    <row r="17" spans="2:6" ht="12.9" customHeight="1">
      <c r="B17" s="232" t="str">
        <f>'Functionalized Accounts'!B17</f>
        <v>Market and System Operations - System Operations</v>
      </c>
      <c r="C17" s="247" t="s">
        <v>114</v>
      </c>
      <c r="D17" s="121">
        <f>'Functionalized Accounts'!F17</f>
        <v>11891778.805312574</v>
      </c>
      <c r="E17" s="99">
        <f>VLOOKUP('TB Allocation Details'!$C14, Allocators!$B$9:$E$195, MATCH(E$8, Allocators!$B$9:$E$9, 0),FALSE)*$D17</f>
        <v>10592515.640269112</v>
      </c>
      <c r="F17" s="122">
        <f>VLOOKUP('TB Allocation Details'!$C14, Allocators!$B$9:$E$195, MATCH(F$8, Allocators!$B$9:$E$9, 0),FALSE)*$D17</f>
        <v>1299263.1650434623</v>
      </c>
    </row>
    <row r="18" spans="2:6" ht="12.9" customHeight="1">
      <c r="B18" s="232" t="str">
        <f>'Functionalized Accounts'!B18</f>
        <v>Market and System Operations - Market Forecasts &amp; Integration</v>
      </c>
      <c r="C18" s="247" t="s">
        <v>114</v>
      </c>
      <c r="D18" s="121">
        <f>'Functionalized Accounts'!F18</f>
        <v>2602329.5853714114</v>
      </c>
      <c r="E18" s="99">
        <f>VLOOKUP('TB Allocation Details'!$C15, Allocators!$B$9:$E$195, MATCH(E$8, Allocators!$B$9:$E$9, 0),FALSE)*$D18</f>
        <v>2318006.1860776562</v>
      </c>
      <c r="F18" s="122">
        <f>VLOOKUP('TB Allocation Details'!$C15, Allocators!$B$9:$E$195, MATCH(F$8, Allocators!$B$9:$E$9, 0),FALSE)*$D18</f>
        <v>284323.39929375512</v>
      </c>
    </row>
    <row r="19" spans="2:6" ht="12.9" customHeight="1">
      <c r="B19" s="232" t="str">
        <f>'Functionalized Accounts'!B19</f>
        <v>Market and System Operations - Operations Change Initiatives</v>
      </c>
      <c r="C19" s="247" t="s">
        <v>114</v>
      </c>
      <c r="D19" s="121">
        <f>'Functionalized Accounts'!F19</f>
        <v>910270.4806976543</v>
      </c>
      <c r="E19" s="99">
        <f>VLOOKUP('TB Allocation Details'!$C16, Allocators!$B$9:$E$195, MATCH(E$8, Allocators!$B$9:$E$9, 0),FALSE)*$D19</f>
        <v>810816.8224048753</v>
      </c>
      <c r="F19" s="122">
        <f>VLOOKUP('TB Allocation Details'!$C16, Allocators!$B$9:$E$195, MATCH(F$8, Allocators!$B$9:$E$9, 0),FALSE)*$D19</f>
        <v>99453.658292778986</v>
      </c>
    </row>
    <row r="20" spans="2:6" ht="12.9" customHeight="1">
      <c r="B20" s="232" t="str">
        <f>'Functionalized Accounts'!B20</f>
        <v>Market and Resource Development - VP Office</v>
      </c>
      <c r="C20" s="247" t="s">
        <v>115</v>
      </c>
      <c r="D20" s="121">
        <f>'Functionalized Accounts'!F20</f>
        <v>1228410</v>
      </c>
      <c r="E20" s="99">
        <f>VLOOKUP('TB Allocation Details'!$C17, Allocators!$B$9:$E$195, MATCH(E$8, Allocators!$B$9:$E$9, 0),FALSE)*$D20</f>
        <v>1187600.6700031601</v>
      </c>
      <c r="F20" s="122">
        <f>VLOOKUP('TB Allocation Details'!$C17, Allocators!$B$9:$E$195, MATCH(F$8, Allocators!$B$9:$E$9, 0),FALSE)*$D20</f>
        <v>40809.329996839966</v>
      </c>
    </row>
    <row r="21" spans="2:6" ht="12.9" customHeight="1">
      <c r="B21" s="232" t="str">
        <f>'Functionalized Accounts'!B21</f>
        <v>Market and Resource Development - Contract Management</v>
      </c>
      <c r="C21" s="247" t="s">
        <v>115</v>
      </c>
      <c r="D21" s="121">
        <f>'Functionalized Accounts'!F21</f>
        <v>7245981</v>
      </c>
      <c r="E21" s="99">
        <f>VLOOKUP('TB Allocation Details'!$C18, Allocators!$B$9:$E$195, MATCH(E$8, Allocators!$B$9:$E$9, 0),FALSE)*$D21</f>
        <v>7245981</v>
      </c>
      <c r="F21" s="122">
        <f>VLOOKUP('TB Allocation Details'!$C18, Allocators!$B$9:$E$195, MATCH(F$8, Allocators!$B$9:$E$9, 0),FALSE)*$D21</f>
        <v>0</v>
      </c>
    </row>
    <row r="22" spans="2:6" ht="12.9" customHeight="1">
      <c r="B22" s="232" t="str">
        <f>'Functionalized Accounts'!B22</f>
        <v>Market and Resource Development - Renewable Procurement</v>
      </c>
      <c r="C22" s="247" t="s">
        <v>115</v>
      </c>
      <c r="D22" s="121">
        <f>'Functionalized Accounts'!F22</f>
        <v>2661529</v>
      </c>
      <c r="E22" s="99">
        <f>VLOOKUP('TB Allocation Details'!$C19, Allocators!$B$9:$E$195, MATCH(E$8, Allocators!$B$9:$E$9, 0),FALSE)*$D22</f>
        <v>2661529</v>
      </c>
      <c r="F22" s="122">
        <f>VLOOKUP('TB Allocation Details'!$C19, Allocators!$B$9:$E$195, MATCH(F$8, Allocators!$B$9:$E$9, 0),FALSE)*$D22</f>
        <v>0</v>
      </c>
    </row>
    <row r="23" spans="2:6" ht="12.9" customHeight="1">
      <c r="B23" s="232" t="str">
        <f>'Functionalized Accounts'!B23</f>
        <v>Market and Resource Development - Clean Energy Procurement</v>
      </c>
      <c r="C23" s="247" t="s">
        <v>115</v>
      </c>
      <c r="D23" s="121">
        <f>'Functionalized Accounts'!F23</f>
        <v>1224621.9999999998</v>
      </c>
      <c r="E23" s="99">
        <f>VLOOKUP('TB Allocation Details'!$C20, Allocators!$B$9:$E$195, MATCH(E$8, Allocators!$B$9:$E$9, 0),FALSE)*$D23</f>
        <v>1224621.9999999998</v>
      </c>
      <c r="F23" s="122">
        <f>VLOOKUP('TB Allocation Details'!$C20, Allocators!$B$9:$E$195, MATCH(F$8, Allocators!$B$9:$E$9, 0),FALSE)*$D23</f>
        <v>0</v>
      </c>
    </row>
    <row r="24" spans="2:6" ht="12.9" customHeight="1">
      <c r="B24" s="232" t="str">
        <f>'Functionalized Accounts'!B24</f>
        <v>Market and Resource Development - Policy &amp; Analysis</v>
      </c>
      <c r="C24" s="247" t="s">
        <v>115</v>
      </c>
      <c r="D24" s="121">
        <f>'Functionalized Accounts'!F24</f>
        <v>1455034.9999999998</v>
      </c>
      <c r="E24" s="99">
        <f>VLOOKUP('TB Allocation Details'!$C21, Allocators!$B$9:$E$195, MATCH(E$8, Allocators!$B$9:$E$9, 0),FALSE)*$D24</f>
        <v>1455034.9999999998</v>
      </c>
      <c r="F24" s="122">
        <f>VLOOKUP('TB Allocation Details'!$C21, Allocators!$B$9:$E$195, MATCH(F$8, Allocators!$B$9:$E$9, 0),FALSE)*$D24</f>
        <v>0</v>
      </c>
    </row>
    <row r="25" spans="2:6" ht="12.9" customHeight="1">
      <c r="B25" s="232" t="str">
        <f>'Functionalized Accounts'!B25</f>
        <v>Market and Resource Development - Markets</v>
      </c>
      <c r="C25" s="247" t="s">
        <v>115</v>
      </c>
      <c r="D25" s="121">
        <f>'Functionalized Accounts'!F25</f>
        <v>5499521</v>
      </c>
      <c r="E25" s="99">
        <f>VLOOKUP('TB Allocation Details'!$C22, Allocators!$B$9:$E$195, MATCH(E$8, Allocators!$B$9:$E$9, 0),FALSE)*$D25</f>
        <v>4898658.4059622725</v>
      </c>
      <c r="F25" s="122">
        <f>VLOOKUP('TB Allocation Details'!$C22, Allocators!$B$9:$E$195, MATCH(F$8, Allocators!$B$9:$E$9, 0),FALSE)*$D25</f>
        <v>600862.59403772792</v>
      </c>
    </row>
    <row r="26" spans="2:6" ht="12.9" customHeight="1">
      <c r="B26" s="232" t="str">
        <f>'Functionalized Accounts'!B26</f>
        <v>Conservation and Corporate Relations - VP Office</v>
      </c>
      <c r="C26" s="247" t="s">
        <v>116</v>
      </c>
      <c r="D26" s="121">
        <f>'Functionalized Accounts'!F26</f>
        <v>764142.34188076179</v>
      </c>
      <c r="E26" s="99">
        <f>VLOOKUP('TB Allocation Details'!$C23, Allocators!$B$9:$E$195, MATCH(E$8, Allocators!$B$9:$E$9, 0),FALSE)*$D26</f>
        <v>723073.05207814905</v>
      </c>
      <c r="F26" s="122">
        <f>VLOOKUP('TB Allocation Details'!$C23, Allocators!$B$9:$E$195, MATCH(F$8, Allocators!$B$9:$E$9, 0),FALSE)*$D26</f>
        <v>41069.289802612759</v>
      </c>
    </row>
    <row r="27" spans="2:6" ht="12.9" customHeight="1">
      <c r="B27" s="232" t="str">
        <f>'Functionalized Accounts'!B27</f>
        <v>Conservation and Corporate Relations - Conservation Performance</v>
      </c>
      <c r="C27" s="247" t="s">
        <v>116</v>
      </c>
      <c r="D27" s="121">
        <f>'Functionalized Accounts'!F27</f>
        <v>4091444.9756630883</v>
      </c>
      <c r="E27" s="99">
        <f>VLOOKUP('TB Allocation Details'!$C24, Allocators!$B$9:$E$195, MATCH(E$8, Allocators!$B$9:$E$9, 0),FALSE)*$D27</f>
        <v>4091444.9756630883</v>
      </c>
      <c r="F27" s="122">
        <f>VLOOKUP('TB Allocation Details'!$C24, Allocators!$B$9:$E$195, MATCH(F$8, Allocators!$B$9:$E$9, 0),FALSE)*$D27</f>
        <v>0</v>
      </c>
    </row>
    <row r="28" spans="2:6" ht="12.9" customHeight="1">
      <c r="B28" s="232" t="str">
        <f>'Functionalized Accounts'!B28</f>
        <v>Conservation and Corporate Relations - Business Development</v>
      </c>
      <c r="C28" s="247" t="s">
        <v>116</v>
      </c>
      <c r="D28" s="121">
        <f>'Functionalized Accounts'!F28</f>
        <v>2389846.7074152329</v>
      </c>
      <c r="E28" s="99">
        <f>VLOOKUP('TB Allocation Details'!$C25, Allocators!$B$9:$E$195, MATCH(E$8, Allocators!$B$9:$E$9, 0),FALSE)*$D28</f>
        <v>2389846.7074152329</v>
      </c>
      <c r="F28" s="122">
        <f>VLOOKUP('TB Allocation Details'!$C25, Allocators!$B$9:$E$195, MATCH(F$8, Allocators!$B$9:$E$9, 0),FALSE)*$D28</f>
        <v>0</v>
      </c>
    </row>
    <row r="29" spans="2:6" ht="26.4">
      <c r="B29" s="232" t="str">
        <f>'Functionalized Accounts'!B29</f>
        <v>Conservation and Corporate Relations - Strategic Engagement &amp; Innovation</v>
      </c>
      <c r="C29" s="247" t="s">
        <v>116</v>
      </c>
      <c r="D29" s="121">
        <f>'Functionalized Accounts'!F29</f>
        <v>3218911.0738582825</v>
      </c>
      <c r="E29" s="99">
        <f>VLOOKUP('TB Allocation Details'!$C26, Allocators!$B$9:$E$195, MATCH(E$8, Allocators!$B$9:$E$9, 0),FALSE)*$D29</f>
        <v>2867221.6707602208</v>
      </c>
      <c r="F29" s="122">
        <f>VLOOKUP('TB Allocation Details'!$C26, Allocators!$B$9:$E$195, MATCH(F$8, Allocators!$B$9:$E$9, 0),FALSE)*$D29</f>
        <v>351689.40309806186</v>
      </c>
    </row>
    <row r="30" spans="2:6" ht="12.9" customHeight="1">
      <c r="B30" s="232" t="str">
        <f>'Functionalized Accounts'!B30</f>
        <v>Conservation and Corporate Relations - Program Delivery &amp; Partner Services</v>
      </c>
      <c r="C30" s="247" t="s">
        <v>116</v>
      </c>
      <c r="D30" s="121">
        <f>'Functionalized Accounts'!F30</f>
        <v>2058304.3191757097</v>
      </c>
      <c r="E30" s="99">
        <f>VLOOKUP('TB Allocation Details'!$C27, Allocators!$B$9:$E$195, MATCH(E$8, Allocators!$B$9:$E$9, 0),FALSE)*$D30</f>
        <v>2058304.3191757097</v>
      </c>
      <c r="F30" s="122">
        <f>VLOOKUP('TB Allocation Details'!$C27, Allocators!$B$9:$E$195, MATCH(F$8, Allocators!$B$9:$E$9, 0),FALSE)*$D30</f>
        <v>0</v>
      </c>
    </row>
    <row r="31" spans="2:6" ht="12.9" customHeight="1">
      <c r="B31" s="232" t="str">
        <f>'Functionalized Accounts'!B31</f>
        <v>Conservation and Corporate Relations - Stakeholders &amp; Public Affairs</v>
      </c>
      <c r="C31" s="247" t="s">
        <v>116</v>
      </c>
      <c r="D31" s="121">
        <f>'Functionalized Accounts'!F31</f>
        <v>4520580.5476868805</v>
      </c>
      <c r="E31" s="99">
        <f>VLOOKUP('TB Allocation Details'!$C28, Allocators!$B$9:$E$195, MATCH(E$8, Allocators!$B$9:$E$9, 0),FALSE)*$D31</f>
        <v>4026674.3048632541</v>
      </c>
      <c r="F31" s="122">
        <f>VLOOKUP('TB Allocation Details'!$C28, Allocators!$B$9:$E$195, MATCH(F$8, Allocators!$B$9:$E$9, 0),FALSE)*$D31</f>
        <v>493906.24282362626</v>
      </c>
    </row>
    <row r="32" spans="2:6" ht="12.9" customHeight="1">
      <c r="B32" s="232" t="str">
        <f>'Functionalized Accounts'!B32</f>
        <v>Conservation and Corporate Relations - Marketing</v>
      </c>
      <c r="C32" s="247" t="s">
        <v>116</v>
      </c>
      <c r="D32" s="121">
        <f>'Functionalized Accounts'!F32</f>
        <v>528424.32374333299</v>
      </c>
      <c r="E32" s="99">
        <f>VLOOKUP('TB Allocation Details'!$C29, Allocators!$B$9:$E$195, MATCH(E$8, Allocators!$B$9:$E$9, 0),FALSE)*$D32</f>
        <v>470690.13018046611</v>
      </c>
      <c r="F32" s="122">
        <f>VLOOKUP('TB Allocation Details'!$C29, Allocators!$B$9:$E$195, MATCH(F$8, Allocators!$B$9:$E$9, 0),FALSE)*$D32</f>
        <v>57734.19356286688</v>
      </c>
    </row>
    <row r="33" spans="2:6" ht="12.9" customHeight="1">
      <c r="B33" s="232" t="str">
        <f>'Functionalized Accounts'!B33</f>
        <v>Information and Technology Services - VP Office</v>
      </c>
      <c r="C33" s="247" t="s">
        <v>126</v>
      </c>
      <c r="D33" s="121">
        <f>'Functionalized Accounts'!F33</f>
        <v>1033559</v>
      </c>
      <c r="E33" s="99">
        <f>VLOOKUP('TB Allocation Details'!$C30, Allocators!$B$9:$E$195, MATCH(E$8, Allocators!$B$9:$E$9, 0),FALSE)*$D33</f>
        <v>936490.0931078851</v>
      </c>
      <c r="F33" s="122">
        <f>VLOOKUP('TB Allocation Details'!$C30, Allocators!$B$9:$E$195, MATCH(F$8, Allocators!$B$9:$E$9, 0),FALSE)*$D33</f>
        <v>97068.906892115177</v>
      </c>
    </row>
    <row r="34" spans="2:6" ht="12.9" customHeight="1">
      <c r="B34" s="232" t="str">
        <f>'Functionalized Accounts'!B34</f>
        <v>Information and Technology Services - Organizational Governance</v>
      </c>
      <c r="C34" s="247" t="s">
        <v>126</v>
      </c>
      <c r="D34" s="121">
        <f>'Functionalized Accounts'!F34</f>
        <v>3638288</v>
      </c>
      <c r="E34" s="99">
        <f>VLOOKUP('TB Allocation Details'!$C31, Allocators!$B$9:$E$195, MATCH(E$8, Allocators!$B$9:$E$9, 0),FALSE)*$D34</f>
        <v>3296590.3909436241</v>
      </c>
      <c r="F34" s="122">
        <f>VLOOKUP('TB Allocation Details'!$C31, Allocators!$B$9:$E$195, MATCH(F$8, Allocators!$B$9:$E$9, 0),FALSE)*$D34</f>
        <v>341697.60905637697</v>
      </c>
    </row>
    <row r="35" spans="2:6" ht="12.9" customHeight="1">
      <c r="B35" s="232" t="str">
        <f>'Functionalized Accounts'!B35</f>
        <v>Information and Technology Services - Business Solutions + Business Analysis</v>
      </c>
      <c r="C35" s="247" t="s">
        <v>126</v>
      </c>
      <c r="D35" s="121">
        <f>'Functionalized Accounts'!F35</f>
        <v>11622249</v>
      </c>
      <c r="E35" s="99">
        <f>VLOOKUP('TB Allocation Details'!$C32, Allocators!$B$9:$E$195, MATCH(E$8, Allocators!$B$9:$E$9, 0),FALSE)*$D35</f>
        <v>10530720.595663164</v>
      </c>
      <c r="F35" s="122">
        <f>VLOOKUP('TB Allocation Details'!$C32, Allocators!$B$9:$E$195, MATCH(F$8, Allocators!$B$9:$E$9, 0),FALSE)*$D35</f>
        <v>1091528.4043368388</v>
      </c>
    </row>
    <row r="36" spans="2:6" ht="12.9" customHeight="1">
      <c r="B36" s="232" t="str">
        <f>'Functionalized Accounts'!B36</f>
        <v>Information and Technology Services - Technology Support*</v>
      </c>
      <c r="C36" s="247" t="s">
        <v>126</v>
      </c>
      <c r="D36" s="121">
        <f>'Functionalized Accounts'!F36</f>
        <v>15875082</v>
      </c>
      <c r="E36" s="99">
        <f>VLOOKUP('TB Allocation Details'!$C33, Allocators!$B$9:$E$195, MATCH(E$8, Allocators!$B$9:$E$9, 0),FALSE)*$D36</f>
        <v>14384139.67685958</v>
      </c>
      <c r="F36" s="122">
        <f>VLOOKUP('TB Allocation Details'!$C33, Allocators!$B$9:$E$195, MATCH(F$8, Allocators!$B$9:$E$9, 0),FALSE)*$D36</f>
        <v>1490942.323140424</v>
      </c>
    </row>
    <row r="37" spans="2:6" ht="12.9" customHeight="1">
      <c r="B37" s="232" t="str">
        <f>'Functionalized Accounts'!B37</f>
        <v>Information and Technology Services - Solutions (Adelaide)*</v>
      </c>
      <c r="C37" s="247" t="s">
        <v>126</v>
      </c>
      <c r="D37" s="121">
        <f>'Functionalized Accounts'!F37</f>
        <v>563825</v>
      </c>
      <c r="E37" s="99">
        <f>VLOOKUP('TB Allocation Details'!$C34, Allocators!$B$9:$E$195, MATCH(E$8, Allocators!$B$9:$E$9, 0),FALSE)*$D37</f>
        <v>510872.16767166008</v>
      </c>
      <c r="F37" s="122">
        <f>VLOOKUP('TB Allocation Details'!$C34, Allocators!$B$9:$E$195, MATCH(F$8, Allocators!$B$9:$E$9, 0),FALSE)*$D37</f>
        <v>52952.832328340075</v>
      </c>
    </row>
    <row r="38" spans="2:6" ht="12.9" customHeight="1">
      <c r="B38" s="232" t="str">
        <f>'Functionalized Accounts'!B38</f>
        <v>Information and Technology Services - IT Operations</v>
      </c>
      <c r="C38" s="247" t="s">
        <v>126</v>
      </c>
      <c r="D38" s="121">
        <f>'Functionalized Accounts'!F38</f>
        <v>2346315</v>
      </c>
      <c r="E38" s="99">
        <f>VLOOKUP('TB Allocation Details'!$C35, Allocators!$B$9:$E$195, MATCH(E$8, Allocators!$B$9:$E$9, 0),FALSE)*$D38</f>
        <v>2125955.8020494501</v>
      </c>
      <c r="F38" s="122">
        <f>VLOOKUP('TB Allocation Details'!$C35, Allocators!$B$9:$E$195, MATCH(F$8, Allocators!$B$9:$E$9, 0),FALSE)*$D38</f>
        <v>220359.19795055068</v>
      </c>
    </row>
    <row r="39" spans="2:6" ht="12.9" customHeight="1">
      <c r="B39" s="232" t="str">
        <f>'Functionalized Accounts'!B39</f>
        <v>Information and Technology Services - Facilities</v>
      </c>
      <c r="C39" s="247" t="s">
        <v>126</v>
      </c>
      <c r="D39" s="121">
        <f>'Functionalized Accounts'!F39</f>
        <v>9170740</v>
      </c>
      <c r="E39" s="99">
        <f>VLOOKUP('TB Allocation Details'!$C36, Allocators!$B$9:$E$195, MATCH(E$8, Allocators!$B$9:$E$9, 0),FALSE)*$D39</f>
        <v>8309450.3134007892</v>
      </c>
      <c r="F39" s="122">
        <f>VLOOKUP('TB Allocation Details'!$C36, Allocators!$B$9:$E$195, MATCH(F$8, Allocators!$B$9:$E$9, 0),FALSE)*$D39</f>
        <v>861289.68659921328</v>
      </c>
    </row>
    <row r="40" spans="2:6" ht="12.9" customHeight="1">
      <c r="B40" s="232" t="str">
        <f>'Functionalized Accounts'!B40</f>
        <v>Information and Technology Services - Support of Market and System Operation</v>
      </c>
      <c r="C40" s="247" t="s">
        <v>126</v>
      </c>
      <c r="D40" s="121">
        <f>'Functionalized Accounts'!F40</f>
        <v>0</v>
      </c>
      <c r="E40" s="99">
        <f>VLOOKUP('TB Allocation Details'!$C37, Allocators!$B$9:$E$195, MATCH(E$8, Allocators!$B$9:$E$9, 0),FALSE)*$D40</f>
        <v>0</v>
      </c>
      <c r="F40" s="122">
        <f>VLOOKUP('TB Allocation Details'!$C37, Allocators!$B$9:$E$195, MATCH(F$8, Allocators!$B$9:$E$9, 0),FALSE)*$D40</f>
        <v>0</v>
      </c>
    </row>
    <row r="41" spans="2:6" ht="12.9" customHeight="1">
      <c r="B41" s="232" t="str">
        <f>'Functionalized Accounts'!B41</f>
        <v>Planning, Law and Aboriginal Relations - VP Office</v>
      </c>
      <c r="C41" s="247" t="s">
        <v>117</v>
      </c>
      <c r="D41" s="121">
        <f>'Functionalized Accounts'!F41</f>
        <v>1318290</v>
      </c>
      <c r="E41" s="99">
        <f>VLOOKUP('TB Allocation Details'!$C38, Allocators!$B$9:$E$195, MATCH(E$8, Allocators!$B$9:$E$9, 0),FALSE)*$D41</f>
        <v>1232432.1870595641</v>
      </c>
      <c r="F41" s="122">
        <f>VLOOKUP('TB Allocation Details'!$C38, Allocators!$B$9:$E$195, MATCH(F$8, Allocators!$B$9:$E$9, 0),FALSE)*$D41</f>
        <v>85857.812940435935</v>
      </c>
    </row>
    <row r="42" spans="2:6" ht="12.9" customHeight="1">
      <c r="B42" s="232" t="str">
        <f>'Functionalized Accounts'!B42</f>
        <v>Planning, Law and Aboriginal Relations - General Counsel</v>
      </c>
      <c r="C42" s="247" t="s">
        <v>117</v>
      </c>
      <c r="D42" s="121">
        <f>'Functionalized Accounts'!F42</f>
        <v>4194831</v>
      </c>
      <c r="E42" s="99">
        <f>VLOOKUP('TB Allocation Details'!$C39, Allocators!$B$9:$E$195, MATCH(E$8, Allocators!$B$9:$E$9, 0),FALSE)*$D42</f>
        <v>3736515.2601001295</v>
      </c>
      <c r="F42" s="122">
        <f>VLOOKUP('TB Allocation Details'!$C39, Allocators!$B$9:$E$195, MATCH(F$8, Allocators!$B$9:$E$9, 0),FALSE)*$D42</f>
        <v>458315.73989987065</v>
      </c>
    </row>
    <row r="43" spans="2:6" ht="12.9" customHeight="1">
      <c r="B43" s="232" t="str">
        <f>'Functionalized Accounts'!B43</f>
        <v>Planning, Law and Aboriginal Relations - Regulatory Affairs</v>
      </c>
      <c r="C43" s="247" t="s">
        <v>117</v>
      </c>
      <c r="D43" s="121">
        <f>'Functionalized Accounts'!F43</f>
        <v>3267801.9999999995</v>
      </c>
      <c r="E43" s="99">
        <f>VLOOKUP('TB Allocation Details'!$C40, Allocators!$B$9:$E$195, MATCH(E$8, Allocators!$B$9:$E$9, 0),FALSE)*$D43</f>
        <v>2910770.908288253</v>
      </c>
      <c r="F43" s="122">
        <f>VLOOKUP('TB Allocation Details'!$C40, Allocators!$B$9:$E$195, MATCH(F$8, Allocators!$B$9:$E$9, 0),FALSE)*$D43</f>
        <v>357031.09171174641</v>
      </c>
    </row>
    <row r="44" spans="2:6" ht="12.9" customHeight="1">
      <c r="B44" s="232" t="str">
        <f>'Functionalized Accounts'!B44</f>
        <v>Planning, Law and Aboriginal Relations - Board</v>
      </c>
      <c r="C44" s="247" t="s">
        <v>117</v>
      </c>
      <c r="D44" s="121">
        <f>'Functionalized Accounts'!F44</f>
        <v>715210</v>
      </c>
      <c r="E44" s="99">
        <f>VLOOKUP('TB Allocation Details'!$C41, Allocators!$B$9:$E$195, MATCH(E$8, Allocators!$B$9:$E$9, 0),FALSE)*$D44</f>
        <v>637068.11530100112</v>
      </c>
      <c r="F44" s="122">
        <f>VLOOKUP('TB Allocation Details'!$C41, Allocators!$B$9:$E$195, MATCH(F$8, Allocators!$B$9:$E$9, 0),FALSE)*$D44</f>
        <v>78141.884698998954</v>
      </c>
    </row>
    <row r="45" spans="2:6" ht="12.9" customHeight="1">
      <c r="B45" s="232" t="str">
        <f>'Functionalized Accounts'!B45</f>
        <v>Planning, Law and Aboriginal Relations - First Nations &amp; Metis Relations</v>
      </c>
      <c r="C45" s="247" t="s">
        <v>117</v>
      </c>
      <c r="D45" s="121">
        <f>'Functionalized Accounts'!F45</f>
        <v>807900</v>
      </c>
      <c r="E45" s="99">
        <f>VLOOKUP('TB Allocation Details'!$C42, Allocators!$B$9:$E$195, MATCH(E$8, Allocators!$B$9:$E$9, 0),FALSE)*$D45</f>
        <v>807900</v>
      </c>
      <c r="F45" s="122">
        <f>VLOOKUP('TB Allocation Details'!$C42, Allocators!$B$9:$E$195, MATCH(F$8, Allocators!$B$9:$E$9, 0),FALSE)*$D45</f>
        <v>0</v>
      </c>
    </row>
    <row r="46" spans="2:6" ht="12.9" customHeight="1">
      <c r="B46" s="232" t="str">
        <f>'Functionalized Accounts'!B46</f>
        <v xml:space="preserve">Planning, Law and Aboriginal Relations - Transmission Integration </v>
      </c>
      <c r="C46" s="247" t="s">
        <v>117</v>
      </c>
      <c r="D46" s="121">
        <f>'Functionalized Accounts'!F46</f>
        <v>2025408</v>
      </c>
      <c r="E46" s="99">
        <f>VLOOKUP('TB Allocation Details'!$C43, Allocators!$B$9:$E$195, MATCH(E$8, Allocators!$B$9:$E$9, 0),FALSE)*$D46</f>
        <v>2025408</v>
      </c>
      <c r="F46" s="122">
        <f>VLOOKUP('TB Allocation Details'!$C43, Allocators!$B$9:$E$195, MATCH(F$8, Allocators!$B$9:$E$9, 0),FALSE)*$D46</f>
        <v>0</v>
      </c>
    </row>
    <row r="47" spans="2:6" ht="12.9" customHeight="1">
      <c r="B47" s="232" t="str">
        <f>'Functionalized Accounts'!B47</f>
        <v>Planning, Law and Aboriginal Relations - Resource Integration</v>
      </c>
      <c r="C47" s="247" t="s">
        <v>117</v>
      </c>
      <c r="D47" s="121">
        <f>'Functionalized Accounts'!F47</f>
        <v>2360010</v>
      </c>
      <c r="E47" s="99">
        <f>VLOOKUP('TB Allocation Details'!$C44, Allocators!$B$9:$E$195, MATCH(E$8, Allocators!$B$9:$E$9, 0),FALSE)*$D47</f>
        <v>2360010</v>
      </c>
      <c r="F47" s="122">
        <f>VLOOKUP('TB Allocation Details'!$C44, Allocators!$B$9:$E$195, MATCH(F$8, Allocators!$B$9:$E$9, 0),FALSE)*$D47</f>
        <v>0</v>
      </c>
    </row>
    <row r="48" spans="2:6" ht="12.9" customHeight="1">
      <c r="B48" s="232" t="str">
        <f>'Functionalized Accounts'!B48</f>
        <v>Planning, Law and Aboriginal Relations - Conservation Inegration</v>
      </c>
      <c r="C48" s="247" t="s">
        <v>117</v>
      </c>
      <c r="D48" s="121">
        <f>'Functionalized Accounts'!F48</f>
        <v>347768</v>
      </c>
      <c r="E48" s="99">
        <f>VLOOKUP('TB Allocation Details'!$C45, Allocators!$B$9:$E$195, MATCH(E$8, Allocators!$B$9:$E$9, 0),FALSE)*$D48</f>
        <v>347768</v>
      </c>
      <c r="F48" s="122">
        <f>VLOOKUP('TB Allocation Details'!$C45, Allocators!$B$9:$E$195, MATCH(F$8, Allocators!$B$9:$E$9, 0),FALSE)*$D48</f>
        <v>0</v>
      </c>
    </row>
    <row r="49" spans="2:6" ht="12.9" customHeight="1">
      <c r="B49" s="232" t="str">
        <f>'Functionalized Accounts'!B49</f>
        <v>Corporate Services - VP Office</v>
      </c>
      <c r="C49" s="247" t="s">
        <v>118</v>
      </c>
      <c r="D49" s="121">
        <f>'Functionalized Accounts'!F49</f>
        <v>549954</v>
      </c>
      <c r="E49" s="99">
        <f>VLOOKUP('TB Allocation Details'!$C46, Allocators!$B$9:$E$195, MATCH(E$8, Allocators!$B$9:$E$9, 0),FALSE)*$D49</f>
        <v>493725.85899559507</v>
      </c>
      <c r="F49" s="122">
        <f>VLOOKUP('TB Allocation Details'!$C46, Allocators!$B$9:$E$195, MATCH(F$8, Allocators!$B$9:$E$9, 0),FALSE)*$D49</f>
        <v>56228.141004405014</v>
      </c>
    </row>
    <row r="50" spans="2:6" ht="12.9" customHeight="1">
      <c r="B50" s="232" t="str">
        <f>'Functionalized Accounts'!B50</f>
        <v>Corporate Services - Corporate Controller</v>
      </c>
      <c r="C50" s="247" t="s">
        <v>118</v>
      </c>
      <c r="D50" s="121">
        <f>'Functionalized Accounts'!F50</f>
        <v>3294988</v>
      </c>
      <c r="E50" s="99">
        <f>VLOOKUP('TB Allocation Details'!$C47, Allocators!$B$9:$E$195, MATCH(E$8, Allocators!$B$9:$E$9, 0),FALSE)*$D50</f>
        <v>2934986.640426469</v>
      </c>
      <c r="F50" s="122">
        <f>VLOOKUP('TB Allocation Details'!$C47, Allocators!$B$9:$E$195, MATCH(F$8, Allocators!$B$9:$E$9, 0),FALSE)*$D50</f>
        <v>360001.35957353108</v>
      </c>
    </row>
    <row r="51" spans="2:6" ht="12.9" customHeight="1">
      <c r="B51" s="232" t="str">
        <f>'Functionalized Accounts'!B51</f>
        <v>Corporate Services - Financial Planning &amp; Analysis</v>
      </c>
      <c r="C51" s="247" t="s">
        <v>118</v>
      </c>
      <c r="D51" s="121">
        <f>'Functionalized Accounts'!F51</f>
        <v>1401192.3741599999</v>
      </c>
      <c r="E51" s="99">
        <f>VLOOKUP('TB Allocation Details'!$C48, Allocators!$B$9:$E$195, MATCH(E$8, Allocators!$B$9:$E$9, 0),FALSE)*$D51</f>
        <v>1269596.3916323662</v>
      </c>
      <c r="F51" s="122">
        <f>VLOOKUP('TB Allocation Details'!$C48, Allocators!$B$9:$E$195, MATCH(F$8, Allocators!$B$9:$E$9, 0),FALSE)*$D51</f>
        <v>131595.98252763398</v>
      </c>
    </row>
    <row r="52" spans="2:6" ht="12.9" customHeight="1">
      <c r="B52" s="232" t="str">
        <f>'Functionalized Accounts'!B52</f>
        <v>Corporate Services - Treasury &amp; Pension Operations</v>
      </c>
      <c r="C52" s="247" t="s">
        <v>118</v>
      </c>
      <c r="D52" s="121">
        <f>'Functionalized Accounts'!F52</f>
        <v>1663835</v>
      </c>
      <c r="E52" s="99">
        <f>VLOOKUP('TB Allocation Details'!$C49, Allocators!$B$9:$E$195, MATCH(E$8, Allocators!$B$9:$E$9, 0),FALSE)*$D52</f>
        <v>1507572.3728071237</v>
      </c>
      <c r="F52" s="122">
        <f>VLOOKUP('TB Allocation Details'!$C49, Allocators!$B$9:$E$195, MATCH(F$8, Allocators!$B$9:$E$9, 0),FALSE)*$D52</f>
        <v>156262.62719287671</v>
      </c>
    </row>
    <row r="53" spans="2:6" ht="12.9" customHeight="1">
      <c r="B53" s="232" t="str">
        <f>'Functionalized Accounts'!B53</f>
        <v>Corporate Services - Human Resources</v>
      </c>
      <c r="C53" s="247" t="s">
        <v>118</v>
      </c>
      <c r="D53" s="121">
        <f>'Functionalized Accounts'!F53</f>
        <v>4161455</v>
      </c>
      <c r="E53" s="99">
        <f>VLOOKUP('TB Allocation Details'!$C50, Allocators!$B$9:$E$195, MATCH(E$8, Allocators!$B$9:$E$9, 0),FALSE)*$D53</f>
        <v>3770623.041755985</v>
      </c>
      <c r="F53" s="122">
        <f>VLOOKUP('TB Allocation Details'!$C50, Allocators!$B$9:$E$195, MATCH(F$8, Allocators!$B$9:$E$9, 0),FALSE)*$D53</f>
        <v>390831.95824401622</v>
      </c>
    </row>
    <row r="54" spans="2:6" ht="15.9" customHeight="1">
      <c r="B54" s="232" t="str">
        <f>'Functionalized Accounts'!B54</f>
        <v>Corporate Services - Settlements</v>
      </c>
      <c r="C54" s="247" t="s">
        <v>118</v>
      </c>
      <c r="D54" s="121">
        <f>'Functionalized Accounts'!F54</f>
        <v>5279476</v>
      </c>
      <c r="E54" s="99">
        <f>VLOOKUP('TB Allocation Details'!$C51, Allocators!$B$9:$E$195, MATCH(E$8, Allocators!$B$9:$E$9, 0),FALSE)*$D54</f>
        <v>4702654.919669563</v>
      </c>
      <c r="F54" s="122">
        <f>VLOOKUP('TB Allocation Details'!$C51, Allocators!$B$9:$E$195, MATCH(F$8, Allocators!$B$9:$E$9, 0),FALSE)*$D54</f>
        <v>576821.08033043751</v>
      </c>
    </row>
    <row r="55" spans="2:6" ht="15.9" customHeight="1">
      <c r="B55" s="232" t="str">
        <f>'Functionalized Accounts'!B55</f>
        <v>MACD</v>
      </c>
      <c r="C55" s="247" t="s">
        <v>94</v>
      </c>
      <c r="D55" s="121">
        <f>'Functionalized Accounts'!F55</f>
        <v>3612409.6494124699</v>
      </c>
      <c r="E55" s="99">
        <f>VLOOKUP('TB Allocation Details'!$C52, Allocators!$B$9:$E$195, MATCH(E$8, Allocators!$B$9:$E$9, 0),FALSE)*$D55</f>
        <v>3217727.6702595772</v>
      </c>
      <c r="F55" s="122">
        <f>VLOOKUP('TB Allocation Details'!$C52, Allocators!$B$9:$E$195, MATCH(F$8, Allocators!$B$9:$E$9, 0),FALSE)*$D55</f>
        <v>394681.97915289277</v>
      </c>
    </row>
    <row r="56" spans="2:6" ht="15.9" customHeight="1">
      <c r="B56" s="232" t="str">
        <f>'Functionalized Accounts'!B56</f>
        <v>Others (IESO Corp Adj+Int+Amort) - Amortization</v>
      </c>
      <c r="C56" s="247" t="s">
        <v>31</v>
      </c>
      <c r="D56" s="121">
        <f>'Functionalized Accounts'!F56</f>
        <v>18699757</v>
      </c>
      <c r="E56" s="99">
        <f>VLOOKUP('TB Allocation Details'!$C53, Allocators!$B$9:$E$195, MATCH(E$8, Allocators!$B$9:$E$9, 0),FALSE)*$D56</f>
        <v>16656672.793412706</v>
      </c>
      <c r="F56" s="122">
        <f>VLOOKUP('TB Allocation Details'!$C53, Allocators!$B$9:$E$195, MATCH(F$8, Allocators!$B$9:$E$9, 0),FALSE)*$D56</f>
        <v>2043084.2065872941</v>
      </c>
    </row>
    <row r="57" spans="2:6" ht="15.9" customHeight="1">
      <c r="B57" s="232" t="str">
        <f>'Functionalized Accounts'!B57</f>
        <v>Others (IESO Corp Adj+Int+Amort) - Interest</v>
      </c>
      <c r="C57" s="247" t="s">
        <v>110</v>
      </c>
      <c r="D57" s="121">
        <f>'Functionalized Accounts'!F57</f>
        <v>1284000.18</v>
      </c>
      <c r="E57" s="99">
        <f>VLOOKUP('TB Allocation Details'!$C54, Allocators!$B$9:$E$195, MATCH(E$8, Allocators!$B$9:$E$9, 0),FALSE)*$D57</f>
        <v>1143713.8388987095</v>
      </c>
      <c r="F57" s="122">
        <f>VLOOKUP('TB Allocation Details'!$C54, Allocators!$B$9:$E$195, MATCH(F$8, Allocators!$B$9:$E$9, 0),FALSE)*$D57</f>
        <v>140286.3411012904</v>
      </c>
    </row>
    <row r="58" spans="2:6" ht="15.9" customHeight="1">
      <c r="B58" s="232" t="str">
        <f>'Functionalized Accounts'!B58</f>
        <v>Others (IESO Corp Adj+Int+Amort) - Uncleared salary</v>
      </c>
      <c r="C58" s="247" t="s">
        <v>119</v>
      </c>
      <c r="D58" s="121">
        <f>'Functionalized Accounts'!F58</f>
        <v>6728736.3799999999</v>
      </c>
      <c r="E58" s="99">
        <f>VLOOKUP('TB Allocation Details'!$C55, Allocators!$B$9:$E$195, MATCH(E$8, Allocators!$B$9:$E$9, 0),FALSE)*$D58</f>
        <v>6096792.6930195699</v>
      </c>
      <c r="F58" s="122">
        <f>VLOOKUP('TB Allocation Details'!$C55, Allocators!$B$9:$E$195, MATCH(F$8, Allocators!$B$9:$E$9, 0),FALSE)*$D58</f>
        <v>631943.68698043178</v>
      </c>
    </row>
    <row r="59" spans="2:6" ht="15.9" customHeight="1">
      <c r="B59" s="232" t="str">
        <f>'Functionalized Accounts'!B64</f>
        <v>Former IESO - Assets</v>
      </c>
      <c r="C59" s="247" t="s">
        <v>30</v>
      </c>
      <c r="D59" s="121">
        <f>'Functionalized Accounts'!F64</f>
        <v>50501000</v>
      </c>
      <c r="E59" s="99">
        <f>VLOOKUP('TB Allocation Details'!$C56, Allocators!$B$9:$E$195, MATCH(E$8, Allocators!$B$9:$E$9, 0),FALSE)*$D59</f>
        <v>44983399.128669702</v>
      </c>
      <c r="F59" s="122">
        <f>VLOOKUP('TB Allocation Details'!$C56, Allocators!$B$9:$E$195, MATCH(F$8, Allocators!$B$9:$E$9, 0),FALSE)*$D59</f>
        <v>5517600.8713303031</v>
      </c>
    </row>
    <row r="60" spans="2:6" ht="15.9" customHeight="1">
      <c r="B60" s="232" t="str">
        <f>'Functionalized Accounts'!B65</f>
        <v>Former IESO - Market systems &amp; applications</v>
      </c>
      <c r="C60" s="247" t="s">
        <v>30</v>
      </c>
      <c r="D60" s="121">
        <f>'Functionalized Accounts'!F65</f>
        <v>255047000</v>
      </c>
      <c r="E60" s="99">
        <f>VLOOKUP('TB Allocation Details'!$C57, Allocators!$B$9:$E$195, MATCH(E$8, Allocators!$B$9:$E$9, 0),FALSE)*$D60</f>
        <v>227181263.68923032</v>
      </c>
      <c r="F60" s="122">
        <f>VLOOKUP('TB Allocation Details'!$C57, Allocators!$B$9:$E$195, MATCH(F$8, Allocators!$B$9:$E$9, 0),FALSE)*$D60</f>
        <v>27865736.310769685</v>
      </c>
    </row>
    <row r="61" spans="2:6" ht="15.9" customHeight="1">
      <c r="B61" s="232" t="str">
        <f>'Functionalized Accounts'!B66</f>
        <v>Former IESO - Infrastructure &amp; other assets</v>
      </c>
      <c r="C61" s="247" t="s">
        <v>30</v>
      </c>
      <c r="D61" s="121">
        <f>'Functionalized Accounts'!F66</f>
        <v>48132000</v>
      </c>
      <c r="E61" s="99">
        <f>VLOOKUP('TB Allocation Details'!$C58, Allocators!$B$9:$E$195, MATCH(E$8, Allocators!$B$9:$E$9, 0),FALSE)*$D61</f>
        <v>42873229.57686244</v>
      </c>
      <c r="F61" s="122">
        <f>VLOOKUP('TB Allocation Details'!$C58, Allocators!$B$9:$E$195, MATCH(F$8, Allocators!$B$9:$E$9, 0),FALSE)*$D61</f>
        <v>5258770.4231375642</v>
      </c>
    </row>
    <row r="62" spans="2:6" ht="15.9" customHeight="1">
      <c r="B62" s="232" t="str">
        <f>'Functionalized Accounts'!B67</f>
        <v>Former IESO - Assets Under Construction</v>
      </c>
      <c r="C62" s="247" t="s">
        <v>30</v>
      </c>
      <c r="D62" s="121">
        <f>'Functionalized Accounts'!F67</f>
        <v>19671000</v>
      </c>
      <c r="E62" s="99">
        <f>VLOOKUP('TB Allocation Details'!$C59, Allocators!$B$9:$E$195, MATCH(E$8, Allocators!$B$9:$E$9, 0),FALSE)*$D62</f>
        <v>17521800.444744889</v>
      </c>
      <c r="F62" s="122">
        <f>VLOOKUP('TB Allocation Details'!$C59, Allocators!$B$9:$E$195, MATCH(F$8, Allocators!$B$9:$E$9, 0),FALSE)*$D62</f>
        <v>2149199.5552551118</v>
      </c>
    </row>
    <row r="63" spans="2:6" ht="15.9" customHeight="1">
      <c r="B63" s="232" t="str">
        <f>'Functionalized Accounts'!B68</f>
        <v>Former OPA - Furniture &amp; Equipment</v>
      </c>
      <c r="C63" s="247" t="s">
        <v>30</v>
      </c>
      <c r="D63" s="121">
        <f>'Functionalized Accounts'!F68</f>
        <v>3384000</v>
      </c>
      <c r="E63" s="99">
        <f>VLOOKUP('TB Allocation Details'!$C60, Allocators!$B$9:$E$195, MATCH(E$8, Allocators!$B$9:$E$9, 0),FALSE)*$D63</f>
        <v>3066184.3930313443</v>
      </c>
      <c r="F63" s="122">
        <f>VLOOKUP('TB Allocation Details'!$C60, Allocators!$B$9:$E$195, MATCH(F$8, Allocators!$B$9:$E$9, 0),FALSE)*$D63</f>
        <v>317815.60696865659</v>
      </c>
    </row>
    <row r="64" spans="2:6" ht="15.9" customHeight="1">
      <c r="B64" s="232" t="str">
        <f>'Functionalized Accounts'!B69</f>
        <v>Former OPA - Audio Visual</v>
      </c>
      <c r="C64" s="247" t="s">
        <v>30</v>
      </c>
      <c r="D64" s="121">
        <f>'Functionalized Accounts'!F69</f>
        <v>237000</v>
      </c>
      <c r="E64" s="99">
        <f>VLOOKUP('TB Allocation Details'!$C61, Allocators!$B$9:$E$195, MATCH(E$8, Allocators!$B$9:$E$9, 0),FALSE)*$D64</f>
        <v>214741.63745520939</v>
      </c>
      <c r="F64" s="122">
        <f>VLOOKUP('TB Allocation Details'!$C61, Allocators!$B$9:$E$195, MATCH(F$8, Allocators!$B$9:$E$9, 0),FALSE)*$D64</f>
        <v>22258.362544790667</v>
      </c>
    </row>
    <row r="65" spans="2:6" ht="15.9" customHeight="1">
      <c r="B65" s="232" t="str">
        <f>'Functionalized Accounts'!B70</f>
        <v>Former OPA - Telephone</v>
      </c>
      <c r="C65" s="247" t="s">
        <v>30</v>
      </c>
      <c r="D65" s="121">
        <f>'Functionalized Accounts'!F70</f>
        <v>382000</v>
      </c>
      <c r="E65" s="99">
        <f>VLOOKUP('TB Allocation Details'!$C62, Allocators!$B$9:$E$195, MATCH(E$8, Allocators!$B$9:$E$9, 0),FALSE)*$D65</f>
        <v>346123.65193202527</v>
      </c>
      <c r="F65" s="122">
        <f>VLOOKUP('TB Allocation Details'!$C62, Allocators!$B$9:$E$195, MATCH(F$8, Allocators!$B$9:$E$9, 0),FALSE)*$D65</f>
        <v>35876.348067974832</v>
      </c>
    </row>
    <row r="66" spans="2:6" ht="15.9" customHeight="1">
      <c r="B66" s="232" t="str">
        <f>'Functionalized Accounts'!B71</f>
        <v>Former OPA - Leasehold improvements</v>
      </c>
      <c r="C66" s="247" t="s">
        <v>30</v>
      </c>
      <c r="D66" s="121">
        <f>'Functionalized Accounts'!F71</f>
        <v>5219000</v>
      </c>
      <c r="E66" s="99">
        <f>VLOOKUP('TB Allocation Details'!$C63, Allocators!$B$9:$E$195, MATCH(E$8, Allocators!$B$9:$E$9, 0),FALSE)*$D66</f>
        <v>4728846.4383069109</v>
      </c>
      <c r="F66" s="122">
        <f>VLOOKUP('TB Allocation Details'!$C63, Allocators!$B$9:$E$195, MATCH(F$8, Allocators!$B$9:$E$9, 0),FALSE)*$D66</f>
        <v>490153.56169309065</v>
      </c>
    </row>
    <row r="67" spans="2:6" ht="15.9" customHeight="1">
      <c r="B67" s="232" t="str">
        <f>'Functionalized Accounts'!B72</f>
        <v>Former OPA - Computer Hardware</v>
      </c>
      <c r="C67" s="247" t="s">
        <v>30</v>
      </c>
      <c r="D67" s="121">
        <f>'Functionalized Accounts'!F72</f>
        <v>4873000</v>
      </c>
      <c r="E67" s="99">
        <f>VLOOKUP('TB Allocation Details'!$C64, Allocators!$B$9:$E$195, MATCH(E$8, Allocators!$B$9:$E$9, 0),FALSE)*$D67</f>
        <v>4415341.7692794744</v>
      </c>
      <c r="F67" s="122">
        <f>VLOOKUP('TB Allocation Details'!$C64, Allocators!$B$9:$E$195, MATCH(F$8, Allocators!$B$9:$E$9, 0),FALSE)*$D67</f>
        <v>457658.23072052706</v>
      </c>
    </row>
    <row r="68" spans="2:6" ht="15.9" customHeight="1">
      <c r="B68" s="232" t="str">
        <f>'Functionalized Accounts'!B73</f>
        <v>Former OPA - Computer Software</v>
      </c>
      <c r="C68" s="247" t="s">
        <v>30</v>
      </c>
      <c r="D68" s="121">
        <f>'Functionalized Accounts'!F73</f>
        <v>9442000</v>
      </c>
      <c r="E68" s="99">
        <f>VLOOKUP('TB Allocation Details'!$C65, Allocators!$B$9:$E$195, MATCH(E$8, Allocators!$B$9:$E$9, 0),FALSE)*$D68</f>
        <v>8555234.3495868649</v>
      </c>
      <c r="F68" s="122">
        <f>VLOOKUP('TB Allocation Details'!$C65, Allocators!$B$9:$E$195, MATCH(F$8, Allocators!$B$9:$E$9, 0),FALSE)*$D68</f>
        <v>886765.65041313705</v>
      </c>
    </row>
    <row r="69" spans="2:6" ht="15.9" customHeight="1" thickBot="1">
      <c r="B69" s="233" t="str">
        <f>'Functionalized Accounts'!B74</f>
        <v>Accumulated Amortization</v>
      </c>
      <c r="C69" s="248" t="s">
        <v>30</v>
      </c>
      <c r="D69" s="249">
        <f>'Functionalized Accounts'!F74</f>
        <v>-310970000</v>
      </c>
      <c r="E69" s="250">
        <f>'Source Data for Allocators'!D34</f>
        <v>-277286330.46525991</v>
      </c>
      <c r="F69" s="251">
        <f>'Source Data for Allocators'!E34</f>
        <v>-33683669.534740098</v>
      </c>
    </row>
    <row r="70" spans="2:6" ht="15.9" customHeight="1" thickBot="1">
      <c r="C70" s="101"/>
      <c r="D70" s="99"/>
      <c r="E70" s="99"/>
      <c r="F70" s="99"/>
    </row>
    <row r="71" spans="2:6" s="198" customFormat="1" ht="15.9" customHeight="1">
      <c r="B71" s="317" t="s">
        <v>156</v>
      </c>
      <c r="C71" s="318"/>
      <c r="D71" s="319">
        <f>SUM(D9:D69)</f>
        <v>270808932.87757921</v>
      </c>
      <c r="E71" s="319">
        <f>SUM(E9:E69)</f>
        <v>243815208.34956414</v>
      </c>
      <c r="F71" s="320">
        <f>SUM(F9:F69)</f>
        <v>26993724.528015129</v>
      </c>
    </row>
    <row r="72" spans="2:6" ht="15.9" customHeight="1" thickBot="1">
      <c r="B72" s="321" t="s">
        <v>157</v>
      </c>
      <c r="C72" s="322"/>
      <c r="D72" s="323" t="str">
        <f>IF(D71=SUM(E71:F71),"Okay","Error")</f>
        <v>Okay</v>
      </c>
      <c r="E72" s="324"/>
      <c r="F72" s="325"/>
    </row>
    <row r="73" spans="2:6" ht="15.9" customHeight="1">
      <c r="B73" s="22"/>
      <c r="C73" s="101"/>
      <c r="D73" s="99"/>
      <c r="E73" s="99"/>
      <c r="F73" s="99"/>
    </row>
  </sheetData>
  <phoneticPr fontId="6" type="noConversion"/>
  <pageMargins left="0.75" right="0.75" top="1" bottom="1" header="0.5" footer="0.5"/>
  <pageSetup scale="75" orientation="portrait" r:id="rId1"/>
  <headerFooter alignWithMargins="0">
    <oddFooter>&amp;L&amp;Z&amp;F -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1">
    <tabColor indexed="9"/>
  </sheetPr>
  <dimension ref="A1:H92"/>
  <sheetViews>
    <sheetView topLeftCell="A31" workbookViewId="0">
      <pane xSplit="2" topLeftCell="C1" activePane="topRight" state="frozenSplit"/>
      <selection activeCell="A148" sqref="A148"/>
      <selection pane="topRight" activeCell="D28" sqref="D28"/>
    </sheetView>
  </sheetViews>
  <sheetFormatPr defaultColWidth="9.109375" defaultRowHeight="10.199999999999999"/>
  <cols>
    <col min="1" max="1" width="2.6640625" style="210" customWidth="1"/>
    <col min="2" max="2" width="40.33203125" style="207" customWidth="1"/>
    <col min="3" max="3" width="15.6640625" style="208" customWidth="1"/>
    <col min="4" max="4" width="15.6640625" style="209" customWidth="1"/>
    <col min="5" max="5" width="12.33203125" style="209" bestFit="1" customWidth="1"/>
    <col min="6" max="7" width="9.109375" style="200"/>
    <col min="8" max="8" width="7.6640625" style="212" bestFit="1" customWidth="1"/>
    <col min="9" max="16384" width="9.109375" style="200"/>
  </cols>
  <sheetData>
    <row r="1" spans="1:8" ht="21" customHeight="1">
      <c r="A1" s="201" t="s">
        <v>181</v>
      </c>
      <c r="B1" s="202"/>
      <c r="C1" s="203"/>
      <c r="D1" s="203"/>
      <c r="E1" s="204"/>
    </row>
    <row r="2" spans="1:8" ht="6" customHeight="1">
      <c r="A2" s="205"/>
      <c r="B2" s="205"/>
      <c r="C2" s="206"/>
      <c r="D2" s="206"/>
      <c r="E2" s="205"/>
    </row>
    <row r="3" spans="1:8" s="215" customFormat="1" ht="15.75" customHeight="1">
      <c r="A3" s="213"/>
      <c r="B3" s="214"/>
      <c r="C3" s="443"/>
      <c r="D3" s="443"/>
      <c r="E3" s="443"/>
      <c r="H3" s="216"/>
    </row>
    <row r="4" spans="1:8" s="220" customFormat="1" ht="13.2">
      <c r="A4" s="217"/>
      <c r="B4" s="218"/>
      <c r="C4" s="358"/>
      <c r="D4" s="219">
        <v>1</v>
      </c>
      <c r="E4" s="361">
        <v>2</v>
      </c>
      <c r="H4" s="221"/>
    </row>
    <row r="5" spans="1:8" s="211" customFormat="1" ht="15">
      <c r="A5" s="213"/>
      <c r="B5" s="214"/>
      <c r="C5" s="359" t="s">
        <v>33</v>
      </c>
      <c r="D5" s="360" t="str">
        <f>'Revenue to Cost|RR'!D8</f>
        <v>Domestic</v>
      </c>
      <c r="E5" s="360" t="str">
        <f>'Revenue to Cost|RR'!E8</f>
        <v>Export</v>
      </c>
      <c r="H5" s="222"/>
    </row>
    <row r="6" spans="1:8" s="211" customFormat="1" ht="6" customHeight="1">
      <c r="A6" s="213"/>
      <c r="B6" s="228"/>
      <c r="C6" s="224"/>
      <c r="D6" s="223"/>
      <c r="E6" s="223"/>
      <c r="H6" s="222"/>
    </row>
    <row r="7" spans="1:8" s="211" customFormat="1" ht="26.25" customHeight="1" thickBot="1">
      <c r="A7" s="225" t="s">
        <v>177</v>
      </c>
      <c r="B7" s="228"/>
      <c r="C7" s="224"/>
      <c r="D7" s="223"/>
      <c r="E7" s="223"/>
      <c r="H7" s="222"/>
    </row>
    <row r="8" spans="1:8" s="211" customFormat="1" ht="13.2">
      <c r="A8" s="210"/>
      <c r="B8" s="326" t="str">
        <f>'Summary by Class &amp; Accounts'!B59</f>
        <v>Former IESO - Assets</v>
      </c>
      <c r="C8" s="327">
        <f>SUM(D8:E8)</f>
        <v>50501000.000000007</v>
      </c>
      <c r="D8" s="328">
        <f>'Summary by Class &amp; Accounts'!E59</f>
        <v>44983399.128669702</v>
      </c>
      <c r="E8" s="329">
        <f>'Summary by Class &amp; Accounts'!F59</f>
        <v>5517600.8713303031</v>
      </c>
      <c r="H8" s="226"/>
    </row>
    <row r="9" spans="1:8" s="211" customFormat="1" ht="13.2">
      <c r="A9" s="210"/>
      <c r="B9" s="330" t="str">
        <f>'Summary by Class &amp; Accounts'!B60</f>
        <v>Former IESO - Market systems &amp; applications</v>
      </c>
      <c r="C9" s="331">
        <f>SUM(D9:E9)</f>
        <v>255047000</v>
      </c>
      <c r="D9" s="332">
        <f>'Summary by Class &amp; Accounts'!E60</f>
        <v>227181263.68923032</v>
      </c>
      <c r="E9" s="333">
        <f>'Summary by Class &amp; Accounts'!F60</f>
        <v>27865736.310769685</v>
      </c>
      <c r="H9" s="226"/>
    </row>
    <row r="10" spans="1:8" s="211" customFormat="1" ht="13.2">
      <c r="A10" s="210"/>
      <c r="B10" s="330" t="str">
        <f>'Summary by Class &amp; Accounts'!B61</f>
        <v>Former IESO - Infrastructure &amp; other assets</v>
      </c>
      <c r="C10" s="331">
        <f>SUM(D10:E10)</f>
        <v>48132000</v>
      </c>
      <c r="D10" s="332">
        <f>'Summary by Class &amp; Accounts'!E61</f>
        <v>42873229.57686244</v>
      </c>
      <c r="E10" s="333">
        <f>'Summary by Class &amp; Accounts'!F61</f>
        <v>5258770.4231375642</v>
      </c>
      <c r="H10" s="226"/>
    </row>
    <row r="11" spans="1:8" s="211" customFormat="1" ht="13.2">
      <c r="A11" s="210"/>
      <c r="B11" s="330" t="str">
        <f>'Summary by Class &amp; Accounts'!B62</f>
        <v>Former IESO - Assets Under Construction</v>
      </c>
      <c r="C11" s="331">
        <f>SUM(D11:E11)</f>
        <v>19671000</v>
      </c>
      <c r="D11" s="332">
        <f>'Summary by Class &amp; Accounts'!E62</f>
        <v>17521800.444744889</v>
      </c>
      <c r="E11" s="333">
        <f>'Summary by Class &amp; Accounts'!F62</f>
        <v>2149199.5552551118</v>
      </c>
      <c r="H11" s="226"/>
    </row>
    <row r="12" spans="1:8" s="211" customFormat="1" ht="13.2">
      <c r="A12" s="210"/>
      <c r="B12" s="330" t="str">
        <f>'Summary by Class &amp; Accounts'!B63</f>
        <v>Former OPA - Furniture &amp; Equipment</v>
      </c>
      <c r="C12" s="331">
        <f t="shared" ref="C12:C16" si="0">SUM(D12:E12)</f>
        <v>3384000.0000000009</v>
      </c>
      <c r="D12" s="332">
        <f>'Summary by Class &amp; Accounts'!E63</f>
        <v>3066184.3930313443</v>
      </c>
      <c r="E12" s="333">
        <f>'Summary by Class &amp; Accounts'!F63</f>
        <v>317815.60696865659</v>
      </c>
      <c r="H12" s="226"/>
    </row>
    <row r="13" spans="1:8" s="211" customFormat="1" ht="13.2">
      <c r="A13" s="210"/>
      <c r="B13" s="330" t="str">
        <f>'Summary by Class &amp; Accounts'!B64</f>
        <v>Former OPA - Audio Visual</v>
      </c>
      <c r="C13" s="331">
        <f t="shared" si="0"/>
        <v>237000.00000000006</v>
      </c>
      <c r="D13" s="332">
        <f>'Summary by Class &amp; Accounts'!E64</f>
        <v>214741.63745520939</v>
      </c>
      <c r="E13" s="333">
        <f>'Summary by Class &amp; Accounts'!F64</f>
        <v>22258.362544790667</v>
      </c>
      <c r="H13" s="226"/>
    </row>
    <row r="14" spans="1:8" s="211" customFormat="1" ht="13.2">
      <c r="A14" s="210"/>
      <c r="B14" s="330" t="str">
        <f>'Summary by Class &amp; Accounts'!B65</f>
        <v>Former OPA - Telephone</v>
      </c>
      <c r="C14" s="331">
        <f t="shared" si="0"/>
        <v>382000.00000000012</v>
      </c>
      <c r="D14" s="332">
        <f>'Summary by Class &amp; Accounts'!E65</f>
        <v>346123.65193202527</v>
      </c>
      <c r="E14" s="333">
        <f>'Summary by Class &amp; Accounts'!F65</f>
        <v>35876.348067974832</v>
      </c>
      <c r="H14" s="226"/>
    </row>
    <row r="15" spans="1:8" s="211" customFormat="1" ht="13.2">
      <c r="A15" s="210"/>
      <c r="B15" s="330" t="str">
        <f>'Summary by Class &amp; Accounts'!B66</f>
        <v>Former OPA - Leasehold improvements</v>
      </c>
      <c r="C15" s="331">
        <f t="shared" si="0"/>
        <v>5219000.0000000019</v>
      </c>
      <c r="D15" s="332">
        <f>'Summary by Class &amp; Accounts'!E66</f>
        <v>4728846.4383069109</v>
      </c>
      <c r="E15" s="333">
        <f>'Summary by Class &amp; Accounts'!F66</f>
        <v>490153.56169309065</v>
      </c>
      <c r="H15" s="226"/>
    </row>
    <row r="16" spans="1:8" s="211" customFormat="1" ht="13.2">
      <c r="A16" s="210"/>
      <c r="B16" s="330" t="str">
        <f>'Summary by Class &amp; Accounts'!B67</f>
        <v>Former OPA - Computer Hardware</v>
      </c>
      <c r="C16" s="331">
        <f t="shared" si="0"/>
        <v>4873000.0000000019</v>
      </c>
      <c r="D16" s="332">
        <f>'Summary by Class &amp; Accounts'!E67</f>
        <v>4415341.7692794744</v>
      </c>
      <c r="E16" s="333">
        <f>'Summary by Class &amp; Accounts'!F67</f>
        <v>457658.23072052706</v>
      </c>
      <c r="H16" s="226"/>
    </row>
    <row r="17" spans="1:8" s="211" customFormat="1" ht="13.8" thickBot="1">
      <c r="A17" s="210"/>
      <c r="B17" s="334" t="str">
        <f>'Summary by Class &amp; Accounts'!B68</f>
        <v>Former OPA - Computer Software</v>
      </c>
      <c r="C17" s="335">
        <f>SUM(D17:E17)</f>
        <v>9442000.0000000019</v>
      </c>
      <c r="D17" s="336">
        <f>'Summary by Class &amp; Accounts'!E68</f>
        <v>8555234.3495868649</v>
      </c>
      <c r="E17" s="337">
        <f>'Summary by Class &amp; Accounts'!F68</f>
        <v>886765.65041313705</v>
      </c>
      <c r="H17" s="226"/>
    </row>
    <row r="18" spans="1:8" s="211" customFormat="1" ht="13.8" thickBot="1">
      <c r="A18" s="210"/>
      <c r="B18" s="228"/>
      <c r="C18" s="224"/>
      <c r="D18" s="223"/>
      <c r="E18" s="223"/>
      <c r="H18" s="226"/>
    </row>
    <row r="19" spans="1:8" s="211" customFormat="1" ht="13.8" thickBot="1">
      <c r="A19" s="210"/>
      <c r="B19" s="338" t="s">
        <v>130</v>
      </c>
      <c r="C19" s="339">
        <f>SUM(D19:E19)</f>
        <v>396888000</v>
      </c>
      <c r="D19" s="340">
        <f>SUM(D8:D17)</f>
        <v>353886165.07909918</v>
      </c>
      <c r="E19" s="341">
        <f>SUM(E8:E17)</f>
        <v>43001834.920900844</v>
      </c>
      <c r="H19" s="226"/>
    </row>
    <row r="20" spans="1:8" s="211" customFormat="1" ht="13.2">
      <c r="A20" s="210"/>
      <c r="B20" s="228"/>
      <c r="C20" s="224"/>
      <c r="D20" s="223"/>
      <c r="E20" s="223"/>
      <c r="H20" s="226"/>
    </row>
    <row r="21" spans="1:8" s="211" customFormat="1" ht="15.6">
      <c r="A21" s="225" t="s">
        <v>108</v>
      </c>
      <c r="B21" s="228"/>
      <c r="C21" s="224"/>
      <c r="D21" s="223"/>
      <c r="E21" s="223"/>
      <c r="H21" s="226"/>
    </row>
    <row r="22" spans="1:8" s="211" customFormat="1" ht="16.2" thickBot="1">
      <c r="A22" s="225"/>
      <c r="B22" s="228"/>
      <c r="C22" s="224"/>
      <c r="D22" s="223"/>
      <c r="E22" s="223"/>
      <c r="H22" s="226"/>
    </row>
    <row r="23" spans="1:8" s="211" customFormat="1" ht="13.2">
      <c r="A23" s="210"/>
      <c r="B23" s="326" t="str">
        <f>B8</f>
        <v>Former IESO - Assets</v>
      </c>
      <c r="C23" s="327">
        <f>Assets!D7</f>
        <v>-19747000</v>
      </c>
      <c r="D23" s="328">
        <f>$C23*D8/$C8</f>
        <v>-17589496.893008862</v>
      </c>
      <c r="E23" s="329">
        <f>$C23*E8/$C8</f>
        <v>-2157503.1069911383</v>
      </c>
      <c r="H23" s="226"/>
    </row>
    <row r="24" spans="1:8" s="211" customFormat="1" ht="13.2">
      <c r="A24" s="210"/>
      <c r="B24" s="330" t="str">
        <f t="shared" ref="B24:B32" si="1">B9</f>
        <v>Former IESO - Market systems &amp; applications</v>
      </c>
      <c r="C24" s="331">
        <f>Assets!D8</f>
        <v>-234107000</v>
      </c>
      <c r="D24" s="332">
        <f t="shared" ref="D24:E24" si="2">$C24*D9/$C9</f>
        <v>-208529110.70702514</v>
      </c>
      <c r="E24" s="333">
        <f t="shared" si="2"/>
        <v>-25577889.292974859</v>
      </c>
      <c r="H24" s="226"/>
    </row>
    <row r="25" spans="1:8" s="211" customFormat="1" ht="13.2">
      <c r="A25" s="210"/>
      <c r="B25" s="330" t="str">
        <f t="shared" si="1"/>
        <v>Former IESO - Infrastructure &amp; other assets</v>
      </c>
      <c r="C25" s="331">
        <f>Assets!D9</f>
        <v>-38077000</v>
      </c>
      <c r="D25" s="332">
        <f t="shared" ref="D25:E25" si="3">$C25*D10/$C10</f>
        <v>-33916811.322990753</v>
      </c>
      <c r="E25" s="333">
        <f t="shared" si="3"/>
        <v>-4160188.6770092458</v>
      </c>
      <c r="H25" s="226"/>
    </row>
    <row r="26" spans="1:8" s="211" customFormat="1" ht="13.2">
      <c r="A26" s="210"/>
      <c r="B26" s="330" t="str">
        <f t="shared" si="1"/>
        <v>Former IESO - Assets Under Construction</v>
      </c>
      <c r="C26" s="331">
        <f>Assets!D10</f>
        <v>0</v>
      </c>
      <c r="D26" s="332">
        <f t="shared" ref="D26:E26" si="4">$C26*D11/$C11</f>
        <v>0</v>
      </c>
      <c r="E26" s="333">
        <f t="shared" si="4"/>
        <v>0</v>
      </c>
      <c r="H26" s="226"/>
    </row>
    <row r="27" spans="1:8" s="211" customFormat="1" ht="13.2">
      <c r="A27" s="210"/>
      <c r="B27" s="330" t="str">
        <f t="shared" si="1"/>
        <v>Former OPA - Furniture &amp; Equipment</v>
      </c>
      <c r="C27" s="331">
        <f>Assets!D11</f>
        <v>-2506000</v>
      </c>
      <c r="D27" s="332">
        <f t="shared" ref="D27:E27" si="5">$C27*D12/$C12</f>
        <v>-2270643.6433027619</v>
      </c>
      <c r="E27" s="333">
        <f t="shared" si="5"/>
        <v>-235356.35669723793</v>
      </c>
      <c r="H27" s="226"/>
    </row>
    <row r="28" spans="1:8" s="211" customFormat="1" ht="13.2">
      <c r="A28" s="210"/>
      <c r="B28" s="330" t="str">
        <f t="shared" si="1"/>
        <v>Former OPA - Audio Visual</v>
      </c>
      <c r="C28" s="331">
        <f>Assets!D12</f>
        <v>-197000</v>
      </c>
      <c r="D28" s="332">
        <f t="shared" ref="D28:E28" si="6">$C28*D13/$C13</f>
        <v>-178498.32311677738</v>
      </c>
      <c r="E28" s="333">
        <f t="shared" si="6"/>
        <v>-18501.676883222615</v>
      </c>
      <c r="H28" s="226"/>
    </row>
    <row r="29" spans="1:8" s="211" customFormat="1" ht="13.2">
      <c r="A29" s="210"/>
      <c r="B29" s="330" t="str">
        <f t="shared" si="1"/>
        <v>Former OPA - Telephone</v>
      </c>
      <c r="C29" s="331">
        <f>Assets!D13</f>
        <v>-369000</v>
      </c>
      <c r="D29" s="332">
        <f t="shared" ref="D29:E29" si="7">$C29*D14/$C14</f>
        <v>-334344.57477203477</v>
      </c>
      <c r="E29" s="333">
        <f t="shared" si="7"/>
        <v>-34655.425227965206</v>
      </c>
      <c r="H29" s="226"/>
    </row>
    <row r="30" spans="1:8" s="211" customFormat="1" ht="13.2">
      <c r="A30" s="210"/>
      <c r="B30" s="330" t="str">
        <f t="shared" si="1"/>
        <v>Former OPA - Leasehold improvements</v>
      </c>
      <c r="C30" s="331">
        <f>Assets!D14</f>
        <v>-4125000</v>
      </c>
      <c r="D30" s="332">
        <f t="shared" ref="D30:E30" si="8">$C30*D15/$C15</f>
        <v>-3737591.7911507953</v>
      </c>
      <c r="E30" s="333">
        <f t="shared" si="8"/>
        <v>-387408.20884920453</v>
      </c>
      <c r="H30" s="226"/>
    </row>
    <row r="31" spans="1:8" s="211" customFormat="1" ht="13.2">
      <c r="A31" s="210"/>
      <c r="B31" s="330" t="str">
        <f t="shared" si="1"/>
        <v>Former OPA - Computer Hardware</v>
      </c>
      <c r="C31" s="331">
        <f>Assets!D15</f>
        <v>-4663000</v>
      </c>
      <c r="D31" s="332">
        <f t="shared" ref="D31:E31" si="9">$C31*D16/$C16</f>
        <v>-4225064.3690027045</v>
      </c>
      <c r="E31" s="333">
        <f t="shared" si="9"/>
        <v>-437935.63099729462</v>
      </c>
      <c r="H31" s="226"/>
    </row>
    <row r="32" spans="1:8" s="211" customFormat="1" ht="13.8" thickBot="1">
      <c r="A32" s="210"/>
      <c r="B32" s="334" t="str">
        <f t="shared" si="1"/>
        <v>Former OPA - Computer Software</v>
      </c>
      <c r="C32" s="335">
        <f>Assets!D16</f>
        <v>-7179000</v>
      </c>
      <c r="D32" s="336">
        <f t="shared" ref="D32:E32" si="10">$C32*D17/$C17</f>
        <v>-6504768.8408900751</v>
      </c>
      <c r="E32" s="337">
        <f t="shared" si="10"/>
        <v>-674231.1591099248</v>
      </c>
      <c r="H32" s="226"/>
    </row>
    <row r="33" spans="1:8" s="211" customFormat="1" ht="13.8" thickBot="1">
      <c r="A33" s="210"/>
      <c r="B33" s="228"/>
      <c r="C33" s="224"/>
      <c r="D33" s="223"/>
      <c r="E33" s="223"/>
      <c r="H33" s="226"/>
    </row>
    <row r="34" spans="1:8" s="211" customFormat="1" ht="13.8" thickBot="1">
      <c r="A34" s="210"/>
      <c r="B34" s="338" t="s">
        <v>108</v>
      </c>
      <c r="C34" s="339">
        <f>SUM(D34:E34)</f>
        <v>-310970000</v>
      </c>
      <c r="D34" s="340">
        <f>SUM(D23:D32)</f>
        <v>-277286330.46525991</v>
      </c>
      <c r="E34" s="341">
        <f>SUM(E23:E32)</f>
        <v>-33683669.534740098</v>
      </c>
      <c r="H34" s="226"/>
    </row>
    <row r="35" spans="1:8" s="211" customFormat="1" ht="13.8" thickBot="1">
      <c r="A35" s="210"/>
      <c r="B35" s="228"/>
      <c r="C35" s="224"/>
      <c r="D35" s="223"/>
      <c r="E35" s="223"/>
      <c r="H35" s="226"/>
    </row>
    <row r="36" spans="1:8" s="211" customFormat="1" ht="17.25" customHeight="1" thickBot="1">
      <c r="A36" s="210"/>
      <c r="B36" s="338" t="s">
        <v>25</v>
      </c>
      <c r="C36" s="339">
        <f>SUM(D36:E36)</f>
        <v>85918000.000000015</v>
      </c>
      <c r="D36" s="342">
        <f>D19+D34</f>
        <v>76599834.613839269</v>
      </c>
      <c r="E36" s="343">
        <f>E19+E34</f>
        <v>9318165.3861607462</v>
      </c>
      <c r="H36" s="226"/>
    </row>
    <row r="37" spans="1:8" s="211" customFormat="1" ht="13.2">
      <c r="A37" s="227"/>
      <c r="B37" s="228"/>
      <c r="C37" s="224"/>
      <c r="D37" s="223"/>
      <c r="E37" s="223"/>
      <c r="H37" s="226"/>
    </row>
    <row r="39" spans="1:8" ht="15.6">
      <c r="A39" s="225" t="s">
        <v>131</v>
      </c>
      <c r="B39" s="228"/>
      <c r="C39" s="224"/>
      <c r="D39" s="223"/>
      <c r="E39" s="223"/>
    </row>
    <row r="40" spans="1:8" ht="16.2" thickBot="1">
      <c r="A40" s="225"/>
      <c r="B40" s="228"/>
      <c r="C40" s="224"/>
      <c r="D40" s="223"/>
      <c r="E40" s="223"/>
    </row>
    <row r="41" spans="1:8" ht="13.2">
      <c r="B41" s="326" t="str">
        <f>B8</f>
        <v>Former IESO - Assets</v>
      </c>
      <c r="C41" s="327">
        <f>Assets!I7</f>
        <v>738287.76277463289</v>
      </c>
      <c r="D41" s="328">
        <f>$C41*D8/$C8</f>
        <v>657624.4649552271</v>
      </c>
      <c r="E41" s="329">
        <f>$C41*E8/$C8</f>
        <v>80663.297819405838</v>
      </c>
    </row>
    <row r="42" spans="1:8" ht="13.2">
      <c r="B42" s="330" t="str">
        <f t="shared" ref="B42:B50" si="11">B9</f>
        <v>Former IESO - Market systems &amp; applications</v>
      </c>
      <c r="C42" s="331">
        <f>Assets!I8</f>
        <v>11632845.658403415</v>
      </c>
      <c r="D42" s="332">
        <f t="shared" ref="D42:E42" si="12">$C42*D9/$C9</f>
        <v>10361872.81943275</v>
      </c>
      <c r="E42" s="333">
        <f t="shared" si="12"/>
        <v>1270972.8389706663</v>
      </c>
    </row>
    <row r="43" spans="1:8" ht="13.2">
      <c r="B43" s="330" t="str">
        <f t="shared" si="11"/>
        <v>Former IESO - Infrastructure &amp; other assets</v>
      </c>
      <c r="C43" s="331">
        <f>Assets!I9</f>
        <v>4456479.841055979</v>
      </c>
      <c r="D43" s="332">
        <f t="shared" ref="D43:E43" si="13">$C43*D10/$C10</f>
        <v>3969577.06578269</v>
      </c>
      <c r="E43" s="333">
        <f t="shared" si="13"/>
        <v>486902.77527328965</v>
      </c>
    </row>
    <row r="44" spans="1:8" ht="13.2">
      <c r="B44" s="330" t="str">
        <f t="shared" si="11"/>
        <v>Former IESO - Assets Under Construction</v>
      </c>
      <c r="C44" s="331">
        <f>Assets!I10</f>
        <v>0</v>
      </c>
      <c r="D44" s="332">
        <f t="shared" ref="D44:E44" si="14">$C44*D11/$C11</f>
        <v>0</v>
      </c>
      <c r="E44" s="333">
        <f t="shared" si="14"/>
        <v>0</v>
      </c>
    </row>
    <row r="45" spans="1:8" ht="13.2">
      <c r="B45" s="330" t="str">
        <f t="shared" si="11"/>
        <v>Former OPA - Furniture &amp; Equipment</v>
      </c>
      <c r="C45" s="331">
        <f>Assets!I11</f>
        <v>187992.11894955661</v>
      </c>
      <c r="D45" s="332">
        <f t="shared" ref="D45:E45" si="15">$C45*D12/$C12</f>
        <v>170336.43650591676</v>
      </c>
      <c r="E45" s="333">
        <f t="shared" si="15"/>
        <v>17655.682443639835</v>
      </c>
    </row>
    <row r="46" spans="1:8" ht="13.2">
      <c r="B46" s="330" t="str">
        <f t="shared" si="11"/>
        <v>Former OPA - Audio Visual</v>
      </c>
      <c r="C46" s="331">
        <f>Assets!I12</f>
        <v>13166.114713665756</v>
      </c>
      <c r="D46" s="332">
        <f t="shared" ref="D46:E46" si="16">$C46*D13/$C13</f>
        <v>11929.590854581051</v>
      </c>
      <c r="E46" s="333">
        <f t="shared" si="16"/>
        <v>1236.523859084705</v>
      </c>
    </row>
    <row r="47" spans="1:8" ht="13.2">
      <c r="B47" s="330" t="str">
        <f t="shared" si="11"/>
        <v>Former OPA - Telephone</v>
      </c>
      <c r="C47" s="331">
        <f>Assets!I13</f>
        <v>7221.9194631921873</v>
      </c>
      <c r="D47" s="332">
        <f t="shared" ref="D47:E47" si="17">$C47*D14/$C14</f>
        <v>6543.657430782855</v>
      </c>
      <c r="E47" s="333">
        <f t="shared" si="17"/>
        <v>678.26203240933194</v>
      </c>
    </row>
    <row r="48" spans="1:8" ht="13.2">
      <c r="B48" s="330" t="str">
        <f t="shared" si="11"/>
        <v>Former OPA - Leasehold improvements</v>
      </c>
      <c r="C48" s="331">
        <f>Assets!I14</f>
        <v>289932.28983384633</v>
      </c>
      <c r="D48" s="332">
        <f t="shared" ref="D48:E48" si="18">$C48*D15/$C15</f>
        <v>262702.67793273629</v>
      </c>
      <c r="E48" s="333">
        <f t="shared" si="18"/>
        <v>27229.61190111002</v>
      </c>
    </row>
    <row r="49" spans="1:5" ht="13.2">
      <c r="B49" s="330" t="str">
        <f t="shared" si="11"/>
        <v>Former OPA - Computer Hardware</v>
      </c>
      <c r="C49" s="331">
        <f>Assets!I15</f>
        <v>116661.77594387378</v>
      </c>
      <c r="D49" s="332">
        <f t="shared" ref="D49:E49" si="19">$C49*D16/$C16</f>
        <v>105705.23542033842</v>
      </c>
      <c r="E49" s="333">
        <f t="shared" si="19"/>
        <v>10956.540523535357</v>
      </c>
    </row>
    <row r="50" spans="1:5" ht="13.8" thickBot="1">
      <c r="B50" s="334" t="str">
        <f t="shared" si="11"/>
        <v>Former OPA - Computer Software</v>
      </c>
      <c r="C50" s="335">
        <f>Assets!I16</f>
        <v>1257169.51886184</v>
      </c>
      <c r="D50" s="336">
        <f t="shared" ref="D50:E50" si="20">$C50*D17/$C17</f>
        <v>1139099.7512201234</v>
      </c>
      <c r="E50" s="337">
        <f t="shared" si="20"/>
        <v>118069.76764171678</v>
      </c>
    </row>
    <row r="51" spans="1:5" ht="13.8" thickBot="1">
      <c r="B51" s="228"/>
      <c r="C51" s="224"/>
      <c r="D51" s="223"/>
      <c r="E51" s="223"/>
    </row>
    <row r="52" spans="1:5" ht="13.8" thickBot="1">
      <c r="B52" s="338" t="s">
        <v>155</v>
      </c>
      <c r="C52" s="339">
        <f>SUM(D52:E52)</f>
        <v>18699757.000000007</v>
      </c>
      <c r="D52" s="340">
        <f>SUM(D41:D50)</f>
        <v>16685391.699535148</v>
      </c>
      <c r="E52" s="341">
        <f>SUM(E41:E50)</f>
        <v>2014365.3004648578</v>
      </c>
    </row>
    <row r="55" spans="1:5" ht="15.6">
      <c r="A55" s="225" t="s">
        <v>140</v>
      </c>
    </row>
    <row r="56" spans="1:5" ht="10.8" thickBot="1"/>
    <row r="57" spans="1:5" ht="13.2">
      <c r="B57" s="326" t="str">
        <f>'Summary by Class &amp; Accounts'!B10</f>
        <v>CEO - CEO Office - NERC Membership</v>
      </c>
      <c r="C57" s="327">
        <f>'Summary by Class &amp; Accounts'!D10</f>
        <v>3898639.9999999995</v>
      </c>
      <c r="D57" s="328">
        <f>'Summary by Class &amp; Accounts'!E10</f>
        <v>1949319.9999999998</v>
      </c>
      <c r="E57" s="329">
        <f>'Summary by Class &amp; Accounts'!F10</f>
        <v>1949319.9999999998</v>
      </c>
    </row>
    <row r="58" spans="1:5" ht="13.2">
      <c r="B58" s="330" t="str">
        <f>'Summary by Class &amp; Accounts'!B12</f>
        <v>Market and System Operations - VP Office</v>
      </c>
      <c r="C58" s="331">
        <f>'Summary by Class &amp; Accounts'!D12</f>
        <v>1407934.602453477</v>
      </c>
      <c r="D58" s="332">
        <f>'Summary by Class &amp; Accounts'!E12</f>
        <v>1254107.5259743303</v>
      </c>
      <c r="E58" s="333">
        <f>'Summary by Class &amp; Accounts'!F12</f>
        <v>153827.07647914672</v>
      </c>
    </row>
    <row r="59" spans="1:5" ht="26.4">
      <c r="B59" s="330" t="str">
        <f>'Summary by Class &amp; Accounts'!B13</f>
        <v>Market and System Operations - System Performance</v>
      </c>
      <c r="C59" s="331">
        <f>'Summary by Class &amp; Accounts'!D13</f>
        <v>6198802.96355558</v>
      </c>
      <c r="D59" s="332">
        <f>'Summary by Class &amp; Accounts'!E13</f>
        <v>5521538.7384329261</v>
      </c>
      <c r="E59" s="333">
        <f>'Summary by Class &amp; Accounts'!F13</f>
        <v>677264.22512265365</v>
      </c>
    </row>
    <row r="60" spans="1:5" ht="26.4">
      <c r="B60" s="330" t="str">
        <f>'Summary by Class &amp; Accounts'!B14</f>
        <v>Market and System Operations - Reliability Assessments</v>
      </c>
      <c r="C60" s="331">
        <f>'Summary by Class &amp; Accounts'!D14</f>
        <v>3634163.3588411813</v>
      </c>
      <c r="D60" s="332">
        <f>'Summary by Class &amp; Accounts'!E14</f>
        <v>3237104.6290081334</v>
      </c>
      <c r="E60" s="333">
        <f>'Summary by Class &amp; Accounts'!F14</f>
        <v>397058.72983304813</v>
      </c>
    </row>
    <row r="61" spans="1:5" ht="26.4">
      <c r="B61" s="330" t="str">
        <f>'Summary by Class &amp; Accounts'!B15</f>
        <v>Market and System Operations - Connections &amp; Registration</v>
      </c>
      <c r="C61" s="331">
        <f>'Summary by Class &amp; Accounts'!D15</f>
        <v>4987699.8668681663</v>
      </c>
      <c r="D61" s="332">
        <f>'Summary by Class &amp; Accounts'!E15</f>
        <v>4442757.4472850719</v>
      </c>
      <c r="E61" s="333">
        <f>'Summary by Class &amp; Accounts'!F15</f>
        <v>544942.41958309407</v>
      </c>
    </row>
    <row r="62" spans="1:5" ht="26.4">
      <c r="B62" s="330" t="str">
        <f>'Summary by Class &amp; Accounts'!B16</f>
        <v>Market and System Operations - Operational Effectiveness</v>
      </c>
      <c r="C62" s="331">
        <f>'Summary by Class &amp; Accounts'!D16</f>
        <v>3634963.924583504</v>
      </c>
      <c r="D62" s="332">
        <f>'Summary by Class &amp; Accounts'!E16</f>
        <v>3237817.7271312526</v>
      </c>
      <c r="E62" s="333">
        <f>'Summary by Class &amp; Accounts'!F16</f>
        <v>397146.19745225162</v>
      </c>
    </row>
    <row r="63" spans="1:5" ht="26.4">
      <c r="B63" s="330" t="str">
        <f>'Summary by Class &amp; Accounts'!B17</f>
        <v>Market and System Operations - System Operations</v>
      </c>
      <c r="C63" s="331">
        <f>'Summary by Class &amp; Accounts'!D17</f>
        <v>11891778.805312574</v>
      </c>
      <c r="D63" s="332">
        <f>'Summary by Class &amp; Accounts'!E17</f>
        <v>10592515.640269112</v>
      </c>
      <c r="E63" s="333">
        <f>'Summary by Class &amp; Accounts'!F17</f>
        <v>1299263.1650434623</v>
      </c>
    </row>
    <row r="64" spans="1:5" ht="26.4">
      <c r="B64" s="330" t="str">
        <f>'Summary by Class &amp; Accounts'!B18</f>
        <v>Market and System Operations - Market Forecasts &amp; Integration</v>
      </c>
      <c r="C64" s="331">
        <f>'Summary by Class &amp; Accounts'!D18</f>
        <v>2602329.5853714114</v>
      </c>
      <c r="D64" s="332">
        <f>'Summary by Class &amp; Accounts'!E18</f>
        <v>2318006.1860776562</v>
      </c>
      <c r="E64" s="333">
        <f>'Summary by Class &amp; Accounts'!F18</f>
        <v>284323.39929375512</v>
      </c>
    </row>
    <row r="65" spans="2:5" ht="26.4">
      <c r="B65" s="330" t="str">
        <f>'Summary by Class &amp; Accounts'!B19</f>
        <v>Market and System Operations - Operations Change Initiatives</v>
      </c>
      <c r="C65" s="331">
        <f>'Summary by Class &amp; Accounts'!D19</f>
        <v>910270.4806976543</v>
      </c>
      <c r="D65" s="332">
        <f>'Summary by Class &amp; Accounts'!E19</f>
        <v>810816.8224048753</v>
      </c>
      <c r="E65" s="333">
        <f>'Summary by Class &amp; Accounts'!F19</f>
        <v>99453.658292778986</v>
      </c>
    </row>
    <row r="66" spans="2:5" ht="13.2">
      <c r="B66" s="330" t="str">
        <f>'Summary by Class &amp; Accounts'!B20</f>
        <v>Market and Resource Development - VP Office</v>
      </c>
      <c r="C66" s="331">
        <f>'Summary by Class &amp; Accounts'!D20</f>
        <v>1228410</v>
      </c>
      <c r="D66" s="332">
        <f>'Summary by Class &amp; Accounts'!E20</f>
        <v>1187600.6700031601</v>
      </c>
      <c r="E66" s="333">
        <f>'Summary by Class &amp; Accounts'!F20</f>
        <v>40809.329996839966</v>
      </c>
    </row>
    <row r="67" spans="2:5" ht="26.4">
      <c r="B67" s="330" t="str">
        <f>'Summary by Class &amp; Accounts'!B21</f>
        <v>Market and Resource Development - Contract Management</v>
      </c>
      <c r="C67" s="331">
        <f>'Summary by Class &amp; Accounts'!D21</f>
        <v>7245981</v>
      </c>
      <c r="D67" s="332">
        <f>'Summary by Class &amp; Accounts'!E21</f>
        <v>7245981</v>
      </c>
      <c r="E67" s="333">
        <f>'Summary by Class &amp; Accounts'!F21</f>
        <v>0</v>
      </c>
    </row>
    <row r="68" spans="2:5" ht="26.4">
      <c r="B68" s="330" t="str">
        <f>'Summary by Class &amp; Accounts'!B22</f>
        <v>Market and Resource Development - Renewable Procurement</v>
      </c>
      <c r="C68" s="331">
        <f>'Summary by Class &amp; Accounts'!D22</f>
        <v>2661529</v>
      </c>
      <c r="D68" s="332">
        <f>'Summary by Class &amp; Accounts'!E22</f>
        <v>2661529</v>
      </c>
      <c r="E68" s="333">
        <f>'Summary by Class &amp; Accounts'!F22</f>
        <v>0</v>
      </c>
    </row>
    <row r="69" spans="2:5" ht="26.4">
      <c r="B69" s="330" t="str">
        <f>'Summary by Class &amp; Accounts'!B23</f>
        <v>Market and Resource Development - Clean Energy Procurement</v>
      </c>
      <c r="C69" s="331">
        <f>'Summary by Class &amp; Accounts'!D23</f>
        <v>1224621.9999999998</v>
      </c>
      <c r="D69" s="332">
        <f>'Summary by Class &amp; Accounts'!E23</f>
        <v>1224621.9999999998</v>
      </c>
      <c r="E69" s="333">
        <f>'Summary by Class &amp; Accounts'!F23</f>
        <v>0</v>
      </c>
    </row>
    <row r="70" spans="2:5" ht="26.4">
      <c r="B70" s="330" t="str">
        <f>'Summary by Class &amp; Accounts'!B24</f>
        <v>Market and Resource Development - Policy &amp; Analysis</v>
      </c>
      <c r="C70" s="331">
        <f>'Summary by Class &amp; Accounts'!D24</f>
        <v>1455034.9999999998</v>
      </c>
      <c r="D70" s="332">
        <f>'Summary by Class &amp; Accounts'!E24</f>
        <v>1455034.9999999998</v>
      </c>
      <c r="E70" s="333">
        <f>'Summary by Class &amp; Accounts'!F24</f>
        <v>0</v>
      </c>
    </row>
    <row r="71" spans="2:5" ht="13.2">
      <c r="B71" s="330" t="str">
        <f>'Summary by Class &amp; Accounts'!B25</f>
        <v>Market and Resource Development - Markets</v>
      </c>
      <c r="C71" s="331">
        <f>'Summary by Class &amp; Accounts'!D25</f>
        <v>5499521</v>
      </c>
      <c r="D71" s="332">
        <f>'Summary by Class &amp; Accounts'!E25</f>
        <v>4898658.4059622725</v>
      </c>
      <c r="E71" s="333">
        <f>'Summary by Class &amp; Accounts'!F25</f>
        <v>600862.59403772792</v>
      </c>
    </row>
    <row r="72" spans="2:5" ht="26.4">
      <c r="B72" s="330" t="str">
        <f>'Summary by Class &amp; Accounts'!B26</f>
        <v>Conservation and Corporate Relations - VP Office</v>
      </c>
      <c r="C72" s="331">
        <f>'Summary by Class &amp; Accounts'!D26</f>
        <v>764142.34188076179</v>
      </c>
      <c r="D72" s="332">
        <f>'Summary by Class &amp; Accounts'!E26</f>
        <v>723073.05207814905</v>
      </c>
      <c r="E72" s="333">
        <f>'Summary by Class &amp; Accounts'!F26</f>
        <v>41069.289802612759</v>
      </c>
    </row>
    <row r="73" spans="2:5" ht="26.4">
      <c r="B73" s="330" t="str">
        <f>'Summary by Class &amp; Accounts'!B27</f>
        <v>Conservation and Corporate Relations - Conservation Performance</v>
      </c>
      <c r="C73" s="331">
        <f>'Summary by Class &amp; Accounts'!D27</f>
        <v>4091444.9756630883</v>
      </c>
      <c r="D73" s="332">
        <f>'Summary by Class &amp; Accounts'!E27</f>
        <v>4091444.9756630883</v>
      </c>
      <c r="E73" s="333">
        <f>'Summary by Class &amp; Accounts'!F27</f>
        <v>0</v>
      </c>
    </row>
    <row r="74" spans="2:5" ht="26.4">
      <c r="B74" s="330" t="str">
        <f>'Summary by Class &amp; Accounts'!B28</f>
        <v>Conservation and Corporate Relations - Business Development</v>
      </c>
      <c r="C74" s="331">
        <f>'Summary by Class &amp; Accounts'!D28</f>
        <v>2389846.7074152329</v>
      </c>
      <c r="D74" s="332">
        <f>'Summary by Class &amp; Accounts'!E28</f>
        <v>2389846.7074152329</v>
      </c>
      <c r="E74" s="333">
        <f>'Summary by Class &amp; Accounts'!F28</f>
        <v>0</v>
      </c>
    </row>
    <row r="75" spans="2:5" ht="26.4">
      <c r="B75" s="330" t="str">
        <f>'Summary by Class &amp; Accounts'!B29</f>
        <v>Conservation and Corporate Relations - Strategic Engagement &amp; Innovation</v>
      </c>
      <c r="C75" s="331">
        <f>'Summary by Class &amp; Accounts'!D29</f>
        <v>3218911.0738582825</v>
      </c>
      <c r="D75" s="332">
        <f>'Summary by Class &amp; Accounts'!E29</f>
        <v>2867221.6707602208</v>
      </c>
      <c r="E75" s="333">
        <f>'Summary by Class &amp; Accounts'!F29</f>
        <v>351689.40309806186</v>
      </c>
    </row>
    <row r="76" spans="2:5" ht="26.4">
      <c r="B76" s="330" t="str">
        <f>'Summary by Class &amp; Accounts'!B30</f>
        <v>Conservation and Corporate Relations - Program Delivery &amp; Partner Services</v>
      </c>
      <c r="C76" s="331">
        <f>'Summary by Class &amp; Accounts'!D30</f>
        <v>2058304.3191757097</v>
      </c>
      <c r="D76" s="332">
        <f>'Summary by Class &amp; Accounts'!E30</f>
        <v>2058304.3191757097</v>
      </c>
      <c r="E76" s="333">
        <f>'Summary by Class &amp; Accounts'!F30</f>
        <v>0</v>
      </c>
    </row>
    <row r="77" spans="2:5" ht="26.4">
      <c r="B77" s="330" t="str">
        <f>'Summary by Class &amp; Accounts'!B31</f>
        <v>Conservation and Corporate Relations - Stakeholders &amp; Public Affairs</v>
      </c>
      <c r="C77" s="331">
        <f>'Summary by Class &amp; Accounts'!D31</f>
        <v>4520580.5476868805</v>
      </c>
      <c r="D77" s="332">
        <f>'Summary by Class &amp; Accounts'!E31</f>
        <v>4026674.3048632541</v>
      </c>
      <c r="E77" s="333">
        <f>'Summary by Class &amp; Accounts'!F31</f>
        <v>493906.24282362626</v>
      </c>
    </row>
    <row r="78" spans="2:5" ht="26.4">
      <c r="B78" s="330" t="str">
        <f>'Summary by Class &amp; Accounts'!B32</f>
        <v>Conservation and Corporate Relations - Marketing</v>
      </c>
      <c r="C78" s="331">
        <f>'Summary by Class &amp; Accounts'!D32</f>
        <v>528424.32374333299</v>
      </c>
      <c r="D78" s="332">
        <f>'Summary by Class &amp; Accounts'!E32</f>
        <v>470690.13018046611</v>
      </c>
      <c r="E78" s="333">
        <f>'Summary by Class &amp; Accounts'!F32</f>
        <v>57734.19356286688</v>
      </c>
    </row>
    <row r="79" spans="2:5" ht="26.4">
      <c r="B79" s="330" t="str">
        <f>'Summary by Class &amp; Accounts'!B40</f>
        <v>Information and Technology Services - Support of Market and System Operation</v>
      </c>
      <c r="C79" s="331">
        <f>'Summary by Class &amp; Accounts'!D40</f>
        <v>0</v>
      </c>
      <c r="D79" s="332">
        <f>'Summary by Class &amp; Accounts'!E40</f>
        <v>0</v>
      </c>
      <c r="E79" s="333">
        <f>'Summary by Class &amp; Accounts'!F40</f>
        <v>0</v>
      </c>
    </row>
    <row r="80" spans="2:5" ht="26.4">
      <c r="B80" s="330" t="str">
        <f>'Summary by Class &amp; Accounts'!B41</f>
        <v>Planning, Law and Aboriginal Relations - VP Office</v>
      </c>
      <c r="C80" s="331">
        <f>'Summary by Class &amp; Accounts'!D41</f>
        <v>1318290</v>
      </c>
      <c r="D80" s="332">
        <f>'Summary by Class &amp; Accounts'!E41</f>
        <v>1232432.1870595641</v>
      </c>
      <c r="E80" s="333">
        <f>'Summary by Class &amp; Accounts'!F41</f>
        <v>85857.812940435935</v>
      </c>
    </row>
    <row r="81" spans="2:5" ht="26.4">
      <c r="B81" s="330" t="str">
        <f>'Summary by Class &amp; Accounts'!B42</f>
        <v>Planning, Law and Aboriginal Relations - General Counsel</v>
      </c>
      <c r="C81" s="331">
        <f>'Summary by Class &amp; Accounts'!D42</f>
        <v>4194831</v>
      </c>
      <c r="D81" s="332">
        <f>'Summary by Class &amp; Accounts'!E42</f>
        <v>3736515.2601001295</v>
      </c>
      <c r="E81" s="333">
        <f>'Summary by Class &amp; Accounts'!F42</f>
        <v>458315.73989987065</v>
      </c>
    </row>
    <row r="82" spans="2:5" ht="26.4">
      <c r="B82" s="330" t="str">
        <f>'Summary by Class &amp; Accounts'!B43</f>
        <v>Planning, Law and Aboriginal Relations - Regulatory Affairs</v>
      </c>
      <c r="C82" s="331">
        <f>'Summary by Class &amp; Accounts'!D43</f>
        <v>3267801.9999999995</v>
      </c>
      <c r="D82" s="332">
        <f>'Summary by Class &amp; Accounts'!E43</f>
        <v>2910770.908288253</v>
      </c>
      <c r="E82" s="333">
        <f>'Summary by Class &amp; Accounts'!F43</f>
        <v>357031.09171174641</v>
      </c>
    </row>
    <row r="83" spans="2:5" ht="13.2">
      <c r="B83" s="330" t="str">
        <f>'Summary by Class &amp; Accounts'!B44</f>
        <v>Planning, Law and Aboriginal Relations - Board</v>
      </c>
      <c r="C83" s="331">
        <f>'Summary by Class &amp; Accounts'!D44</f>
        <v>715210</v>
      </c>
      <c r="D83" s="332">
        <f>'Summary by Class &amp; Accounts'!E44</f>
        <v>637068.11530100112</v>
      </c>
      <c r="E83" s="333">
        <f>'Summary by Class &amp; Accounts'!F44</f>
        <v>78141.884698998954</v>
      </c>
    </row>
    <row r="84" spans="2:5" ht="26.4">
      <c r="B84" s="330" t="str">
        <f>'Summary by Class &amp; Accounts'!B45</f>
        <v>Planning, Law and Aboriginal Relations - First Nations &amp; Metis Relations</v>
      </c>
      <c r="C84" s="331">
        <f>'Summary by Class &amp; Accounts'!D45</f>
        <v>807900</v>
      </c>
      <c r="D84" s="332">
        <f>'Summary by Class &amp; Accounts'!E45</f>
        <v>807900</v>
      </c>
      <c r="E84" s="333">
        <f>'Summary by Class &amp; Accounts'!F45</f>
        <v>0</v>
      </c>
    </row>
    <row r="85" spans="2:5" ht="26.4">
      <c r="B85" s="330" t="str">
        <f>'Summary by Class &amp; Accounts'!B46</f>
        <v xml:space="preserve">Planning, Law and Aboriginal Relations - Transmission Integration </v>
      </c>
      <c r="C85" s="331">
        <f>'Summary by Class &amp; Accounts'!D46</f>
        <v>2025408</v>
      </c>
      <c r="D85" s="332">
        <f>'Summary by Class &amp; Accounts'!E46</f>
        <v>2025408</v>
      </c>
      <c r="E85" s="333">
        <f>'Summary by Class &amp; Accounts'!F46</f>
        <v>0</v>
      </c>
    </row>
    <row r="86" spans="2:5" ht="26.4">
      <c r="B86" s="330" t="str">
        <f>'Summary by Class &amp; Accounts'!B47</f>
        <v>Planning, Law and Aboriginal Relations - Resource Integration</v>
      </c>
      <c r="C86" s="331">
        <f>'Summary by Class &amp; Accounts'!D47</f>
        <v>2360010</v>
      </c>
      <c r="D86" s="332">
        <f>'Summary by Class &amp; Accounts'!E47</f>
        <v>2360010</v>
      </c>
      <c r="E86" s="333">
        <f>'Summary by Class &amp; Accounts'!F47</f>
        <v>0</v>
      </c>
    </row>
    <row r="87" spans="2:5" ht="26.4">
      <c r="B87" s="330" t="str">
        <f>'Summary by Class &amp; Accounts'!B48</f>
        <v>Planning, Law and Aboriginal Relations - Conservation Inegration</v>
      </c>
      <c r="C87" s="331">
        <f>'Summary by Class &amp; Accounts'!D48</f>
        <v>347768</v>
      </c>
      <c r="D87" s="332">
        <f>'Summary by Class &amp; Accounts'!E48</f>
        <v>347768</v>
      </c>
      <c r="E87" s="333">
        <f>'Summary by Class &amp; Accounts'!F48</f>
        <v>0</v>
      </c>
    </row>
    <row r="88" spans="2:5" ht="13.2">
      <c r="B88" s="330" t="str">
        <f>'Summary by Class &amp; Accounts'!B50</f>
        <v>Corporate Services - Corporate Controller</v>
      </c>
      <c r="C88" s="331">
        <f>'Summary by Class &amp; Accounts'!D50</f>
        <v>3294988</v>
      </c>
      <c r="D88" s="332">
        <f>'Summary by Class &amp; Accounts'!E50</f>
        <v>2934986.640426469</v>
      </c>
      <c r="E88" s="333">
        <f>'Summary by Class &amp; Accounts'!F50</f>
        <v>360001.35957353108</v>
      </c>
    </row>
    <row r="89" spans="2:5" ht="13.2">
      <c r="B89" s="330" t="str">
        <f>'Summary by Class &amp; Accounts'!B54</f>
        <v>Corporate Services - Settlements</v>
      </c>
      <c r="C89" s="331">
        <f>'Summary by Class &amp; Accounts'!D54</f>
        <v>5279476</v>
      </c>
      <c r="D89" s="332">
        <f>'Summary by Class &amp; Accounts'!E54</f>
        <v>4702654.919669563</v>
      </c>
      <c r="E89" s="333">
        <f>'Summary by Class &amp; Accounts'!F54</f>
        <v>576821.08033043751</v>
      </c>
    </row>
    <row r="90" spans="2:5" ht="13.8" thickBot="1">
      <c r="B90" s="334" t="str">
        <f>'Summary by Class &amp; Accounts'!B55</f>
        <v>MACD</v>
      </c>
      <c r="C90" s="335">
        <f>'Summary by Class &amp; Accounts'!D55</f>
        <v>3612409.6494124699</v>
      </c>
      <c r="D90" s="336">
        <f>'Summary by Class &amp; Accounts'!E55</f>
        <v>3217727.6702595772</v>
      </c>
      <c r="E90" s="337">
        <f>'Summary by Class &amp; Accounts'!F55</f>
        <v>394681.97915289277</v>
      </c>
    </row>
    <row r="91" spans="2:5" ht="13.8" thickBot="1">
      <c r="B91" s="228"/>
      <c r="C91" s="224"/>
      <c r="D91" s="223"/>
      <c r="E91" s="223"/>
    </row>
    <row r="92" spans="2:5" ht="13.8" thickBot="1">
      <c r="B92" s="338" t="s">
        <v>154</v>
      </c>
      <c r="C92" s="339">
        <f>SUM(C57:C90)</f>
        <v>103277428.52651928</v>
      </c>
      <c r="D92" s="340">
        <f>SUM(D57:D90)</f>
        <v>93577907.653789476</v>
      </c>
      <c r="E92" s="341">
        <f>SUM(E57:E90)</f>
        <v>9699520.8727298398</v>
      </c>
    </row>
  </sheetData>
  <mergeCells count="1">
    <mergeCell ref="C3:E3"/>
  </mergeCells>
  <printOptions headings="1" gridLines="1"/>
  <pageMargins left="0.74803149606299213" right="0.74803149606299213" top="0.19685039370078741" bottom="0.19685039370078741" header="0.11811023622047245" footer="0"/>
  <pageSetup scale="6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3">
    <tabColor indexed="34"/>
  </sheetPr>
  <dimension ref="A1:F34"/>
  <sheetViews>
    <sheetView topLeftCell="A22" workbookViewId="0">
      <selection activeCell="H43" sqref="H43"/>
    </sheetView>
  </sheetViews>
  <sheetFormatPr defaultColWidth="7.5546875" defaultRowHeight="10.199999999999999"/>
  <cols>
    <col min="1" max="1" width="69.33203125" style="69" customWidth="1"/>
    <col min="2" max="2" width="11.5546875" style="73" customWidth="1"/>
    <col min="3" max="3" width="10.6640625" style="142" customWidth="1"/>
    <col min="4" max="4" width="11.44140625" style="135" customWidth="1"/>
    <col min="5" max="5" width="7.44140625" style="135" bestFit="1" customWidth="1"/>
    <col min="6" max="16384" width="7.5546875" style="6"/>
  </cols>
  <sheetData>
    <row r="1" spans="1:5" s="1" customFormat="1" ht="21" customHeight="1">
      <c r="A1" s="57" t="str">
        <f>"Allocator Worksheet "</f>
        <v xml:space="preserve">Allocator Worksheet </v>
      </c>
      <c r="B1" s="58"/>
      <c r="C1" s="87"/>
      <c r="D1" s="87"/>
      <c r="E1" s="59"/>
    </row>
    <row r="2" spans="1:5" s="1" customFormat="1" ht="6" customHeight="1">
      <c r="A2" s="2"/>
      <c r="B2" s="2"/>
      <c r="C2" s="88"/>
      <c r="D2" s="88"/>
      <c r="E2" s="2"/>
    </row>
    <row r="3" spans="1:5" ht="15">
      <c r="A3" s="138"/>
      <c r="C3" s="139"/>
      <c r="D3" s="140"/>
      <c r="E3" s="140"/>
    </row>
    <row r="4" spans="1:5">
      <c r="A4" s="141"/>
    </row>
    <row r="5" spans="1:5" s="134" customFormat="1" ht="13.2">
      <c r="A5" s="15"/>
      <c r="B5" s="73"/>
      <c r="C5" s="143"/>
      <c r="D5" s="133"/>
      <c r="E5" s="133"/>
    </row>
    <row r="6" spans="1:5" s="134" customFormat="1">
      <c r="B6" s="73"/>
      <c r="C6" s="142"/>
      <c r="D6" s="133"/>
      <c r="E6" s="133"/>
    </row>
    <row r="8" spans="1:5" s="154" customFormat="1" ht="13.8" thickBot="1">
      <c r="A8" s="136"/>
      <c r="C8" s="155"/>
      <c r="D8" s="252">
        <v>1</v>
      </c>
      <c r="E8" s="252">
        <v>2</v>
      </c>
    </row>
    <row r="9" spans="1:5" s="137" customFormat="1" ht="26.4">
      <c r="A9" s="253" t="s">
        <v>17</v>
      </c>
      <c r="B9" s="254" t="s">
        <v>16</v>
      </c>
      <c r="C9" s="255" t="s">
        <v>10</v>
      </c>
      <c r="D9" s="256" t="str">
        <f>'Revenue to Cost|RR'!D8</f>
        <v>Domestic</v>
      </c>
      <c r="E9" s="257" t="str">
        <f>'Revenue to Cost|RR'!E8</f>
        <v>Export</v>
      </c>
    </row>
    <row r="10" spans="1:5">
      <c r="A10" s="258"/>
      <c r="E10" s="259"/>
    </row>
    <row r="11" spans="1:5" s="67" customFormat="1" ht="13.2">
      <c r="A11" s="270" t="s">
        <v>41</v>
      </c>
      <c r="B11" s="100"/>
      <c r="C11" s="145"/>
      <c r="D11" s="146"/>
      <c r="E11" s="260"/>
    </row>
    <row r="12" spans="1:5" s="67" customFormat="1" ht="13.2">
      <c r="A12" s="261"/>
      <c r="B12" s="195"/>
      <c r="C12" s="145"/>
      <c r="D12" s="146"/>
      <c r="E12" s="260"/>
    </row>
    <row r="13" spans="1:5" s="67" customFormat="1" ht="13.2">
      <c r="A13" s="263" t="s">
        <v>133</v>
      </c>
      <c r="B13" s="195" t="s">
        <v>127</v>
      </c>
      <c r="C13" s="147">
        <f>IF(+SUM(D13:E13)=0,"-",+SUM(D13:E13))</f>
        <v>1</v>
      </c>
      <c r="D13" s="148">
        <f>'Energy Throughput'!D12/'Energy Throughput'!C12</f>
        <v>0.89074274031543332</v>
      </c>
      <c r="E13" s="262">
        <f>'Energy Throughput'!E12/'Energy Throughput'!C12</f>
        <v>0.1092572596845667</v>
      </c>
    </row>
    <row r="14" spans="1:5" s="67" customFormat="1" ht="13.2">
      <c r="A14" s="263" t="s">
        <v>134</v>
      </c>
      <c r="B14" s="195" t="s">
        <v>132</v>
      </c>
      <c r="C14" s="147">
        <f>IF(+SUM(D14:E14)=0,"-",+SUM(D14:E14))</f>
        <v>1</v>
      </c>
      <c r="D14" s="148">
        <f>'Energy Throughput'!D13/'Energy Throughput'!C13</f>
        <v>1</v>
      </c>
      <c r="E14" s="262">
        <f>'Energy Throughput'!E13/'Energy Throughput'!C13</f>
        <v>0</v>
      </c>
    </row>
    <row r="15" spans="1:5" s="67" customFormat="1" ht="13.2">
      <c r="A15" s="261"/>
      <c r="B15" s="100"/>
      <c r="C15" s="149"/>
      <c r="D15" s="150"/>
      <c r="E15" s="264"/>
    </row>
    <row r="16" spans="1:5" s="67" customFormat="1" ht="13.2">
      <c r="A16" s="265" t="s">
        <v>21</v>
      </c>
      <c r="B16" s="100"/>
      <c r="C16" s="147"/>
      <c r="D16" s="150"/>
      <c r="E16" s="264"/>
    </row>
    <row r="17" spans="1:6" s="67" customFormat="1" ht="13.2">
      <c r="A17" s="261"/>
      <c r="B17" s="100"/>
      <c r="C17" s="147"/>
      <c r="D17" s="150"/>
      <c r="E17" s="264"/>
    </row>
    <row r="18" spans="1:6" s="68" customFormat="1" ht="13.2">
      <c r="A18" s="266" t="s">
        <v>26</v>
      </c>
      <c r="B18" s="151"/>
      <c r="C18" s="152"/>
      <c r="D18" s="148"/>
      <c r="E18" s="262"/>
    </row>
    <row r="19" spans="1:6" s="68" customFormat="1" ht="13.2">
      <c r="A19" s="267" t="s">
        <v>36</v>
      </c>
      <c r="B19" s="151" t="s">
        <v>35</v>
      </c>
      <c r="C19" s="152">
        <f>IF(+SUM(D19:E19)=0,"-",+SUM(D19:E19))</f>
        <v>1</v>
      </c>
      <c r="D19" s="148">
        <f>'Source Data for Allocators'!D19/'Source Data for Allocators'!$C19</f>
        <v>0.89165246890583538</v>
      </c>
      <c r="E19" s="262">
        <f>'Source Data for Allocators'!E19/'Source Data for Allocators'!$C19</f>
        <v>0.10834753109416471</v>
      </c>
    </row>
    <row r="20" spans="1:6" s="68" customFormat="1" ht="13.2">
      <c r="A20" s="268" t="s">
        <v>25</v>
      </c>
      <c r="B20" s="151" t="s">
        <v>23</v>
      </c>
      <c r="C20" s="152">
        <f>IF(+SUM(D20:E20)=0,"-",+SUM(D20:E20))</f>
        <v>1</v>
      </c>
      <c r="D20" s="148">
        <f>'Source Data for Allocators'!D36/'Source Data for Allocators'!$C36</f>
        <v>0.8915458299057154</v>
      </c>
      <c r="E20" s="262">
        <f>'Source Data for Allocators'!E36/'Source Data for Allocators'!$C36</f>
        <v>0.10845417009428461</v>
      </c>
    </row>
    <row r="21" spans="1:6" s="68" customFormat="1" ht="13.2">
      <c r="A21" s="267" t="s">
        <v>140</v>
      </c>
      <c r="B21" s="151" t="s">
        <v>139</v>
      </c>
      <c r="C21" s="152">
        <f>IF(+SUM(D21:E21)=0,"-",+SUM(D21:E21))</f>
        <v>1.0000000000000002</v>
      </c>
      <c r="D21" s="148">
        <f>'Source Data for Allocators'!D92/'Source Data for Allocators'!$C92</f>
        <v>0.90608285846079917</v>
      </c>
      <c r="E21" s="262">
        <f>'Source Data for Allocators'!E92/'Source Data for Allocators'!$C92</f>
        <v>9.3917141539201124E-2</v>
      </c>
    </row>
    <row r="22" spans="1:6" s="67" customFormat="1" ht="15" customHeight="1">
      <c r="A22" s="261"/>
      <c r="B22" s="195"/>
      <c r="C22" s="185"/>
      <c r="D22" s="186"/>
      <c r="E22" s="269"/>
      <c r="F22" s="186"/>
    </row>
    <row r="23" spans="1:6" s="67" customFormat="1" ht="15" customHeight="1">
      <c r="A23" s="263" t="s">
        <v>34</v>
      </c>
      <c r="B23" s="195" t="s">
        <v>29</v>
      </c>
      <c r="C23" s="152">
        <f>IF(+SUM(D23:E23)=0,"-",+SUM(D23:E23))</f>
        <v>1</v>
      </c>
      <c r="D23" s="301">
        <v>1</v>
      </c>
      <c r="E23" s="302">
        <v>0</v>
      </c>
    </row>
    <row r="24" spans="1:6" s="67" customFormat="1" ht="15" customHeight="1">
      <c r="A24" s="263" t="s">
        <v>42</v>
      </c>
      <c r="B24" s="195" t="s">
        <v>135</v>
      </c>
      <c r="C24" s="152">
        <f>IF(+SUM(D24:E24)=0,"-",+SUM(D24:E24))</f>
        <v>1</v>
      </c>
      <c r="D24" s="301">
        <v>0</v>
      </c>
      <c r="E24" s="302">
        <v>1</v>
      </c>
    </row>
    <row r="25" spans="1:6" s="67" customFormat="1" ht="15" customHeight="1">
      <c r="A25" s="263" t="s">
        <v>129</v>
      </c>
      <c r="B25" s="195" t="s">
        <v>128</v>
      </c>
      <c r="C25" s="300">
        <f>IF(+SUM(D25:E25)=0,"-",+SUM(D25:E25))</f>
        <v>1</v>
      </c>
      <c r="D25" s="303">
        <v>0.5</v>
      </c>
      <c r="E25" s="304">
        <v>0.5</v>
      </c>
    </row>
    <row r="26" spans="1:6" s="67" customFormat="1" ht="15" customHeight="1">
      <c r="A26" s="261"/>
      <c r="B26" s="100"/>
      <c r="C26" s="149"/>
      <c r="D26" s="153"/>
      <c r="E26" s="296"/>
    </row>
    <row r="27" spans="1:6" s="67" customFormat="1" ht="15" customHeight="1">
      <c r="A27" s="263" t="s">
        <v>60</v>
      </c>
      <c r="B27" s="100" t="s">
        <v>114</v>
      </c>
      <c r="C27" s="152">
        <f t="shared" ref="C27" si="0">IF(+SUM(D27:E27)=0,"-",+SUM(D27:E27))</f>
        <v>1</v>
      </c>
      <c r="D27" s="305">
        <f>SUM('Summary by Class &amp; Accounts'!E13:E19)/SUM('Summary by Class &amp; Accounts'!$D13:$D19)</f>
        <v>0.89074274031543332</v>
      </c>
      <c r="E27" s="306">
        <f>SUM('Summary by Class &amp; Accounts'!F13:F19)/SUM('Summary by Class &amp; Accounts'!$D13:$D19)</f>
        <v>0.1092572596845667</v>
      </c>
    </row>
    <row r="28" spans="1:6" s="67" customFormat="1" ht="15" customHeight="1">
      <c r="A28" s="261" t="s">
        <v>121</v>
      </c>
      <c r="B28" s="100" t="s">
        <v>115</v>
      </c>
      <c r="C28" s="152">
        <f t="shared" ref="C28:C32" si="1">IF(+SUM(D28:E28)=0,"-",+SUM(D28:E28))</f>
        <v>1</v>
      </c>
      <c r="D28" s="305">
        <f>SUM('Summary by Class &amp; Accounts'!E21:E25)/SUM('Summary by Class &amp; Accounts'!$D21:$D25)</f>
        <v>0.96677873837168382</v>
      </c>
      <c r="E28" s="306">
        <f>SUM('Summary by Class &amp; Accounts'!F21:F25)/SUM('Summary by Class &amp; Accounts'!$D21:$D25)</f>
        <v>3.3221261628316248E-2</v>
      </c>
    </row>
    <row r="29" spans="1:6" s="67" customFormat="1" ht="15" customHeight="1">
      <c r="A29" s="261" t="s">
        <v>120</v>
      </c>
      <c r="B29" s="100" t="s">
        <v>116</v>
      </c>
      <c r="C29" s="152">
        <f t="shared" si="1"/>
        <v>1</v>
      </c>
      <c r="D29" s="305">
        <f>SUM('Summary by Class &amp; Accounts'!E27:E32)/SUM('Summary by Class &amp; Accounts'!$D27:$D32)</f>
        <v>0.9462543984913464</v>
      </c>
      <c r="E29" s="306">
        <f>SUM('Summary by Class &amp; Accounts'!F27:F32)/SUM('Summary by Class &amp; Accounts'!$D27:$D32)</f>
        <v>5.3745601508653595E-2</v>
      </c>
    </row>
    <row r="30" spans="1:6" s="67" customFormat="1" ht="15" customHeight="1">
      <c r="A30" s="261" t="s">
        <v>122</v>
      </c>
      <c r="B30" s="100" t="s">
        <v>126</v>
      </c>
      <c r="C30" s="152">
        <f t="shared" si="1"/>
        <v>1.0000000000000002</v>
      </c>
      <c r="D30" s="305">
        <f>SUM('Summary by Class &amp; Accounts'!E34:E39)/SUM('Summary by Class &amp; Accounts'!$D34:$D39)</f>
        <v>0.90608285846079917</v>
      </c>
      <c r="E30" s="306">
        <f>SUM('Summary by Class &amp; Accounts'!F34:F39)/SUM('Summary by Class &amp; Accounts'!$D34:$D39)</f>
        <v>9.3917141539201124E-2</v>
      </c>
    </row>
    <row r="31" spans="1:6" s="67" customFormat="1" ht="15" customHeight="1">
      <c r="A31" s="261" t="s">
        <v>123</v>
      </c>
      <c r="B31" s="100" t="s">
        <v>117</v>
      </c>
      <c r="C31" s="152">
        <f t="shared" si="1"/>
        <v>1</v>
      </c>
      <c r="D31" s="305">
        <f>SUM('Summary by Class &amp; Accounts'!E42:E48)/SUM('Summary by Class &amp; Accounts'!$D42:$D48)</f>
        <v>0.93487183173623711</v>
      </c>
      <c r="E31" s="306">
        <f>SUM('Summary by Class &amp; Accounts'!F42:F48)/SUM('Summary by Class &amp; Accounts'!$D42:$D48)</f>
        <v>6.5128168263762859E-2</v>
      </c>
    </row>
    <row r="32" spans="1:6" s="67" customFormat="1" ht="15" customHeight="1" thickBot="1">
      <c r="A32" s="297" t="s">
        <v>124</v>
      </c>
      <c r="B32" s="298" t="s">
        <v>118</v>
      </c>
      <c r="C32" s="299">
        <f t="shared" si="1"/>
        <v>1</v>
      </c>
      <c r="D32" s="307">
        <f>SUM('Summary by Class &amp; Accounts'!E50:E54)/SUM('Summary by Class &amp; Accounts'!$D50:$D54)</f>
        <v>0.89775846524544789</v>
      </c>
      <c r="E32" s="308">
        <f>SUM('Summary by Class &amp; Accounts'!F50:F54)/SUM('Summary by Class &amp; Accounts'!$D50:$D54)</f>
        <v>0.10224153475455222</v>
      </c>
    </row>
    <row r="33" spans="1:5" s="67" customFormat="1" ht="15" customHeight="1">
      <c r="A33" s="76"/>
      <c r="B33" s="100"/>
      <c r="C33" s="149"/>
      <c r="D33" s="153"/>
      <c r="E33" s="153"/>
    </row>
    <row r="34" spans="1:5" s="67" customFormat="1" ht="15" customHeight="1">
      <c r="A34" s="76"/>
      <c r="B34" s="100"/>
      <c r="C34" s="149"/>
      <c r="D34" s="153"/>
      <c r="E34" s="153"/>
    </row>
  </sheetData>
  <phoneticPr fontId="0" type="noConversion"/>
  <printOptions headings="1" gridLines="1"/>
  <pageMargins left="0" right="0" top="0" bottom="0" header="0.31496062992126" footer="0"/>
  <pageSetup orientation="portrait" horizontalDpi="4294967294" r:id="rId1"/>
  <headerFooter alignWithMargins="0">
    <oddFooter>&amp;L&amp;Z&amp;F - 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4">
    <tabColor indexed="34"/>
  </sheetPr>
  <dimension ref="A1:C67"/>
  <sheetViews>
    <sheetView view="pageLayout" topLeftCell="A10" zoomScaleNormal="90" workbookViewId="0">
      <selection activeCell="E5" sqref="E5"/>
    </sheetView>
  </sheetViews>
  <sheetFormatPr defaultColWidth="9.109375" defaultRowHeight="10.199999999999999"/>
  <cols>
    <col min="1" max="1" width="2.6640625" style="130" customWidth="1"/>
    <col min="2" max="2" width="72.6640625" style="130" customWidth="1"/>
    <col min="3" max="3" width="16.5546875" style="116" customWidth="1"/>
    <col min="4" max="16384" width="9.109375" style="116"/>
  </cols>
  <sheetData>
    <row r="1" spans="1:3" s="1" customFormat="1" ht="20.399999999999999">
      <c r="A1" s="57" t="str">
        <f>"Allocation Detail Worksheet "</f>
        <v xml:space="preserve">Allocation Detail Worksheet </v>
      </c>
      <c r="B1" s="58"/>
    </row>
    <row r="2" spans="1:3" s="1" customFormat="1">
      <c r="A2" s="2"/>
      <c r="B2" s="2"/>
      <c r="C2" s="2"/>
    </row>
    <row r="3" spans="1:3">
      <c r="A3" s="444" t="s">
        <v>174</v>
      </c>
      <c r="B3" s="444"/>
      <c r="C3" s="444"/>
    </row>
    <row r="4" spans="1:3" s="158" customFormat="1" ht="13.8" thickBot="1">
      <c r="A4" s="156"/>
      <c r="B4" s="157"/>
    </row>
    <row r="5" spans="1:3" s="157" customFormat="1" ht="27" thickBot="1">
      <c r="A5" s="50"/>
      <c r="B5" s="129" t="s">
        <v>0</v>
      </c>
      <c r="C5" s="129" t="s">
        <v>8</v>
      </c>
    </row>
    <row r="6" spans="1:3" s="158" customFormat="1" ht="13.2">
      <c r="A6" s="50"/>
      <c r="B6" s="282" t="str">
        <f>'Functionalized Accounts'!B9</f>
        <v>CEO - CEO Office</v>
      </c>
      <c r="C6" s="162" t="s">
        <v>139</v>
      </c>
    </row>
    <row r="7" spans="1:3" s="158" customFormat="1" ht="13.2">
      <c r="A7" s="50"/>
      <c r="B7" s="160" t="str">
        <f>'Functionalized Accounts'!B10</f>
        <v>CEO - CEO Office - NERC Membership</v>
      </c>
      <c r="C7" s="164" t="s">
        <v>128</v>
      </c>
    </row>
    <row r="8" spans="1:3" s="158" customFormat="1" ht="13.2">
      <c r="A8" s="50"/>
      <c r="B8" s="159" t="str">
        <f>'Functionalized Accounts'!B11</f>
        <v>CEO - Internal Audit</v>
      </c>
      <c r="C8" s="163" t="s">
        <v>139</v>
      </c>
    </row>
    <row r="9" spans="1:3" s="158" customFormat="1" ht="13.2">
      <c r="A9" s="50"/>
      <c r="B9" s="160" t="str">
        <f>'Functionalized Accounts'!B12</f>
        <v>Market and System Operations - VP Office</v>
      </c>
      <c r="C9" s="164" t="s">
        <v>114</v>
      </c>
    </row>
    <row r="10" spans="1:3" s="158" customFormat="1" ht="13.2">
      <c r="A10" s="50"/>
      <c r="B10" s="159" t="str">
        <f>'Functionalized Accounts'!B13</f>
        <v>Market and System Operations - System Performance</v>
      </c>
      <c r="C10" s="163" t="s">
        <v>127</v>
      </c>
    </row>
    <row r="11" spans="1:3" s="158" customFormat="1" ht="13.2">
      <c r="A11" s="50"/>
      <c r="B11" s="160" t="str">
        <f>'Functionalized Accounts'!B14</f>
        <v>Market and System Operations - Reliability Assessments</v>
      </c>
      <c r="C11" s="164" t="s">
        <v>127</v>
      </c>
    </row>
    <row r="12" spans="1:3" s="158" customFormat="1" ht="13.2">
      <c r="A12" s="50"/>
      <c r="B12" s="159" t="str">
        <f>'Functionalized Accounts'!B15</f>
        <v>Market and System Operations - Connections &amp; Registration</v>
      </c>
      <c r="C12" s="163" t="s">
        <v>127</v>
      </c>
    </row>
    <row r="13" spans="1:3" s="158" customFormat="1" ht="13.2">
      <c r="A13" s="50"/>
      <c r="B13" s="160" t="str">
        <f>'Functionalized Accounts'!B16</f>
        <v>Market and System Operations - Operational Effectiveness</v>
      </c>
      <c r="C13" s="164" t="s">
        <v>127</v>
      </c>
    </row>
    <row r="14" spans="1:3" s="158" customFormat="1" ht="13.2">
      <c r="A14" s="50"/>
      <c r="B14" s="159" t="str">
        <f>'Functionalized Accounts'!B17</f>
        <v>Market and System Operations - System Operations</v>
      </c>
      <c r="C14" s="163" t="s">
        <v>127</v>
      </c>
    </row>
    <row r="15" spans="1:3" s="158" customFormat="1" ht="13.2">
      <c r="A15" s="50"/>
      <c r="B15" s="160" t="str">
        <f>'Functionalized Accounts'!B18</f>
        <v>Market and System Operations - Market Forecasts &amp; Integration</v>
      </c>
      <c r="C15" s="164" t="s">
        <v>127</v>
      </c>
    </row>
    <row r="16" spans="1:3" s="158" customFormat="1" ht="13.2">
      <c r="A16" s="50"/>
      <c r="B16" s="159" t="str">
        <f>'Functionalized Accounts'!B19</f>
        <v>Market and System Operations - Operations Change Initiatives</v>
      </c>
      <c r="C16" s="163" t="s">
        <v>127</v>
      </c>
    </row>
    <row r="17" spans="1:3" s="158" customFormat="1" ht="13.2">
      <c r="A17" s="50"/>
      <c r="B17" s="160" t="str">
        <f>'Functionalized Accounts'!B20</f>
        <v>Market and Resource Development - VP Office</v>
      </c>
      <c r="C17" s="164" t="s">
        <v>115</v>
      </c>
    </row>
    <row r="18" spans="1:3" s="158" customFormat="1" ht="13.2">
      <c r="A18" s="50"/>
      <c r="B18" s="159" t="str">
        <f>'Functionalized Accounts'!B21</f>
        <v>Market and Resource Development - Contract Management</v>
      </c>
      <c r="C18" s="163" t="s">
        <v>29</v>
      </c>
    </row>
    <row r="19" spans="1:3" s="158" customFormat="1" ht="13.2">
      <c r="A19" s="50"/>
      <c r="B19" s="160" t="str">
        <f>'Functionalized Accounts'!B22</f>
        <v>Market and Resource Development - Renewable Procurement</v>
      </c>
      <c r="C19" s="164" t="str">
        <f t="shared" ref="C19:C65" si="0">C18</f>
        <v>DOM</v>
      </c>
    </row>
    <row r="20" spans="1:3" s="158" customFormat="1" ht="13.2">
      <c r="A20" s="50"/>
      <c r="B20" s="159" t="str">
        <f>'Functionalized Accounts'!B23</f>
        <v>Market and Resource Development - Clean Energy Procurement</v>
      </c>
      <c r="C20" s="163" t="str">
        <f t="shared" si="0"/>
        <v>DOM</v>
      </c>
    </row>
    <row r="21" spans="1:3" s="158" customFormat="1" ht="13.2">
      <c r="A21" s="50"/>
      <c r="B21" s="160" t="str">
        <f>'Functionalized Accounts'!B24</f>
        <v>Market and Resource Development - Policy &amp; Analysis</v>
      </c>
      <c r="C21" s="164" t="str">
        <f t="shared" si="0"/>
        <v>DOM</v>
      </c>
    </row>
    <row r="22" spans="1:3" s="158" customFormat="1" ht="13.2">
      <c r="A22" s="50"/>
      <c r="B22" s="159" t="str">
        <f>'Functionalized Accounts'!B25</f>
        <v>Market and Resource Development - Markets</v>
      </c>
      <c r="C22" s="163" t="s">
        <v>127</v>
      </c>
    </row>
    <row r="23" spans="1:3" s="158" customFormat="1" ht="13.2">
      <c r="A23" s="50"/>
      <c r="B23" s="160" t="str">
        <f>'Functionalized Accounts'!B26</f>
        <v>Conservation and Corporate Relations - VP Office</v>
      </c>
      <c r="C23" s="164" t="s">
        <v>116</v>
      </c>
    </row>
    <row r="24" spans="1:3" s="158" customFormat="1" ht="13.2">
      <c r="A24" s="50"/>
      <c r="B24" s="159" t="str">
        <f>'Functionalized Accounts'!B27</f>
        <v>Conservation and Corporate Relations - Conservation Performance</v>
      </c>
      <c r="C24" s="163" t="s">
        <v>29</v>
      </c>
    </row>
    <row r="25" spans="1:3" s="158" customFormat="1" ht="13.2">
      <c r="A25" s="50"/>
      <c r="B25" s="160" t="str">
        <f>'Functionalized Accounts'!B28</f>
        <v>Conservation and Corporate Relations - Business Development</v>
      </c>
      <c r="C25" s="164" t="str">
        <f t="shared" si="0"/>
        <v>DOM</v>
      </c>
    </row>
    <row r="26" spans="1:3" s="158" customFormat="1" ht="13.2">
      <c r="A26" s="50"/>
      <c r="B26" s="159" t="str">
        <f>'Functionalized Accounts'!B29</f>
        <v>Conservation and Corporate Relations - Strategic Engagement &amp; Innovation</v>
      </c>
      <c r="C26" s="163" t="s">
        <v>127</v>
      </c>
    </row>
    <row r="27" spans="1:3" s="158" customFormat="1" ht="13.2">
      <c r="A27" s="50"/>
      <c r="B27" s="160" t="str">
        <f>'Functionalized Accounts'!B30</f>
        <v>Conservation and Corporate Relations - Program Delivery &amp; Partner Services</v>
      </c>
      <c r="C27" s="164" t="s">
        <v>29</v>
      </c>
    </row>
    <row r="28" spans="1:3" s="158" customFormat="1" ht="13.2">
      <c r="A28" s="50"/>
      <c r="B28" s="159" t="str">
        <f>'Functionalized Accounts'!B31</f>
        <v>Conservation and Corporate Relations - Stakeholders &amp; Public Affairs</v>
      </c>
      <c r="C28" s="163" t="s">
        <v>127</v>
      </c>
    </row>
    <row r="29" spans="1:3" s="158" customFormat="1" ht="13.2">
      <c r="A29" s="50"/>
      <c r="B29" s="160" t="str">
        <f>'Functionalized Accounts'!B32</f>
        <v>Conservation and Corporate Relations - Marketing</v>
      </c>
      <c r="C29" s="164" t="s">
        <v>127</v>
      </c>
    </row>
    <row r="30" spans="1:3" s="158" customFormat="1" ht="13.2">
      <c r="A30" s="50"/>
      <c r="B30" s="159" t="str">
        <f>'Functionalized Accounts'!B33</f>
        <v>Information and Technology Services - VP Office</v>
      </c>
      <c r="C30" s="163" t="s">
        <v>126</v>
      </c>
    </row>
    <row r="31" spans="1:3" s="158" customFormat="1" ht="13.2">
      <c r="A31" s="50"/>
      <c r="B31" s="160" t="str">
        <f>'Functionalized Accounts'!B34</f>
        <v>Information and Technology Services - Organizational Governance</v>
      </c>
      <c r="C31" s="164" t="s">
        <v>139</v>
      </c>
    </row>
    <row r="32" spans="1:3" s="158" customFormat="1" ht="13.2">
      <c r="A32" s="50"/>
      <c r="B32" s="159" t="str">
        <f>'Functionalized Accounts'!B35</f>
        <v>Information and Technology Services - Business Solutions + Business Analysis</v>
      </c>
      <c r="C32" s="163" t="str">
        <f t="shared" si="0"/>
        <v>O&amp;M</v>
      </c>
    </row>
    <row r="33" spans="1:3" s="158" customFormat="1" ht="13.2">
      <c r="A33" s="50"/>
      <c r="B33" s="160" t="str">
        <f>'Functionalized Accounts'!B36</f>
        <v>Information and Technology Services - Technology Support*</v>
      </c>
      <c r="C33" s="164" t="str">
        <f t="shared" si="0"/>
        <v>O&amp;M</v>
      </c>
    </row>
    <row r="34" spans="1:3" s="158" customFormat="1" ht="13.2">
      <c r="A34" s="50"/>
      <c r="B34" s="159" t="str">
        <f>'Functionalized Accounts'!B37</f>
        <v>Information and Technology Services - Solutions (Adelaide)*</v>
      </c>
      <c r="C34" s="163" t="str">
        <f t="shared" si="0"/>
        <v>O&amp;M</v>
      </c>
    </row>
    <row r="35" spans="1:3" s="158" customFormat="1" ht="13.2">
      <c r="A35" s="50"/>
      <c r="B35" s="160" t="str">
        <f>'Functionalized Accounts'!B38</f>
        <v>Information and Technology Services - IT Operations</v>
      </c>
      <c r="C35" s="164" t="str">
        <f t="shared" si="0"/>
        <v>O&amp;M</v>
      </c>
    </row>
    <row r="36" spans="1:3" s="158" customFormat="1" ht="13.2">
      <c r="A36" s="50"/>
      <c r="B36" s="159" t="str">
        <f>'Functionalized Accounts'!B39</f>
        <v>Information and Technology Services - Facilities</v>
      </c>
      <c r="C36" s="163" t="str">
        <f t="shared" si="0"/>
        <v>O&amp;M</v>
      </c>
    </row>
    <row r="37" spans="1:3" s="158" customFormat="1" ht="13.2">
      <c r="A37" s="50"/>
      <c r="B37" s="160" t="str">
        <f>'Functionalized Accounts'!B40</f>
        <v>Information and Technology Services - Support of Market and System Operation</v>
      </c>
      <c r="C37" s="164" t="s">
        <v>127</v>
      </c>
    </row>
    <row r="38" spans="1:3" s="158" customFormat="1" ht="13.2">
      <c r="A38" s="50"/>
      <c r="B38" s="159" t="str">
        <f>'Functionalized Accounts'!B41</f>
        <v>Planning, Law and Aboriginal Relations - VP Office</v>
      </c>
      <c r="C38" s="163" t="s">
        <v>117</v>
      </c>
    </row>
    <row r="39" spans="1:3" s="158" customFormat="1" ht="13.2">
      <c r="A39" s="50"/>
      <c r="B39" s="160" t="str">
        <f>'Functionalized Accounts'!B42</f>
        <v>Planning, Law and Aboriginal Relations - General Counsel</v>
      </c>
      <c r="C39" s="164" t="s">
        <v>127</v>
      </c>
    </row>
    <row r="40" spans="1:3" s="158" customFormat="1" ht="13.2">
      <c r="A40" s="50"/>
      <c r="B40" s="159" t="str">
        <f>'Functionalized Accounts'!B43</f>
        <v>Planning, Law and Aboriginal Relations - Regulatory Affairs</v>
      </c>
      <c r="C40" s="163" t="str">
        <f t="shared" si="0"/>
        <v>TWh</v>
      </c>
    </row>
    <row r="41" spans="1:3" s="158" customFormat="1" ht="13.2">
      <c r="A41" s="50"/>
      <c r="B41" s="160" t="str">
        <f>'Functionalized Accounts'!B44</f>
        <v>Planning, Law and Aboriginal Relations - Board</v>
      </c>
      <c r="C41" s="164" t="str">
        <f t="shared" si="0"/>
        <v>TWh</v>
      </c>
    </row>
    <row r="42" spans="1:3" s="158" customFormat="1" ht="13.2">
      <c r="A42" s="50"/>
      <c r="B42" s="159" t="str">
        <f>'Functionalized Accounts'!B45</f>
        <v>Planning, Law and Aboriginal Relations - First Nations &amp; Metis Relations</v>
      </c>
      <c r="C42" s="163" t="s">
        <v>29</v>
      </c>
    </row>
    <row r="43" spans="1:3" s="158" customFormat="1" ht="13.2">
      <c r="A43" s="50"/>
      <c r="B43" s="160" t="str">
        <f>'Functionalized Accounts'!B46</f>
        <v xml:space="preserve">Planning, Law and Aboriginal Relations - Transmission Integration </v>
      </c>
      <c r="C43" s="164" t="str">
        <f t="shared" si="0"/>
        <v>DOM</v>
      </c>
    </row>
    <row r="44" spans="1:3" s="158" customFormat="1" ht="13.2">
      <c r="A44" s="50"/>
      <c r="B44" s="159" t="str">
        <f>'Functionalized Accounts'!B47</f>
        <v>Planning, Law and Aboriginal Relations - Resource Integration</v>
      </c>
      <c r="C44" s="163" t="str">
        <f t="shared" si="0"/>
        <v>DOM</v>
      </c>
    </row>
    <row r="45" spans="1:3" s="158" customFormat="1" ht="13.2">
      <c r="A45" s="50"/>
      <c r="B45" s="160" t="str">
        <f>'Functionalized Accounts'!B48</f>
        <v>Planning, Law and Aboriginal Relations - Conservation Inegration</v>
      </c>
      <c r="C45" s="164" t="str">
        <f t="shared" si="0"/>
        <v>DOM</v>
      </c>
    </row>
    <row r="46" spans="1:3" s="158" customFormat="1" ht="13.2">
      <c r="A46" s="50"/>
      <c r="B46" s="159" t="str">
        <f>'Functionalized Accounts'!B49</f>
        <v>Corporate Services - VP Office</v>
      </c>
      <c r="C46" s="163" t="s">
        <v>118</v>
      </c>
    </row>
    <row r="47" spans="1:3" s="158" customFormat="1" ht="13.2">
      <c r="A47" s="50"/>
      <c r="B47" s="160" t="str">
        <f>'Functionalized Accounts'!B50</f>
        <v>Corporate Services - Corporate Controller</v>
      </c>
      <c r="C47" s="164" t="s">
        <v>127</v>
      </c>
    </row>
    <row r="48" spans="1:3" s="158" customFormat="1" ht="13.2">
      <c r="A48" s="50"/>
      <c r="B48" s="159" t="str">
        <f>'Functionalized Accounts'!B51</f>
        <v>Corporate Services - Financial Planning &amp; Analysis</v>
      </c>
      <c r="C48" s="163" t="s">
        <v>139</v>
      </c>
    </row>
    <row r="49" spans="1:3" s="158" customFormat="1" ht="13.2">
      <c r="A49" s="50"/>
      <c r="B49" s="160" t="str">
        <f>'Functionalized Accounts'!B52</f>
        <v>Corporate Services - Treasury &amp; Pension Operations</v>
      </c>
      <c r="C49" s="164" t="s">
        <v>139</v>
      </c>
    </row>
    <row r="50" spans="1:3" s="158" customFormat="1" ht="13.2">
      <c r="A50" s="50"/>
      <c r="B50" s="159" t="str">
        <f>'Functionalized Accounts'!B53</f>
        <v>Corporate Services - Human Resources</v>
      </c>
      <c r="C50" s="163" t="s">
        <v>139</v>
      </c>
    </row>
    <row r="51" spans="1:3" s="158" customFormat="1" ht="13.2">
      <c r="A51" s="50"/>
      <c r="B51" s="160" t="str">
        <f>'Functionalized Accounts'!B54</f>
        <v>Corporate Services - Settlements</v>
      </c>
      <c r="C51" s="164" t="s">
        <v>127</v>
      </c>
    </row>
    <row r="52" spans="1:3" s="158" customFormat="1" ht="13.2">
      <c r="A52" s="50"/>
      <c r="B52" s="159" t="str">
        <f>'Functionalized Accounts'!B55</f>
        <v>MACD</v>
      </c>
      <c r="C52" s="163" t="str">
        <f t="shared" si="0"/>
        <v>TWh</v>
      </c>
    </row>
    <row r="53" spans="1:3" s="158" customFormat="1" ht="13.2">
      <c r="A53" s="50"/>
      <c r="B53" s="160" t="str">
        <f>'Functionalized Accounts'!B56</f>
        <v>Others (IESO Corp Adj+Int+Amort) - Amortization</v>
      </c>
      <c r="C53" s="164" t="s">
        <v>127</v>
      </c>
    </row>
    <row r="54" spans="1:3" s="158" customFormat="1" ht="13.2">
      <c r="A54" s="50"/>
      <c r="B54" s="159" t="str">
        <f>'Functionalized Accounts'!B57</f>
        <v>Others (IESO Corp Adj+Int+Amort) - Interest</v>
      </c>
      <c r="C54" s="163" t="s">
        <v>127</v>
      </c>
    </row>
    <row r="55" spans="1:3" s="158" customFormat="1" ht="13.2">
      <c r="A55" s="50"/>
      <c r="B55" s="160" t="str">
        <f>'Functionalized Accounts'!B58</f>
        <v>Others (IESO Corp Adj+Int+Amort) - Uncleared salary</v>
      </c>
      <c r="C55" s="164" t="s">
        <v>139</v>
      </c>
    </row>
    <row r="56" spans="1:3" s="158" customFormat="1" ht="13.2">
      <c r="A56" s="50"/>
      <c r="B56" s="159" t="str">
        <f>'Functionalized Accounts'!B64</f>
        <v>Former IESO - Assets</v>
      </c>
      <c r="C56" s="163" t="s">
        <v>127</v>
      </c>
    </row>
    <row r="57" spans="1:3" s="158" customFormat="1" ht="13.2">
      <c r="A57" s="50"/>
      <c r="B57" s="160" t="str">
        <f>'Functionalized Accounts'!B65</f>
        <v>Former IESO - Market systems &amp; applications</v>
      </c>
      <c r="C57" s="164" t="str">
        <f t="shared" si="0"/>
        <v>TWh</v>
      </c>
    </row>
    <row r="58" spans="1:3" s="158" customFormat="1" ht="13.2">
      <c r="A58" s="50"/>
      <c r="B58" s="159" t="str">
        <f>'Functionalized Accounts'!B66</f>
        <v>Former IESO - Infrastructure &amp; other assets</v>
      </c>
      <c r="C58" s="163" t="str">
        <f t="shared" si="0"/>
        <v>TWh</v>
      </c>
    </row>
    <row r="59" spans="1:3" s="158" customFormat="1" ht="13.2">
      <c r="A59" s="50"/>
      <c r="B59" s="160" t="str">
        <f>'Functionalized Accounts'!B67</f>
        <v>Former IESO - Assets Under Construction</v>
      </c>
      <c r="C59" s="164" t="str">
        <f t="shared" si="0"/>
        <v>TWh</v>
      </c>
    </row>
    <row r="60" spans="1:3" s="158" customFormat="1" ht="13.2">
      <c r="A60" s="50"/>
      <c r="B60" s="159" t="str">
        <f>'Functionalized Accounts'!B68</f>
        <v>Former OPA - Furniture &amp; Equipment</v>
      </c>
      <c r="C60" s="163" t="s">
        <v>139</v>
      </c>
    </row>
    <row r="61" spans="1:3" s="158" customFormat="1" ht="13.2">
      <c r="A61" s="50"/>
      <c r="B61" s="160" t="str">
        <f>'Functionalized Accounts'!B69</f>
        <v>Former OPA - Audio Visual</v>
      </c>
      <c r="C61" s="164" t="str">
        <f t="shared" si="0"/>
        <v>O&amp;M</v>
      </c>
    </row>
    <row r="62" spans="1:3" s="158" customFormat="1" ht="13.2">
      <c r="A62" s="50"/>
      <c r="B62" s="159" t="str">
        <f>'Functionalized Accounts'!B70</f>
        <v>Former OPA - Telephone</v>
      </c>
      <c r="C62" s="163" t="str">
        <f t="shared" si="0"/>
        <v>O&amp;M</v>
      </c>
    </row>
    <row r="63" spans="1:3" s="158" customFormat="1" ht="13.2">
      <c r="A63" s="50"/>
      <c r="B63" s="160" t="str">
        <f>'Functionalized Accounts'!B71</f>
        <v>Former OPA - Leasehold improvements</v>
      </c>
      <c r="C63" s="164" t="str">
        <f t="shared" si="0"/>
        <v>O&amp;M</v>
      </c>
    </row>
    <row r="64" spans="1:3" s="158" customFormat="1" ht="13.2">
      <c r="A64" s="50"/>
      <c r="B64" s="159" t="str">
        <f>'Functionalized Accounts'!B72</f>
        <v>Former OPA - Computer Hardware</v>
      </c>
      <c r="C64" s="163" t="str">
        <f t="shared" si="0"/>
        <v>O&amp;M</v>
      </c>
    </row>
    <row r="65" spans="1:3" s="158" customFormat="1" ht="13.2">
      <c r="A65" s="50"/>
      <c r="B65" s="160" t="str">
        <f>'Functionalized Accounts'!B73</f>
        <v>Former OPA - Computer Software</v>
      </c>
      <c r="C65" s="164" t="str">
        <f t="shared" si="0"/>
        <v>O&amp;M</v>
      </c>
    </row>
    <row r="66" spans="1:3" s="158" customFormat="1" ht="13.8" thickBot="1">
      <c r="A66" s="50"/>
      <c r="B66" s="373" t="str">
        <f>'Functionalized Accounts'!B74</f>
        <v>Accumulated Amortization</v>
      </c>
      <c r="C66" s="374" t="s">
        <v>141</v>
      </c>
    </row>
    <row r="67" spans="1:3" s="158" customFormat="1" ht="13.2">
      <c r="A67" s="50"/>
      <c r="B67" s="50"/>
      <c r="C67" s="161"/>
    </row>
  </sheetData>
  <mergeCells count="1">
    <mergeCell ref="A3:C3"/>
  </mergeCells>
  <phoneticPr fontId="0" type="noConversion"/>
  <printOptions gridLines="1"/>
  <pageMargins left="0.39370078740157483" right="0.39370078740157483" top="0.39370078740157483" bottom="0.39370078740157483" header="0.19685039370078741" footer="0.19685039370078741"/>
  <pageSetup scale="85" orientation="portrait" horizontalDpi="300" verticalDpi="300" r:id="rId1"/>
  <headerFooter alignWithMargins="0">
    <oddHeader xml:space="preserve">&amp;L  &amp;C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Functionalized Accounts</vt:lpstr>
      <vt:lpstr>Assets</vt:lpstr>
      <vt:lpstr>Revenue</vt:lpstr>
      <vt:lpstr>Energy Throughput</vt:lpstr>
      <vt:lpstr>Revenue to Cost|RR</vt:lpstr>
      <vt:lpstr>Summary by Class &amp; Accounts</vt:lpstr>
      <vt:lpstr>Source Data for Allocators</vt:lpstr>
      <vt:lpstr>Allocators</vt:lpstr>
      <vt:lpstr>TB Allocation Details</vt:lpstr>
      <vt:lpstr>Reconciliation</vt:lpstr>
      <vt:lpstr>Allocators!Print_Area</vt:lpstr>
      <vt:lpstr>'Energy Throughput'!Print_Area</vt:lpstr>
      <vt:lpstr>'Functionalized Accounts'!Print_Area</vt:lpstr>
      <vt:lpstr>Reconciliation!Print_Area</vt:lpstr>
      <vt:lpstr>Revenue!Print_Area</vt:lpstr>
      <vt:lpstr>'Revenue to Cost|RR'!Print_Area</vt:lpstr>
      <vt:lpstr>'Summary by Class &amp; Accounts'!Print_Area</vt:lpstr>
      <vt:lpstr>Assets!Print_Titles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AbramoMa</dc:creator>
  <cp:lastModifiedBy>OPA</cp:lastModifiedBy>
  <cp:lastPrinted>2015-12-04T19:52:46Z</cp:lastPrinted>
  <dcterms:created xsi:type="dcterms:W3CDTF">2005-08-12T15:39:31Z</dcterms:created>
  <dcterms:modified xsi:type="dcterms:W3CDTF">2016-01-19T22:43:20Z</dcterms:modified>
</cp:coreProperties>
</file>