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wilkinson\Desktop\FromManuelaInterogs\"/>
    </mc:Choice>
  </mc:AlternateContent>
  <bookViews>
    <workbookView xWindow="0" yWindow="0" windowWidth="19200" windowHeight="8235"/>
  </bookViews>
  <sheets>
    <sheet name="Residential" sheetId="1" r:id="rId1"/>
    <sheet name="GS&lt;50" sheetId="2" r:id="rId2"/>
    <sheet name="GS&gt;50" sheetId="3" r:id="rId3"/>
    <sheet name="Sentinel" sheetId="4" r:id="rId4"/>
    <sheet name="StreetLighting" sheetId="5" r:id="rId5"/>
    <sheet name="UnmeteredScatterLoad" sheetId="6" r:id="rId6"/>
  </sheets>
  <externalReferences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6" l="1"/>
  <c r="N72" i="6"/>
  <c r="O66" i="6"/>
  <c r="N66" i="6"/>
  <c r="H61" i="6"/>
  <c r="K60" i="6"/>
  <c r="L60" i="6" s="1"/>
  <c r="H60" i="6"/>
  <c r="G59" i="6"/>
  <c r="H59" i="6" s="1"/>
  <c r="K58" i="6"/>
  <c r="L58" i="6" s="1"/>
  <c r="N58" i="6" s="1"/>
  <c r="H58" i="6"/>
  <c r="O58" i="6" s="1"/>
  <c r="G58" i="6"/>
  <c r="G57" i="6"/>
  <c r="H57" i="6" s="1"/>
  <c r="K56" i="6"/>
  <c r="L56" i="6" s="1"/>
  <c r="N56" i="6" s="1"/>
  <c r="H56" i="6"/>
  <c r="O56" i="6" s="1"/>
  <c r="G56" i="6"/>
  <c r="L55" i="6"/>
  <c r="N55" i="6" s="1"/>
  <c r="H55" i="6"/>
  <c r="J51" i="6"/>
  <c r="G51" i="6"/>
  <c r="G54" i="6" s="1"/>
  <c r="H54" i="6" s="1"/>
  <c r="K50" i="6"/>
  <c r="L50" i="6" s="1"/>
  <c r="J50" i="6"/>
  <c r="G50" i="6"/>
  <c r="H50" i="6" s="1"/>
  <c r="N48" i="6"/>
  <c r="L48" i="6"/>
  <c r="H48" i="6"/>
  <c r="L47" i="6"/>
  <c r="K47" i="6"/>
  <c r="J47" i="6"/>
  <c r="G47" i="6"/>
  <c r="F47" i="6"/>
  <c r="H47" i="6" s="1"/>
  <c r="K46" i="6"/>
  <c r="L46" i="6" s="1"/>
  <c r="N46" i="6" s="1"/>
  <c r="J46" i="6"/>
  <c r="H46" i="6"/>
  <c r="O46" i="6" s="1"/>
  <c r="G46" i="6"/>
  <c r="L45" i="6"/>
  <c r="N45" i="6" s="1"/>
  <c r="K45" i="6"/>
  <c r="J45" i="6"/>
  <c r="G45" i="6"/>
  <c r="H45" i="6" s="1"/>
  <c r="O45" i="6" s="1"/>
  <c r="B45" i="6"/>
  <c r="L44" i="6"/>
  <c r="K44" i="6"/>
  <c r="J44" i="6"/>
  <c r="G44" i="6"/>
  <c r="H44" i="6" s="1"/>
  <c r="O44" i="6" s="1"/>
  <c r="B44" i="6"/>
  <c r="O43" i="6"/>
  <c r="L43" i="6"/>
  <c r="N43" i="6" s="1"/>
  <c r="K43" i="6"/>
  <c r="J43" i="6"/>
  <c r="G43" i="6"/>
  <c r="B43" i="6"/>
  <c r="O42" i="6"/>
  <c r="K42" i="6"/>
  <c r="L42" i="6" s="1"/>
  <c r="N42" i="6" s="1"/>
  <c r="G42" i="6"/>
  <c r="B42" i="6"/>
  <c r="K41" i="6"/>
  <c r="L41" i="6" s="1"/>
  <c r="N41" i="6" s="1"/>
  <c r="J41" i="6"/>
  <c r="H41" i="6"/>
  <c r="O41" i="6" s="1"/>
  <c r="G41" i="6"/>
  <c r="B41" i="6"/>
  <c r="K40" i="6"/>
  <c r="L40" i="6" s="1"/>
  <c r="N40" i="6" s="1"/>
  <c r="J40" i="6"/>
  <c r="H40" i="6"/>
  <c r="O40" i="6" s="1"/>
  <c r="G40" i="6"/>
  <c r="B40" i="6"/>
  <c r="K38" i="6"/>
  <c r="L38" i="6" s="1"/>
  <c r="N38" i="6" s="1"/>
  <c r="G38" i="6"/>
  <c r="H38" i="6" s="1"/>
  <c r="O38" i="6" s="1"/>
  <c r="K37" i="6"/>
  <c r="L37" i="6" s="1"/>
  <c r="N37" i="6" s="1"/>
  <c r="G37" i="6"/>
  <c r="H37" i="6" s="1"/>
  <c r="O37" i="6" s="1"/>
  <c r="K36" i="6"/>
  <c r="L36" i="6" s="1"/>
  <c r="N36" i="6" s="1"/>
  <c r="G36" i="6"/>
  <c r="H36" i="6" s="1"/>
  <c r="O36" i="6" s="1"/>
  <c r="K35" i="6"/>
  <c r="L35" i="6" s="1"/>
  <c r="N35" i="6" s="1"/>
  <c r="G35" i="6"/>
  <c r="H35" i="6" s="1"/>
  <c r="O35" i="6" s="1"/>
  <c r="K34" i="6"/>
  <c r="L34" i="6" s="1"/>
  <c r="N34" i="6" s="1"/>
  <c r="G34" i="6"/>
  <c r="H34" i="6" s="1"/>
  <c r="O34" i="6" s="1"/>
  <c r="K33" i="6"/>
  <c r="L33" i="6" s="1"/>
  <c r="N33" i="6" s="1"/>
  <c r="G33" i="6"/>
  <c r="H33" i="6" s="1"/>
  <c r="O33" i="6" s="1"/>
  <c r="K32" i="6"/>
  <c r="L32" i="6" s="1"/>
  <c r="N32" i="6" s="1"/>
  <c r="G32" i="6"/>
  <c r="H32" i="6" s="1"/>
  <c r="O32" i="6" s="1"/>
  <c r="K31" i="6"/>
  <c r="L31" i="6" s="1"/>
  <c r="N31" i="6" s="1"/>
  <c r="G31" i="6"/>
  <c r="H31" i="6" s="1"/>
  <c r="O31" i="6" s="1"/>
  <c r="K30" i="6"/>
  <c r="L30" i="6" s="1"/>
  <c r="N30" i="6" s="1"/>
  <c r="G30" i="6"/>
  <c r="H30" i="6" s="1"/>
  <c r="O30" i="6" s="1"/>
  <c r="K29" i="6"/>
  <c r="L29" i="6" s="1"/>
  <c r="N29" i="6" s="1"/>
  <c r="J29" i="6"/>
  <c r="G29" i="6"/>
  <c r="F29" i="6"/>
  <c r="H29" i="6" s="1"/>
  <c r="L28" i="6"/>
  <c r="H28" i="6"/>
  <c r="N28" i="6" s="1"/>
  <c r="L27" i="6"/>
  <c r="H27" i="6"/>
  <c r="N27" i="6" s="1"/>
  <c r="L26" i="6"/>
  <c r="H26" i="6"/>
  <c r="N26" i="6" s="1"/>
  <c r="L25" i="6"/>
  <c r="H25" i="6"/>
  <c r="N25" i="6" s="1"/>
  <c r="L24" i="6"/>
  <c r="H24" i="6"/>
  <c r="N24" i="6" s="1"/>
  <c r="J23" i="6"/>
  <c r="L23" i="6" s="1"/>
  <c r="F23" i="6"/>
  <c r="H23" i="6" s="1"/>
  <c r="O72" i="5"/>
  <c r="N72" i="5"/>
  <c r="O66" i="5"/>
  <c r="N66" i="5"/>
  <c r="H61" i="5"/>
  <c r="O61" i="5" s="1"/>
  <c r="K60" i="5"/>
  <c r="L60" i="5" s="1"/>
  <c r="H60" i="5"/>
  <c r="O60" i="5" s="1"/>
  <c r="G59" i="5"/>
  <c r="H59" i="5" s="1"/>
  <c r="K58" i="5"/>
  <c r="L58" i="5" s="1"/>
  <c r="N58" i="5" s="1"/>
  <c r="H58" i="5"/>
  <c r="O58" i="5" s="1"/>
  <c r="G58" i="5"/>
  <c r="G57" i="5"/>
  <c r="H57" i="5" s="1"/>
  <c r="K56" i="5"/>
  <c r="L56" i="5" s="1"/>
  <c r="N56" i="5" s="1"/>
  <c r="H56" i="5"/>
  <c r="O56" i="5" s="1"/>
  <c r="G56" i="5"/>
  <c r="L55" i="5"/>
  <c r="N55" i="5" s="1"/>
  <c r="H55" i="5"/>
  <c r="L54" i="5"/>
  <c r="K54" i="5"/>
  <c r="H54" i="5"/>
  <c r="N53" i="5"/>
  <c r="L53" i="5"/>
  <c r="K53" i="5"/>
  <c r="H53" i="5"/>
  <c r="O53" i="5" s="1"/>
  <c r="J51" i="5"/>
  <c r="L51" i="5" s="1"/>
  <c r="L50" i="5"/>
  <c r="J50" i="5"/>
  <c r="G50" i="5"/>
  <c r="H50" i="5" s="1"/>
  <c r="N48" i="5"/>
  <c r="L48" i="5"/>
  <c r="H48" i="5"/>
  <c r="K47" i="5"/>
  <c r="J47" i="5"/>
  <c r="L47" i="5" s="1"/>
  <c r="G47" i="5"/>
  <c r="F47" i="5"/>
  <c r="H47" i="5" s="1"/>
  <c r="K46" i="5"/>
  <c r="J46" i="5"/>
  <c r="L46" i="5" s="1"/>
  <c r="N46" i="5" s="1"/>
  <c r="H46" i="5"/>
  <c r="O46" i="5" s="1"/>
  <c r="G46" i="5"/>
  <c r="L45" i="5"/>
  <c r="K45" i="5"/>
  <c r="J45" i="5"/>
  <c r="G45" i="5"/>
  <c r="H45" i="5" s="1"/>
  <c r="O45" i="5" s="1"/>
  <c r="B45" i="5"/>
  <c r="L44" i="5"/>
  <c r="N44" i="5" s="1"/>
  <c r="K44" i="5"/>
  <c r="J44" i="5"/>
  <c r="G44" i="5"/>
  <c r="H44" i="5" s="1"/>
  <c r="O44" i="5" s="1"/>
  <c r="B44" i="5"/>
  <c r="O43" i="5"/>
  <c r="L43" i="5"/>
  <c r="N43" i="5" s="1"/>
  <c r="K43" i="5"/>
  <c r="J43" i="5"/>
  <c r="G43" i="5"/>
  <c r="B43" i="5"/>
  <c r="O42" i="5"/>
  <c r="K42" i="5"/>
  <c r="L42" i="5" s="1"/>
  <c r="N42" i="5" s="1"/>
  <c r="J42" i="5"/>
  <c r="G42" i="5"/>
  <c r="B42" i="5"/>
  <c r="O41" i="5"/>
  <c r="K41" i="5"/>
  <c r="L41" i="5" s="1"/>
  <c r="N41" i="5" s="1"/>
  <c r="J41" i="5"/>
  <c r="H41" i="5"/>
  <c r="G41" i="5"/>
  <c r="B41" i="5"/>
  <c r="O40" i="5"/>
  <c r="K40" i="5"/>
  <c r="L40" i="5" s="1"/>
  <c r="N40" i="5" s="1"/>
  <c r="J40" i="5"/>
  <c r="H40" i="5"/>
  <c r="G40" i="5"/>
  <c r="B40" i="5"/>
  <c r="K38" i="5"/>
  <c r="L38" i="5" s="1"/>
  <c r="N38" i="5" s="1"/>
  <c r="H38" i="5"/>
  <c r="O38" i="5" s="1"/>
  <c r="G38" i="5"/>
  <c r="L37" i="5"/>
  <c r="K37" i="5"/>
  <c r="G37" i="5"/>
  <c r="H37" i="5" s="1"/>
  <c r="O37" i="5" s="1"/>
  <c r="K36" i="5"/>
  <c r="L36" i="5" s="1"/>
  <c r="N36" i="5" s="1"/>
  <c r="H36" i="5"/>
  <c r="O36" i="5" s="1"/>
  <c r="G36" i="5"/>
  <c r="L35" i="5"/>
  <c r="N35" i="5" s="1"/>
  <c r="K35" i="5"/>
  <c r="G35" i="5"/>
  <c r="H35" i="5" s="1"/>
  <c r="O35" i="5" s="1"/>
  <c r="K34" i="5"/>
  <c r="L34" i="5" s="1"/>
  <c r="N34" i="5" s="1"/>
  <c r="H34" i="5"/>
  <c r="O34" i="5" s="1"/>
  <c r="G34" i="5"/>
  <c r="L33" i="5"/>
  <c r="K33" i="5"/>
  <c r="G33" i="5"/>
  <c r="H33" i="5" s="1"/>
  <c r="O33" i="5" s="1"/>
  <c r="K32" i="5"/>
  <c r="L32" i="5" s="1"/>
  <c r="N32" i="5" s="1"/>
  <c r="H32" i="5"/>
  <c r="O32" i="5" s="1"/>
  <c r="G32" i="5"/>
  <c r="L31" i="5"/>
  <c r="N31" i="5" s="1"/>
  <c r="K31" i="5"/>
  <c r="G31" i="5"/>
  <c r="H31" i="5" s="1"/>
  <c r="O31" i="5" s="1"/>
  <c r="K30" i="5"/>
  <c r="L30" i="5" s="1"/>
  <c r="N30" i="5" s="1"/>
  <c r="H30" i="5"/>
  <c r="O30" i="5" s="1"/>
  <c r="G30" i="5"/>
  <c r="L29" i="5"/>
  <c r="K29" i="5"/>
  <c r="J29" i="5"/>
  <c r="G29" i="5"/>
  <c r="H29" i="5" s="1"/>
  <c r="F29" i="5"/>
  <c r="L28" i="5"/>
  <c r="N28" i="5" s="1"/>
  <c r="H28" i="5"/>
  <c r="O28" i="5" s="1"/>
  <c r="L27" i="5"/>
  <c r="N27" i="5" s="1"/>
  <c r="H27" i="5"/>
  <c r="O27" i="5" s="1"/>
  <c r="L26" i="5"/>
  <c r="N26" i="5" s="1"/>
  <c r="H26" i="5"/>
  <c r="O26" i="5" s="1"/>
  <c r="L25" i="5"/>
  <c r="N25" i="5" s="1"/>
  <c r="H25" i="5"/>
  <c r="O25" i="5" s="1"/>
  <c r="L24" i="5"/>
  <c r="N24" i="5" s="1"/>
  <c r="H24" i="5"/>
  <c r="O24" i="5" s="1"/>
  <c r="L23" i="5"/>
  <c r="L39" i="5" s="1"/>
  <c r="J23" i="5"/>
  <c r="F23" i="5"/>
  <c r="H23" i="5" s="1"/>
  <c r="O72" i="4"/>
  <c r="N72" i="4"/>
  <c r="O66" i="4"/>
  <c r="N66" i="4"/>
  <c r="H61" i="4"/>
  <c r="O61" i="4" s="1"/>
  <c r="G61" i="4"/>
  <c r="K61" i="4" s="1"/>
  <c r="L61" i="4" s="1"/>
  <c r="N61" i="4" s="1"/>
  <c r="L60" i="4"/>
  <c r="K60" i="4"/>
  <c r="H60" i="4"/>
  <c r="K59" i="4"/>
  <c r="L59" i="4" s="1"/>
  <c r="G59" i="4"/>
  <c r="H59" i="4" s="1"/>
  <c r="G58" i="4"/>
  <c r="K58" i="4" s="1"/>
  <c r="L58" i="4" s="1"/>
  <c r="K57" i="4"/>
  <c r="L57" i="4" s="1"/>
  <c r="G57" i="4"/>
  <c r="H57" i="4" s="1"/>
  <c r="K56" i="4"/>
  <c r="L56" i="4" s="1"/>
  <c r="G56" i="4"/>
  <c r="H56" i="4" s="1"/>
  <c r="L55" i="4"/>
  <c r="H55" i="4"/>
  <c r="N55" i="4" s="1"/>
  <c r="L54" i="4"/>
  <c r="H54" i="4"/>
  <c r="N54" i="4" s="1"/>
  <c r="L53" i="4"/>
  <c r="H53" i="4"/>
  <c r="N53" i="4" s="1"/>
  <c r="K51" i="4"/>
  <c r="L51" i="4" s="1"/>
  <c r="J51" i="4"/>
  <c r="K50" i="4"/>
  <c r="J50" i="4"/>
  <c r="L50" i="4" s="1"/>
  <c r="G50" i="4"/>
  <c r="G51" i="4" s="1"/>
  <c r="H51" i="4" s="1"/>
  <c r="L48" i="4"/>
  <c r="N48" i="4" s="1"/>
  <c r="H48" i="4"/>
  <c r="L47" i="4"/>
  <c r="N47" i="4" s="1"/>
  <c r="K47" i="4"/>
  <c r="J47" i="4"/>
  <c r="G47" i="4"/>
  <c r="H47" i="4" s="1"/>
  <c r="F47" i="4"/>
  <c r="L46" i="4"/>
  <c r="N46" i="4" s="1"/>
  <c r="K46" i="4"/>
  <c r="J46" i="4"/>
  <c r="G46" i="4"/>
  <c r="H46" i="4" s="1"/>
  <c r="O45" i="4"/>
  <c r="K45" i="4"/>
  <c r="L45" i="4" s="1"/>
  <c r="N45" i="4" s="1"/>
  <c r="J45" i="4"/>
  <c r="H45" i="4"/>
  <c r="G45" i="4"/>
  <c r="B45" i="4"/>
  <c r="O44" i="4"/>
  <c r="K44" i="4"/>
  <c r="L44" i="4" s="1"/>
  <c r="N44" i="4" s="1"/>
  <c r="J44" i="4"/>
  <c r="H44" i="4"/>
  <c r="G44" i="4"/>
  <c r="B44" i="4"/>
  <c r="K43" i="4"/>
  <c r="J43" i="4"/>
  <c r="L43" i="4" s="1"/>
  <c r="N43" i="4" s="1"/>
  <c r="G43" i="4"/>
  <c r="B43" i="4"/>
  <c r="L42" i="4"/>
  <c r="N42" i="4" s="1"/>
  <c r="K42" i="4"/>
  <c r="G42" i="4"/>
  <c r="B42" i="4"/>
  <c r="O41" i="4"/>
  <c r="K41" i="4"/>
  <c r="J41" i="4"/>
  <c r="L41" i="4" s="1"/>
  <c r="N41" i="4" s="1"/>
  <c r="H41" i="4"/>
  <c r="G41" i="4"/>
  <c r="B41" i="4"/>
  <c r="O40" i="4"/>
  <c r="K40" i="4"/>
  <c r="J40" i="4"/>
  <c r="L40" i="4" s="1"/>
  <c r="N40" i="4" s="1"/>
  <c r="H40" i="4"/>
  <c r="G40" i="4"/>
  <c r="B40" i="4"/>
  <c r="O38" i="4"/>
  <c r="L38" i="4"/>
  <c r="K38" i="4"/>
  <c r="H38" i="4"/>
  <c r="N38" i="4" s="1"/>
  <c r="G38" i="4"/>
  <c r="L37" i="4"/>
  <c r="N37" i="4" s="1"/>
  <c r="K37" i="4"/>
  <c r="H37" i="4"/>
  <c r="O37" i="4" s="1"/>
  <c r="G37" i="4"/>
  <c r="L36" i="4"/>
  <c r="K36" i="4"/>
  <c r="H36" i="4"/>
  <c r="O36" i="4" s="1"/>
  <c r="G36" i="4"/>
  <c r="L35" i="4"/>
  <c r="N35" i="4" s="1"/>
  <c r="K35" i="4"/>
  <c r="H35" i="4"/>
  <c r="O35" i="4" s="1"/>
  <c r="G35" i="4"/>
  <c r="L34" i="4"/>
  <c r="K34" i="4"/>
  <c r="H34" i="4"/>
  <c r="N34" i="4" s="1"/>
  <c r="G34" i="4"/>
  <c r="L33" i="4"/>
  <c r="N33" i="4" s="1"/>
  <c r="K33" i="4"/>
  <c r="H33" i="4"/>
  <c r="O33" i="4" s="1"/>
  <c r="G33" i="4"/>
  <c r="L32" i="4"/>
  <c r="K32" i="4"/>
  <c r="H32" i="4"/>
  <c r="N32" i="4" s="1"/>
  <c r="G32" i="4"/>
  <c r="L31" i="4"/>
  <c r="N31" i="4" s="1"/>
  <c r="K31" i="4"/>
  <c r="H31" i="4"/>
  <c r="O31" i="4" s="1"/>
  <c r="G31" i="4"/>
  <c r="L30" i="4"/>
  <c r="K30" i="4"/>
  <c r="H30" i="4"/>
  <c r="O30" i="4" s="1"/>
  <c r="G30" i="4"/>
  <c r="L29" i="4"/>
  <c r="K29" i="4"/>
  <c r="J29" i="4"/>
  <c r="G29" i="4"/>
  <c r="H29" i="4" s="1"/>
  <c r="F29" i="4"/>
  <c r="L28" i="4"/>
  <c r="N28" i="4" s="1"/>
  <c r="H28" i="4"/>
  <c r="O28" i="4" s="1"/>
  <c r="L27" i="4"/>
  <c r="N27" i="4" s="1"/>
  <c r="H27" i="4"/>
  <c r="O27" i="4" s="1"/>
  <c r="L26" i="4"/>
  <c r="N26" i="4" s="1"/>
  <c r="H26" i="4"/>
  <c r="O26" i="4" s="1"/>
  <c r="L25" i="4"/>
  <c r="N25" i="4" s="1"/>
  <c r="H25" i="4"/>
  <c r="O25" i="4" s="1"/>
  <c r="L24" i="4"/>
  <c r="N24" i="4" s="1"/>
  <c r="H24" i="4"/>
  <c r="O24" i="4" s="1"/>
  <c r="L23" i="4"/>
  <c r="L39" i="4" s="1"/>
  <c r="J23" i="4"/>
  <c r="H23" i="4"/>
  <c r="F23" i="4"/>
  <c r="O72" i="3"/>
  <c r="N72" i="3"/>
  <c r="O66" i="3"/>
  <c r="N66" i="3"/>
  <c r="H61" i="3"/>
  <c r="O61" i="3" s="1"/>
  <c r="H60" i="3"/>
  <c r="O60" i="3" s="1"/>
  <c r="K60" i="3"/>
  <c r="L60" i="3" s="1"/>
  <c r="L59" i="3"/>
  <c r="N59" i="3" s="1"/>
  <c r="K59" i="3"/>
  <c r="G59" i="3"/>
  <c r="H59" i="3" s="1"/>
  <c r="H58" i="3"/>
  <c r="G58" i="3"/>
  <c r="K58" i="3" s="1"/>
  <c r="L58" i="3" s="1"/>
  <c r="N58" i="3" s="1"/>
  <c r="O58" i="3" s="1"/>
  <c r="L57" i="3"/>
  <c r="K57" i="3"/>
  <c r="G57" i="3"/>
  <c r="H57" i="3" s="1"/>
  <c r="L56" i="3"/>
  <c r="H56" i="3"/>
  <c r="N56" i="3" s="1"/>
  <c r="O56" i="3" s="1"/>
  <c r="L55" i="3"/>
  <c r="H55" i="3"/>
  <c r="N55" i="3" s="1"/>
  <c r="O55" i="3" s="1"/>
  <c r="L54" i="3"/>
  <c r="H54" i="3"/>
  <c r="N54" i="3" s="1"/>
  <c r="O54" i="3" s="1"/>
  <c r="L53" i="3"/>
  <c r="H53" i="3"/>
  <c r="K51" i="3"/>
  <c r="L51" i="3" s="1"/>
  <c r="J51" i="3"/>
  <c r="K50" i="3"/>
  <c r="L50" i="3" s="1"/>
  <c r="N50" i="3" s="1"/>
  <c r="J50" i="3"/>
  <c r="H50" i="3"/>
  <c r="O50" i="3" s="1"/>
  <c r="G50" i="3"/>
  <c r="G51" i="3" s="1"/>
  <c r="H51" i="3" s="1"/>
  <c r="L48" i="3"/>
  <c r="N48" i="3" s="1"/>
  <c r="H48" i="3"/>
  <c r="K47" i="3"/>
  <c r="L47" i="3" s="1"/>
  <c r="J47" i="3"/>
  <c r="G47" i="3"/>
  <c r="F47" i="3"/>
  <c r="K46" i="3"/>
  <c r="L46" i="3" s="1"/>
  <c r="N46" i="3" s="1"/>
  <c r="J46" i="3"/>
  <c r="G46" i="3"/>
  <c r="H46" i="3" s="1"/>
  <c r="O45" i="3"/>
  <c r="K45" i="3"/>
  <c r="L45" i="3" s="1"/>
  <c r="N45" i="3" s="1"/>
  <c r="J45" i="3"/>
  <c r="H45" i="3"/>
  <c r="G45" i="3"/>
  <c r="B45" i="3"/>
  <c r="O44" i="3"/>
  <c r="K44" i="3"/>
  <c r="L44" i="3" s="1"/>
  <c r="N44" i="3" s="1"/>
  <c r="J44" i="3"/>
  <c r="H44" i="3"/>
  <c r="G44" i="3"/>
  <c r="B44" i="3"/>
  <c r="O43" i="3"/>
  <c r="K43" i="3"/>
  <c r="L43" i="3" s="1"/>
  <c r="N43" i="3" s="1"/>
  <c r="J43" i="3"/>
  <c r="G43" i="3"/>
  <c r="B43" i="3"/>
  <c r="O42" i="3"/>
  <c r="K42" i="3"/>
  <c r="L42" i="3" s="1"/>
  <c r="N42" i="3" s="1"/>
  <c r="J42" i="3"/>
  <c r="G42" i="3"/>
  <c r="B42" i="3"/>
  <c r="L41" i="3"/>
  <c r="N41" i="3" s="1"/>
  <c r="K41" i="3"/>
  <c r="J41" i="3"/>
  <c r="G41" i="3"/>
  <c r="H41" i="3" s="1"/>
  <c r="O41" i="3" s="1"/>
  <c r="B41" i="3"/>
  <c r="L40" i="3"/>
  <c r="K40" i="3"/>
  <c r="J40" i="3"/>
  <c r="G40" i="3"/>
  <c r="H40" i="3" s="1"/>
  <c r="O40" i="3" s="1"/>
  <c r="B40" i="3"/>
  <c r="L38" i="3"/>
  <c r="N38" i="3" s="1"/>
  <c r="K38" i="3"/>
  <c r="G38" i="3"/>
  <c r="H38" i="3" s="1"/>
  <c r="O38" i="3" s="1"/>
  <c r="K37" i="3"/>
  <c r="L37" i="3" s="1"/>
  <c r="N37" i="3" s="1"/>
  <c r="H37" i="3"/>
  <c r="O37" i="3" s="1"/>
  <c r="G37" i="3"/>
  <c r="L36" i="3"/>
  <c r="K36" i="3"/>
  <c r="G36" i="3"/>
  <c r="H36" i="3" s="1"/>
  <c r="O36" i="3" s="1"/>
  <c r="K35" i="3"/>
  <c r="L35" i="3" s="1"/>
  <c r="N35" i="3" s="1"/>
  <c r="H35" i="3"/>
  <c r="O35" i="3" s="1"/>
  <c r="G35" i="3"/>
  <c r="L34" i="3"/>
  <c r="N34" i="3" s="1"/>
  <c r="K34" i="3"/>
  <c r="G34" i="3"/>
  <c r="H34" i="3" s="1"/>
  <c r="O34" i="3" s="1"/>
  <c r="K33" i="3"/>
  <c r="L33" i="3" s="1"/>
  <c r="N33" i="3" s="1"/>
  <c r="H33" i="3"/>
  <c r="O33" i="3" s="1"/>
  <c r="G33" i="3"/>
  <c r="L32" i="3"/>
  <c r="K32" i="3"/>
  <c r="G32" i="3"/>
  <c r="H32" i="3" s="1"/>
  <c r="O32" i="3" s="1"/>
  <c r="K31" i="3"/>
  <c r="L31" i="3" s="1"/>
  <c r="N31" i="3" s="1"/>
  <c r="H31" i="3"/>
  <c r="O31" i="3" s="1"/>
  <c r="G31" i="3"/>
  <c r="L30" i="3"/>
  <c r="N30" i="3" s="1"/>
  <c r="K30" i="3"/>
  <c r="G30" i="3"/>
  <c r="H30" i="3" s="1"/>
  <c r="O30" i="3" s="1"/>
  <c r="K29" i="3"/>
  <c r="L29" i="3" s="1"/>
  <c r="J29" i="3"/>
  <c r="G29" i="3"/>
  <c r="F29" i="3"/>
  <c r="H29" i="3" s="1"/>
  <c r="O28" i="3"/>
  <c r="L28" i="3"/>
  <c r="H28" i="3"/>
  <c r="N28" i="3" s="1"/>
  <c r="O27" i="3"/>
  <c r="L27" i="3"/>
  <c r="H27" i="3"/>
  <c r="N27" i="3" s="1"/>
  <c r="O26" i="3"/>
  <c r="L26" i="3"/>
  <c r="H26" i="3"/>
  <c r="N26" i="3" s="1"/>
  <c r="J25" i="3"/>
  <c r="L25" i="3" s="1"/>
  <c r="N25" i="3" s="1"/>
  <c r="H25" i="3"/>
  <c r="O25" i="3" s="1"/>
  <c r="L24" i="3"/>
  <c r="N24" i="3" s="1"/>
  <c r="H24" i="3"/>
  <c r="O24" i="3" s="1"/>
  <c r="J23" i="3"/>
  <c r="L23" i="3" s="1"/>
  <c r="H23" i="3"/>
  <c r="F23" i="3"/>
  <c r="O72" i="2"/>
  <c r="N72" i="2"/>
  <c r="O66" i="2"/>
  <c r="N66" i="2"/>
  <c r="H61" i="2"/>
  <c r="O61" i="2" s="1"/>
  <c r="H60" i="2"/>
  <c r="K60" i="2"/>
  <c r="L60" i="2" s="1"/>
  <c r="G59" i="2"/>
  <c r="H59" i="2" s="1"/>
  <c r="H58" i="2"/>
  <c r="O58" i="2" s="1"/>
  <c r="G58" i="2"/>
  <c r="K58" i="2" s="1"/>
  <c r="L58" i="2" s="1"/>
  <c r="N58" i="2" s="1"/>
  <c r="G57" i="2"/>
  <c r="H57" i="2" s="1"/>
  <c r="K56" i="2"/>
  <c r="L56" i="2" s="1"/>
  <c r="N56" i="2" s="1"/>
  <c r="H56" i="2"/>
  <c r="G56" i="2"/>
  <c r="L55" i="2"/>
  <c r="N55" i="2" s="1"/>
  <c r="H55" i="2"/>
  <c r="J51" i="2"/>
  <c r="G51" i="2"/>
  <c r="G54" i="2" s="1"/>
  <c r="H54" i="2" s="1"/>
  <c r="K50" i="2"/>
  <c r="L50" i="2" s="1"/>
  <c r="N50" i="2" s="1"/>
  <c r="J50" i="2"/>
  <c r="G50" i="2"/>
  <c r="H50" i="2" s="1"/>
  <c r="N48" i="2"/>
  <c r="L48" i="2"/>
  <c r="H48" i="2"/>
  <c r="L47" i="2"/>
  <c r="K47" i="2"/>
  <c r="J47" i="2"/>
  <c r="G47" i="2"/>
  <c r="F47" i="2"/>
  <c r="H47" i="2" s="1"/>
  <c r="K46" i="2"/>
  <c r="L46" i="2" s="1"/>
  <c r="N46" i="2" s="1"/>
  <c r="J46" i="2"/>
  <c r="H46" i="2"/>
  <c r="G46" i="2"/>
  <c r="L45" i="2"/>
  <c r="N45" i="2" s="1"/>
  <c r="K45" i="2"/>
  <c r="J45" i="2"/>
  <c r="G45" i="2"/>
  <c r="H45" i="2" s="1"/>
  <c r="O45" i="2" s="1"/>
  <c r="B45" i="2"/>
  <c r="L44" i="2"/>
  <c r="K44" i="2"/>
  <c r="J44" i="2"/>
  <c r="G44" i="2"/>
  <c r="H44" i="2" s="1"/>
  <c r="O44" i="2" s="1"/>
  <c r="B44" i="2"/>
  <c r="K43" i="2"/>
  <c r="L43" i="2" s="1"/>
  <c r="N43" i="2" s="1"/>
  <c r="J43" i="2"/>
  <c r="G43" i="2"/>
  <c r="B43" i="2"/>
  <c r="N42" i="2"/>
  <c r="L42" i="2"/>
  <c r="K42" i="2"/>
  <c r="G42" i="2"/>
  <c r="B42" i="2"/>
  <c r="K41" i="2"/>
  <c r="L41" i="2" s="1"/>
  <c r="N41" i="2" s="1"/>
  <c r="J41" i="2"/>
  <c r="G41" i="2"/>
  <c r="H41" i="2" s="1"/>
  <c r="O41" i="2" s="1"/>
  <c r="B41" i="2"/>
  <c r="K40" i="2"/>
  <c r="L40" i="2" s="1"/>
  <c r="J40" i="2"/>
  <c r="G40" i="2"/>
  <c r="H40" i="2" s="1"/>
  <c r="O40" i="2" s="1"/>
  <c r="B40" i="2"/>
  <c r="K38" i="2"/>
  <c r="L38" i="2" s="1"/>
  <c r="N38" i="2" s="1"/>
  <c r="H38" i="2"/>
  <c r="O38" i="2" s="1"/>
  <c r="G38" i="2"/>
  <c r="L37" i="2"/>
  <c r="K37" i="2"/>
  <c r="G37" i="2"/>
  <c r="H37" i="2" s="1"/>
  <c r="K36" i="2"/>
  <c r="L36" i="2" s="1"/>
  <c r="N36" i="2" s="1"/>
  <c r="H36" i="2"/>
  <c r="O36" i="2" s="1"/>
  <c r="G36" i="2"/>
  <c r="L35" i="2"/>
  <c r="K35" i="2"/>
  <c r="G35" i="2"/>
  <c r="H35" i="2" s="1"/>
  <c r="K34" i="2"/>
  <c r="L34" i="2" s="1"/>
  <c r="N34" i="2" s="1"/>
  <c r="H34" i="2"/>
  <c r="O34" i="2" s="1"/>
  <c r="G34" i="2"/>
  <c r="L33" i="2"/>
  <c r="K33" i="2"/>
  <c r="G33" i="2"/>
  <c r="H33" i="2" s="1"/>
  <c r="K32" i="2"/>
  <c r="L32" i="2" s="1"/>
  <c r="N32" i="2" s="1"/>
  <c r="H32" i="2"/>
  <c r="O32" i="2" s="1"/>
  <c r="G32" i="2"/>
  <c r="L31" i="2"/>
  <c r="K31" i="2"/>
  <c r="G31" i="2"/>
  <c r="H31" i="2" s="1"/>
  <c r="K30" i="2"/>
  <c r="L30" i="2" s="1"/>
  <c r="N30" i="2" s="1"/>
  <c r="H30" i="2"/>
  <c r="O30" i="2" s="1"/>
  <c r="G30" i="2"/>
  <c r="K29" i="2"/>
  <c r="J29" i="2"/>
  <c r="L29" i="2" s="1"/>
  <c r="N29" i="2" s="1"/>
  <c r="H29" i="2"/>
  <c r="O29" i="2" s="1"/>
  <c r="G29" i="2"/>
  <c r="F29" i="2"/>
  <c r="O28" i="2"/>
  <c r="N28" i="2"/>
  <c r="L28" i="2"/>
  <c r="H28" i="2"/>
  <c r="O27" i="2"/>
  <c r="N27" i="2"/>
  <c r="L27" i="2"/>
  <c r="H27" i="2"/>
  <c r="O26" i="2"/>
  <c r="N26" i="2"/>
  <c r="L26" i="2"/>
  <c r="H26" i="2"/>
  <c r="N25" i="2"/>
  <c r="L25" i="2"/>
  <c r="J25" i="2"/>
  <c r="H25" i="2"/>
  <c r="O25" i="2" s="1"/>
  <c r="O24" i="2"/>
  <c r="L24" i="2"/>
  <c r="H24" i="2"/>
  <c r="N24" i="2" s="1"/>
  <c r="J23" i="2"/>
  <c r="L23" i="2" s="1"/>
  <c r="H23" i="2"/>
  <c r="F23" i="2"/>
  <c r="O72" i="1"/>
  <c r="N72" i="1"/>
  <c r="O66" i="1"/>
  <c r="N66" i="1"/>
  <c r="L61" i="1"/>
  <c r="N61" i="1" s="1"/>
  <c r="K61" i="1"/>
  <c r="H61" i="1"/>
  <c r="O61" i="1" s="1"/>
  <c r="G61" i="1"/>
  <c r="H60" i="1"/>
  <c r="G60" i="1"/>
  <c r="K60" i="1" s="1"/>
  <c r="L60" i="1" s="1"/>
  <c r="L59" i="1"/>
  <c r="N59" i="1" s="1"/>
  <c r="K59" i="1"/>
  <c r="H59" i="1"/>
  <c r="G59" i="1"/>
  <c r="H58" i="1"/>
  <c r="G58" i="1"/>
  <c r="K58" i="1" s="1"/>
  <c r="L58" i="1" s="1"/>
  <c r="N58" i="1" s="1"/>
  <c r="L57" i="1"/>
  <c r="N57" i="1" s="1"/>
  <c r="K57" i="1"/>
  <c r="H57" i="1"/>
  <c r="O57" i="1" s="1"/>
  <c r="G57" i="1"/>
  <c r="L56" i="1"/>
  <c r="N56" i="1" s="1"/>
  <c r="G56" i="1"/>
  <c r="H56" i="1" s="1"/>
  <c r="L55" i="1"/>
  <c r="H55" i="1"/>
  <c r="J51" i="1"/>
  <c r="F51" i="1"/>
  <c r="K50" i="1"/>
  <c r="L50" i="1" s="1"/>
  <c r="N50" i="1" s="1"/>
  <c r="J50" i="1"/>
  <c r="G50" i="1"/>
  <c r="G51" i="1" s="1"/>
  <c r="F50" i="1"/>
  <c r="H50" i="1" s="1"/>
  <c r="L48" i="1"/>
  <c r="N48" i="1" s="1"/>
  <c r="H48" i="1"/>
  <c r="K47" i="1"/>
  <c r="J47" i="1"/>
  <c r="L47" i="1" s="1"/>
  <c r="G47" i="1"/>
  <c r="H47" i="1" s="1"/>
  <c r="F47" i="1"/>
  <c r="K46" i="1"/>
  <c r="J46" i="1"/>
  <c r="L46" i="1" s="1"/>
  <c r="G46" i="1"/>
  <c r="H46" i="1" s="1"/>
  <c r="K45" i="1"/>
  <c r="L45" i="1" s="1"/>
  <c r="N45" i="1" s="1"/>
  <c r="J45" i="1"/>
  <c r="H45" i="1"/>
  <c r="O45" i="1" s="1"/>
  <c r="G45" i="1"/>
  <c r="B45" i="1"/>
  <c r="K44" i="1"/>
  <c r="L44" i="1" s="1"/>
  <c r="N44" i="1" s="1"/>
  <c r="J44" i="1"/>
  <c r="H44" i="1"/>
  <c r="O44" i="1" s="1"/>
  <c r="G44" i="1"/>
  <c r="B44" i="1"/>
  <c r="O43" i="1"/>
  <c r="J43" i="1"/>
  <c r="L43" i="1" s="1"/>
  <c r="N43" i="1" s="1"/>
  <c r="G43" i="1"/>
  <c r="B43" i="1"/>
  <c r="O42" i="1"/>
  <c r="K42" i="1"/>
  <c r="L42" i="1" s="1"/>
  <c r="N42" i="1" s="1"/>
  <c r="G42" i="1"/>
  <c r="B42" i="1"/>
  <c r="K41" i="1"/>
  <c r="L41" i="1" s="1"/>
  <c r="N41" i="1" s="1"/>
  <c r="J41" i="1"/>
  <c r="H41" i="1"/>
  <c r="O41" i="1" s="1"/>
  <c r="G41" i="1"/>
  <c r="B41" i="1"/>
  <c r="K40" i="1"/>
  <c r="L40" i="1" s="1"/>
  <c r="N40" i="1" s="1"/>
  <c r="J40" i="1"/>
  <c r="H40" i="1"/>
  <c r="O40" i="1" s="1"/>
  <c r="G40" i="1"/>
  <c r="B40" i="1"/>
  <c r="K38" i="1"/>
  <c r="L38" i="1" s="1"/>
  <c r="N38" i="1" s="1"/>
  <c r="G38" i="1"/>
  <c r="H38" i="1" s="1"/>
  <c r="O38" i="1" s="1"/>
  <c r="K37" i="1"/>
  <c r="L37" i="1" s="1"/>
  <c r="G37" i="1"/>
  <c r="H37" i="1" s="1"/>
  <c r="O37" i="1" s="1"/>
  <c r="K36" i="1"/>
  <c r="L36" i="1" s="1"/>
  <c r="N36" i="1" s="1"/>
  <c r="G36" i="1"/>
  <c r="H36" i="1" s="1"/>
  <c r="O36" i="1" s="1"/>
  <c r="K35" i="1"/>
  <c r="L35" i="1" s="1"/>
  <c r="G35" i="1"/>
  <c r="H35" i="1" s="1"/>
  <c r="O35" i="1" s="1"/>
  <c r="K34" i="1"/>
  <c r="L34" i="1" s="1"/>
  <c r="N34" i="1" s="1"/>
  <c r="G34" i="1"/>
  <c r="H34" i="1" s="1"/>
  <c r="O34" i="1" s="1"/>
  <c r="K33" i="1"/>
  <c r="L33" i="1" s="1"/>
  <c r="G33" i="1"/>
  <c r="H33" i="1" s="1"/>
  <c r="O33" i="1" s="1"/>
  <c r="K32" i="1"/>
  <c r="L32" i="1" s="1"/>
  <c r="N32" i="1" s="1"/>
  <c r="G32" i="1"/>
  <c r="H32" i="1" s="1"/>
  <c r="O32" i="1" s="1"/>
  <c r="K31" i="1"/>
  <c r="L31" i="1" s="1"/>
  <c r="G31" i="1"/>
  <c r="H31" i="1" s="1"/>
  <c r="O31" i="1" s="1"/>
  <c r="K30" i="1"/>
  <c r="L30" i="1" s="1"/>
  <c r="N30" i="1" s="1"/>
  <c r="G30" i="1"/>
  <c r="H30" i="1" s="1"/>
  <c r="O30" i="1" s="1"/>
  <c r="K29" i="1"/>
  <c r="L29" i="1" s="1"/>
  <c r="N29" i="1" s="1"/>
  <c r="J29" i="1"/>
  <c r="H29" i="1"/>
  <c r="O29" i="1" s="1"/>
  <c r="G29" i="1"/>
  <c r="F29" i="1"/>
  <c r="N28" i="1"/>
  <c r="L28" i="1"/>
  <c r="H28" i="1"/>
  <c r="O28" i="1" s="1"/>
  <c r="N27" i="1"/>
  <c r="L27" i="1"/>
  <c r="H27" i="1"/>
  <c r="O27" i="1" s="1"/>
  <c r="N26" i="1"/>
  <c r="L26" i="1"/>
  <c r="H26" i="1"/>
  <c r="O26" i="1" s="1"/>
  <c r="J25" i="1"/>
  <c r="L25" i="1" s="1"/>
  <c r="N25" i="1" s="1"/>
  <c r="H25" i="1"/>
  <c r="O25" i="1" s="1"/>
  <c r="O24" i="1"/>
  <c r="L24" i="1"/>
  <c r="N24" i="1" s="1"/>
  <c r="H24" i="1"/>
  <c r="L23" i="1"/>
  <c r="N23" i="1" s="1"/>
  <c r="J23" i="1"/>
  <c r="H23" i="1"/>
  <c r="H39" i="1" s="1"/>
  <c r="F23" i="1"/>
  <c r="H47" i="3" l="1"/>
  <c r="N47" i="3" s="1"/>
  <c r="O47" i="3" s="1"/>
  <c r="N47" i="5"/>
  <c r="O47" i="5" s="1"/>
  <c r="N23" i="6"/>
  <c r="L39" i="6"/>
  <c r="H39" i="6"/>
  <c r="O23" i="6"/>
  <c r="O29" i="6"/>
  <c r="O50" i="6"/>
  <c r="N44" i="6"/>
  <c r="O55" i="6"/>
  <c r="N60" i="6"/>
  <c r="N50" i="6"/>
  <c r="O57" i="6"/>
  <c r="O60" i="6"/>
  <c r="O24" i="6"/>
  <c r="O25" i="6"/>
  <c r="O26" i="6"/>
  <c r="O27" i="6"/>
  <c r="O28" i="6"/>
  <c r="K51" i="6"/>
  <c r="G53" i="6"/>
  <c r="H53" i="6" s="1"/>
  <c r="K57" i="6"/>
  <c r="L57" i="6" s="1"/>
  <c r="N57" i="6" s="1"/>
  <c r="K59" i="6"/>
  <c r="L59" i="6" s="1"/>
  <c r="N59" i="6" s="1"/>
  <c r="O59" i="6" s="1"/>
  <c r="K61" i="6"/>
  <c r="L61" i="6" s="1"/>
  <c r="N61" i="6" s="1"/>
  <c r="O61" i="6" s="1"/>
  <c r="N47" i="6"/>
  <c r="O47" i="6" s="1"/>
  <c r="H51" i="6"/>
  <c r="L49" i="5"/>
  <c r="O50" i="5"/>
  <c r="O54" i="5"/>
  <c r="O59" i="5"/>
  <c r="H39" i="5"/>
  <c r="N50" i="5"/>
  <c r="N29" i="5"/>
  <c r="O29" i="5" s="1"/>
  <c r="N33" i="5"/>
  <c r="N37" i="5"/>
  <c r="N45" i="5"/>
  <c r="O55" i="5"/>
  <c r="N60" i="5"/>
  <c r="G51" i="5"/>
  <c r="H51" i="5" s="1"/>
  <c r="K57" i="5"/>
  <c r="L57" i="5" s="1"/>
  <c r="N57" i="5" s="1"/>
  <c r="O57" i="5" s="1"/>
  <c r="K59" i="5"/>
  <c r="L59" i="5" s="1"/>
  <c r="N59" i="5" s="1"/>
  <c r="K61" i="5"/>
  <c r="L61" i="5" s="1"/>
  <c r="N61" i="5" s="1"/>
  <c r="N23" i="5"/>
  <c r="O23" i="5" s="1"/>
  <c r="N54" i="5"/>
  <c r="N29" i="4"/>
  <c r="O29" i="4" s="1"/>
  <c r="N51" i="4"/>
  <c r="O46" i="4"/>
  <c r="N59" i="4"/>
  <c r="O59" i="4" s="1"/>
  <c r="L49" i="4"/>
  <c r="O51" i="4"/>
  <c r="N56" i="4"/>
  <c r="O56" i="4" s="1"/>
  <c r="O47" i="4"/>
  <c r="N57" i="4"/>
  <c r="O57" i="4" s="1"/>
  <c r="O32" i="4"/>
  <c r="O34" i="4"/>
  <c r="N30" i="4"/>
  <c r="N36" i="4"/>
  <c r="H50" i="4"/>
  <c r="O53" i="4"/>
  <c r="O54" i="4"/>
  <c r="O55" i="4"/>
  <c r="N60" i="4"/>
  <c r="O60" i="4"/>
  <c r="N23" i="4"/>
  <c r="O23" i="4" s="1"/>
  <c r="H39" i="4"/>
  <c r="H58" i="4"/>
  <c r="N23" i="3"/>
  <c r="L39" i="3"/>
  <c r="H39" i="3"/>
  <c r="N51" i="3"/>
  <c r="N60" i="3"/>
  <c r="N29" i="3"/>
  <c r="N40" i="3"/>
  <c r="O46" i="3"/>
  <c r="O59" i="3"/>
  <c r="O29" i="3"/>
  <c r="N32" i="3"/>
  <c r="N36" i="3"/>
  <c r="O51" i="3"/>
  <c r="N57" i="3"/>
  <c r="O57" i="3" s="1"/>
  <c r="O23" i="3"/>
  <c r="N53" i="3"/>
  <c r="O53" i="3" s="1"/>
  <c r="K61" i="3"/>
  <c r="L61" i="3" s="1"/>
  <c r="N61" i="3" s="1"/>
  <c r="N44" i="2"/>
  <c r="O55" i="2"/>
  <c r="O33" i="2"/>
  <c r="N33" i="2"/>
  <c r="N60" i="2"/>
  <c r="N40" i="2"/>
  <c r="O37" i="2"/>
  <c r="N37" i="2"/>
  <c r="L39" i="2"/>
  <c r="N23" i="2"/>
  <c r="O23" i="2" s="1"/>
  <c r="O31" i="2"/>
  <c r="N31" i="2"/>
  <c r="O35" i="2"/>
  <c r="N35" i="2"/>
  <c r="O46" i="2"/>
  <c r="O50" i="2"/>
  <c r="O56" i="2"/>
  <c r="H39" i="2"/>
  <c r="N47" i="2"/>
  <c r="O47" i="2" s="1"/>
  <c r="K51" i="2"/>
  <c r="G53" i="2"/>
  <c r="H53" i="2" s="1"/>
  <c r="K57" i="2"/>
  <c r="L57" i="2" s="1"/>
  <c r="N57" i="2" s="1"/>
  <c r="O57" i="2" s="1"/>
  <c r="K59" i="2"/>
  <c r="L59" i="2" s="1"/>
  <c r="N59" i="2" s="1"/>
  <c r="O59" i="2" s="1"/>
  <c r="K61" i="2"/>
  <c r="L61" i="2" s="1"/>
  <c r="N61" i="2" s="1"/>
  <c r="O60" i="2"/>
  <c r="H51" i="2"/>
  <c r="H49" i="1"/>
  <c r="O46" i="1"/>
  <c r="O47" i="1"/>
  <c r="O58" i="1"/>
  <c r="N31" i="1"/>
  <c r="N33" i="1"/>
  <c r="N35" i="1"/>
  <c r="N37" i="1"/>
  <c r="N46" i="1"/>
  <c r="N47" i="1"/>
  <c r="O50" i="1"/>
  <c r="O56" i="1"/>
  <c r="N60" i="1"/>
  <c r="O60" i="1" s="1"/>
  <c r="O55" i="1"/>
  <c r="G53" i="1"/>
  <c r="H53" i="1" s="1"/>
  <c r="G54" i="1"/>
  <c r="H54" i="1" s="1"/>
  <c r="H51" i="1"/>
  <c r="O59" i="1"/>
  <c r="O23" i="1"/>
  <c r="N55" i="1"/>
  <c r="L39" i="1"/>
  <c r="K51" i="1"/>
  <c r="K53" i="6" l="1"/>
  <c r="L53" i="6" s="1"/>
  <c r="K54" i="6"/>
  <c r="L54" i="6" s="1"/>
  <c r="N54" i="6" s="1"/>
  <c r="O54" i="6" s="1"/>
  <c r="L51" i="6"/>
  <c r="N51" i="6" s="1"/>
  <c r="H49" i="6"/>
  <c r="O39" i="6"/>
  <c r="L49" i="6"/>
  <c r="N39" i="6"/>
  <c r="O51" i="6"/>
  <c r="H49" i="5"/>
  <c r="L52" i="5"/>
  <c r="N49" i="5"/>
  <c r="O51" i="5"/>
  <c r="N51" i="5"/>
  <c r="L63" i="5"/>
  <c r="L69" i="5"/>
  <c r="N39" i="5"/>
  <c r="O39" i="5" s="1"/>
  <c r="L52" i="4"/>
  <c r="N49" i="4"/>
  <c r="O58" i="4"/>
  <c r="H49" i="4"/>
  <c r="O50" i="4"/>
  <c r="N39" i="4"/>
  <c r="O39" i="4" s="1"/>
  <c r="N50" i="4"/>
  <c r="N58" i="4"/>
  <c r="L49" i="3"/>
  <c r="N39" i="3"/>
  <c r="O39" i="3"/>
  <c r="H49" i="3"/>
  <c r="L51" i="2"/>
  <c r="N51" i="2" s="1"/>
  <c r="K53" i="2"/>
  <c r="L53" i="2" s="1"/>
  <c r="K54" i="2"/>
  <c r="L54" i="2" s="1"/>
  <c r="N54" i="2" s="1"/>
  <c r="O54" i="2" s="1"/>
  <c r="L49" i="2"/>
  <c r="N39" i="2"/>
  <c r="O51" i="2"/>
  <c r="H49" i="2"/>
  <c r="O39" i="2"/>
  <c r="H52" i="1"/>
  <c r="L49" i="1"/>
  <c r="N39" i="1"/>
  <c r="O39" i="1" s="1"/>
  <c r="L51" i="1"/>
  <c r="N51" i="1" s="1"/>
  <c r="O51" i="1" s="1"/>
  <c r="K54" i="1"/>
  <c r="L54" i="1" s="1"/>
  <c r="N54" i="1" s="1"/>
  <c r="O54" i="1" s="1"/>
  <c r="K53" i="1"/>
  <c r="L53" i="1" s="1"/>
  <c r="H63" i="1"/>
  <c r="H52" i="6" l="1"/>
  <c r="L52" i="6"/>
  <c r="N49" i="6"/>
  <c r="O49" i="6" s="1"/>
  <c r="N53" i="6"/>
  <c r="O53" i="6" s="1"/>
  <c r="L70" i="5"/>
  <c r="L71" i="5" s="1"/>
  <c r="L64" i="5"/>
  <c r="O49" i="5"/>
  <c r="H52" i="5"/>
  <c r="H52" i="4"/>
  <c r="O49" i="4"/>
  <c r="N52" i="4"/>
  <c r="L69" i="4"/>
  <c r="L63" i="4"/>
  <c r="H52" i="3"/>
  <c r="L52" i="3"/>
  <c r="N49" i="3"/>
  <c r="O49" i="3" s="1"/>
  <c r="H52" i="2"/>
  <c r="L52" i="2"/>
  <c r="L63" i="2" s="1"/>
  <c r="N49" i="2"/>
  <c r="O49" i="2" s="1"/>
  <c r="N53" i="2"/>
  <c r="O53" i="2" s="1"/>
  <c r="H64" i="1"/>
  <c r="H69" i="1"/>
  <c r="N53" i="1"/>
  <c r="O53" i="1" s="1"/>
  <c r="L52" i="1"/>
  <c r="N49" i="1"/>
  <c r="O49" i="1" s="1"/>
  <c r="H69" i="6" l="1"/>
  <c r="H63" i="6"/>
  <c r="N52" i="6"/>
  <c r="O52" i="6" s="1"/>
  <c r="L69" i="6"/>
  <c r="L63" i="6"/>
  <c r="H69" i="5"/>
  <c r="H63" i="5"/>
  <c r="L73" i="5"/>
  <c r="L65" i="5"/>
  <c r="N52" i="5"/>
  <c r="O52" i="5" s="1"/>
  <c r="L70" i="4"/>
  <c r="N69" i="4"/>
  <c r="L64" i="4"/>
  <c r="O52" i="4"/>
  <c r="H69" i="4"/>
  <c r="H63" i="4"/>
  <c r="N63" i="4" s="1"/>
  <c r="H63" i="3"/>
  <c r="H69" i="3"/>
  <c r="N52" i="3"/>
  <c r="O52" i="3" s="1"/>
  <c r="L69" i="3"/>
  <c r="L63" i="3"/>
  <c r="L64" i="2"/>
  <c r="N52" i="2"/>
  <c r="O52" i="2" s="1"/>
  <c r="L69" i="2"/>
  <c r="H69" i="2"/>
  <c r="H63" i="2"/>
  <c r="N52" i="1"/>
  <c r="O52" i="1" s="1"/>
  <c r="L69" i="1"/>
  <c r="L63" i="1"/>
  <c r="H70" i="1"/>
  <c r="H65" i="1"/>
  <c r="H64" i="6" l="1"/>
  <c r="H65" i="6" s="1"/>
  <c r="N63" i="6"/>
  <c r="O63" i="6" s="1"/>
  <c r="L64" i="6"/>
  <c r="L65" i="6" s="1"/>
  <c r="H70" i="6"/>
  <c r="H71" i="6" s="1"/>
  <c r="L70" i="6"/>
  <c r="N69" i="6"/>
  <c r="O69" i="6" s="1"/>
  <c r="L67" i="5"/>
  <c r="H64" i="5"/>
  <c r="H65" i="5" s="1"/>
  <c r="N63" i="5"/>
  <c r="O63" i="5" s="1"/>
  <c r="H70" i="5"/>
  <c r="H71" i="5" s="1"/>
  <c r="N69" i="5"/>
  <c r="O69" i="5" s="1"/>
  <c r="H70" i="4"/>
  <c r="O69" i="4"/>
  <c r="O63" i="4"/>
  <c r="H65" i="4"/>
  <c r="H64" i="4"/>
  <c r="L65" i="4"/>
  <c r="L71" i="4"/>
  <c r="N63" i="3"/>
  <c r="O63" i="3" s="1"/>
  <c r="L64" i="3"/>
  <c r="H64" i="3"/>
  <c r="H71" i="3"/>
  <c r="H70" i="3"/>
  <c r="L70" i="3"/>
  <c r="N70" i="3" s="1"/>
  <c r="N69" i="3"/>
  <c r="O69" i="3" s="1"/>
  <c r="H64" i="2"/>
  <c r="N64" i="2" s="1"/>
  <c r="H70" i="2"/>
  <c r="L65" i="2"/>
  <c r="L70" i="2"/>
  <c r="N69" i="2"/>
  <c r="O69" i="2" s="1"/>
  <c r="N63" i="2"/>
  <c r="O63" i="2" s="1"/>
  <c r="H67" i="1"/>
  <c r="L71" i="1"/>
  <c r="L70" i="1"/>
  <c r="N70" i="1" s="1"/>
  <c r="O70" i="1" s="1"/>
  <c r="N69" i="1"/>
  <c r="O69" i="1" s="1"/>
  <c r="N63" i="1"/>
  <c r="O63" i="1" s="1"/>
  <c r="L65" i="1"/>
  <c r="L64" i="1"/>
  <c r="N64" i="1" s="1"/>
  <c r="O64" i="1" s="1"/>
  <c r="H71" i="1"/>
  <c r="N70" i="2" l="1"/>
  <c r="L71" i="2"/>
  <c r="O64" i="2"/>
  <c r="O70" i="2"/>
  <c r="N64" i="3"/>
  <c r="N70" i="6"/>
  <c r="L67" i="6"/>
  <c r="N65" i="6"/>
  <c r="O65" i="6" s="1"/>
  <c r="H67" i="6"/>
  <c r="O70" i="6"/>
  <c r="H73" i="6"/>
  <c r="L71" i="6"/>
  <c r="N64" i="6"/>
  <c r="O64" i="6" s="1"/>
  <c r="H73" i="5"/>
  <c r="N71" i="5"/>
  <c r="O71" i="5" s="1"/>
  <c r="O65" i="5"/>
  <c r="H67" i="5"/>
  <c r="N65" i="5"/>
  <c r="N70" i="5"/>
  <c r="O70" i="5" s="1"/>
  <c r="O64" i="5"/>
  <c r="N64" i="5"/>
  <c r="N64" i="4"/>
  <c r="O64" i="4" s="1"/>
  <c r="O65" i="4"/>
  <c r="H67" i="4"/>
  <c r="L73" i="4"/>
  <c r="O70" i="4"/>
  <c r="L67" i="4"/>
  <c r="N67" i="4" s="1"/>
  <c r="N65" i="4"/>
  <c r="N70" i="4"/>
  <c r="H71" i="4"/>
  <c r="H73" i="3"/>
  <c r="L71" i="3"/>
  <c r="O64" i="3"/>
  <c r="L65" i="3"/>
  <c r="O70" i="3"/>
  <c r="H65" i="3"/>
  <c r="L67" i="2"/>
  <c r="H71" i="2"/>
  <c r="H65" i="2"/>
  <c r="L73" i="2"/>
  <c r="L67" i="1"/>
  <c r="N67" i="1" s="1"/>
  <c r="N65" i="1"/>
  <c r="O65" i="1" s="1"/>
  <c r="L73" i="1"/>
  <c r="N73" i="1" s="1"/>
  <c r="N71" i="1"/>
  <c r="O71" i="1" s="1"/>
  <c r="H73" i="1"/>
  <c r="O67" i="1"/>
  <c r="L73" i="6" l="1"/>
  <c r="N73" i="6" s="1"/>
  <c r="O73" i="6" s="1"/>
  <c r="N71" i="6"/>
  <c r="O71" i="6" s="1"/>
  <c r="N67" i="6"/>
  <c r="O67" i="6" s="1"/>
  <c r="O67" i="5"/>
  <c r="N67" i="5"/>
  <c r="N73" i="5"/>
  <c r="O73" i="5" s="1"/>
  <c r="O67" i="4"/>
  <c r="H73" i="4"/>
  <c r="N71" i="4"/>
  <c r="O71" i="4" s="1"/>
  <c r="H67" i="3"/>
  <c r="O73" i="3"/>
  <c r="N71" i="3"/>
  <c r="O71" i="3" s="1"/>
  <c r="L73" i="3"/>
  <c r="N73" i="3" s="1"/>
  <c r="L67" i="3"/>
  <c r="N67" i="3" s="1"/>
  <c r="N65" i="3"/>
  <c r="O65" i="3" s="1"/>
  <c r="H67" i="2"/>
  <c r="H73" i="2"/>
  <c r="N65" i="2"/>
  <c r="O65" i="2" s="1"/>
  <c r="N71" i="2"/>
  <c r="O71" i="2" s="1"/>
  <c r="N67" i="2"/>
  <c r="O73" i="1"/>
  <c r="N73" i="4" l="1"/>
  <c r="O73" i="4" s="1"/>
  <c r="O67" i="3"/>
  <c r="O67" i="2"/>
  <c r="N73" i="2"/>
  <c r="O73" i="2" s="1"/>
</calcChain>
</file>

<file path=xl/comments1.xml><?xml version="1.0" encoding="utf-8"?>
<comments xmlns="http://schemas.openxmlformats.org/spreadsheetml/2006/main">
  <authors>
    <author>Manuela Ris-Schofield</author>
  </authors>
  <commentList>
    <comment ref="J43" authorId="0" shapeId="0">
      <text>
        <r>
          <rPr>
            <b/>
            <sz val="9"/>
            <color rgb="FF000000"/>
            <rFont val="Tahoma"/>
            <family val="2"/>
          </rPr>
          <t>Manuela Ris-Schofield:</t>
        </r>
        <r>
          <rPr>
            <sz val="9"/>
            <color rgb="FF000000"/>
            <rFont val="Tahoma"/>
            <family val="2"/>
          </rPr>
          <t xml:space="preserve">
Missing Rate Rider - outstanding issue with EDDVAR. Waitning to hear from OEB</t>
        </r>
      </text>
    </comment>
  </commentList>
</comments>
</file>

<file path=xl/sharedStrings.xml><?xml version="1.0" encoding="utf-8"?>
<sst xmlns="http://schemas.openxmlformats.org/spreadsheetml/2006/main" count="555" uniqueCount="73">
  <si>
    <t>Appendix 2-W</t>
  </si>
  <si>
    <t>Bill Impacts</t>
  </si>
  <si>
    <t>Customer Class:</t>
  </si>
  <si>
    <t>Residential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</si>
  <si>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</si>
  <si>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</si>
  <si>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</si>
  <si>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</si>
  <si>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</si>
  <si>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</si>
  <si>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</si>
  <si>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</si>
  <si>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</si>
  <si>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</si>
  <si>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</si>
  <si>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</si>
  <si>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</si>
  <si>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</si>
  <si>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</si>
  <si>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</si>
  <si>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</si>
  <si>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Stranded Meter Rate Rider</t>
  </si>
  <si>
    <t>Smart Meter Disposition Rider</t>
  </si>
  <si>
    <t>Distribution Volumetric Rate</t>
  </si>
  <si>
    <t>per kWh</t>
  </si>
  <si>
    <t>LRAM &amp; SSM Rate Rider</t>
  </si>
  <si>
    <t>Sub-Total A (excluding pass through)</t>
  </si>
  <si>
    <t>Low Voltage Charges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</si>
  <si>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</si>
  <si>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</si>
  <si>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</si>
  <si>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</si>
  <si>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</si>
  <si>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</si>
  <si>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</si>
  <si>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</si>
  <si>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</si>
  <si>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OEAP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</si>
  <si>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</si>
  <si>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</si>
  <si>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</si>
  <si>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</si>
  <si>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</si>
  <si>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</si>
  <si>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</si>
  <si>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  <charset val="1"/>
      </rPr>
      <t>(including HST)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</si>
  <si>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</si>
  <si>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</si>
  <si>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</si>
  <si>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</si>
  <si>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  <charset val="1"/>
      </rPr>
      <t xml:space="preserve"> Applicable to eligible customers only.  Refer to the </t>
    </r>
    <r>
      <rPr>
        <i/>
        <sz val="10"/>
        <rFont val="Arial"/>
        <family val="2"/>
        <charset val="1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</si>
  <si>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</si>
  <si>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</si>
  <si>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</si>
  <si>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</si>
  <si>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</si>
  <si>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</si>
  <si>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</si>
  <si>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</si>
  <si>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</si>
  <si>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</si>
  <si>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General Service &lt; 50KW</t>
  </si>
  <si>
    <t xml:space="preserve"> </t>
  </si>
  <si>
    <t>OESP Charge</t>
  </si>
  <si>
    <t>General Service &gt; 50KW</t>
  </si>
  <si>
    <t>per kW</t>
  </si>
  <si>
    <t>Debt Retirement Charge (DRC)</t>
  </si>
  <si>
    <t>Sentinel</t>
  </si>
  <si>
    <t>kW</t>
  </si>
  <si>
    <r>
      <t xml:space="preserve">Ontario Clean Energy Benefit </t>
    </r>
    <r>
      <rPr>
        <b/>
        <i/>
        <vertAlign val="superscript"/>
        <sz val="10"/>
        <rFont val="Arial"/>
        <family val="2"/>
        <charset val="1"/>
      </rPr>
      <t>1</t>
    </r>
  </si>
  <si>
    <t>StreetLight</t>
  </si>
  <si>
    <t>USL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</si>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</sst>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\-??_-;_-@_-"/>
    <numFmt numFmtId="165" formatCode="_-* #,##0_-;\-* #,##0_-;_-* \-??_-;_-@_-"/>
    <numFmt numFmtId="166" formatCode="_-\$* #,##0.00_-;&quot;-$&quot;* #,##0.00_-;_-\$* \-??_-;_-@_-"/>
    <numFmt numFmtId="167" formatCode="_-\$* #,##0.0000_-;&quot;-$&quot;* #,##0.0000_-;_-\$* \-??_-;_-@_-"/>
    <numFmt numFmtId="168" formatCode="_-\$* #,##0.000_-;&quot;-$&quot;* #,##0.000_-;_-\$* \-??_-;_-@_-"/>
    <numFmt numFmtId="169" formatCode="_-\$* #,##0.00000_-;&quot;-$&quot;* #,##0.00000_-;_-\$* \-??_-;_-@_-"/>
  </numFmts>
  <fonts count="23">
    <font>
      <sz val="11"/>
      <color theme="1"/>
      <name val="Calibri"/>
      <family val="2"/>
      <scheme val="minor"/>
    </font>
    <font>
      <sz val="16"/>
      <color rgb="FF0000FF"/>
      <name val="comic"/>
      <family val="5"/>
      <charset val="1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  <charset val="1"/>
    </font>
    <font>
      <b/>
      <sz val="12"/>
      <name val="Arial"/>
      <family val="2"/>
      <charset val="1"/>
    </font>
    <font>
      <sz val="18"/>
      <name val="Arial"/>
      <family val="2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name val="Mangal"/>
      <family val="2"/>
    </font>
    <font>
      <i/>
      <sz val="10"/>
      <name val="Arial"/>
      <family val="2"/>
    </font>
    <font>
      <i/>
      <sz val="10"/>
      <color rgb="FFA6A6A6"/>
      <name val="Arial"/>
      <family val="2"/>
    </font>
    <font>
      <b/>
      <i/>
      <sz val="10"/>
      <name val="Arial"/>
      <family val="2"/>
      <charset val="1"/>
    </font>
    <font>
      <sz val="10"/>
      <color rgb="FFFF0000"/>
      <name val="Arial"/>
      <family val="2"/>
      <charset val="1"/>
    </font>
    <font>
      <vertAlign val="superscript"/>
      <sz val="10"/>
      <name val="Arial"/>
      <family val="2"/>
      <charset val="1"/>
    </font>
    <font>
      <i/>
      <sz val="10"/>
      <name val="Arial"/>
      <family val="2"/>
      <charset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i/>
      <vertAlign val="superscript"/>
      <sz val="1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EBF1DE"/>
        <bgColor rgb="FFF2F2F2"/>
      </patternFill>
    </fill>
    <fill>
      <patternFill patternType="solid">
        <fgColor rgb="FFEEECE1"/>
        <bgColor rgb="FFDBEEF4"/>
      </patternFill>
    </fill>
    <fill>
      <patternFill patternType="solid">
        <fgColor rgb="FFEBF1DE"/>
        <bgColor rgb="FF000000"/>
      </patternFill>
    </fill>
    <fill>
      <patternFill patternType="solid">
        <fgColor rgb="FFF2F2F2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FFFE9A"/>
        <bgColor rgb="FFFCD5B5"/>
      </patternFill>
    </fill>
    <fill>
      <patternFill patternType="solid">
        <fgColor rgb="FF81807E"/>
        <bgColor rgb="FF376092"/>
      </patternFill>
    </fill>
    <fill>
      <patternFill patternType="solid">
        <fgColor rgb="FFFDEADA"/>
        <bgColor rgb="FFEBF1DE"/>
      </patternFill>
    </fill>
    <fill>
      <patternFill patternType="solid">
        <fgColor rgb="FFFFFF00"/>
        <bgColor rgb="FFF2F2F2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3" fillId="0" borderId="0" applyFill="0" applyBorder="0" applyAlignment="0" applyProtection="0"/>
    <xf numFmtId="166" fontId="13" fillId="0" borderId="0" applyFill="0" applyBorder="0" applyAlignment="0" applyProtection="0"/>
    <xf numFmtId="9" fontId="13" fillId="0" borderId="0" applyFill="0" applyBorder="0" applyAlignment="0" applyProtection="0"/>
    <xf numFmtId="0" fontId="11" fillId="0" borderId="0"/>
  </cellStyleXfs>
  <cellXfs count="311">
    <xf numFmtId="0" fontId="0" fillId="0" borderId="0" xfId="0"/>
    <xf numFmtId="0" fontId="1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Protection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indent="6"/>
    </xf>
    <xf numFmtId="0" fontId="2" fillId="0" borderId="0" xfId="0" applyFont="1" applyFill="1" applyBorder="1" applyAlignment="1" applyProtection="1">
      <alignment horizontal="left" indent="1"/>
    </xf>
    <xf numFmtId="0" fontId="2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/>
    <xf numFmtId="0" fontId="2" fillId="0" borderId="0" xfId="0" applyFont="1" applyFill="1" applyBorder="1"/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right" wrapText="1"/>
    </xf>
    <xf numFmtId="0" fontId="6" fillId="2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wrapText="1"/>
    </xf>
    <xf numFmtId="0" fontId="6" fillId="0" borderId="0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wrapText="1"/>
    </xf>
    <xf numFmtId="0" fontId="10" fillId="0" borderId="0" xfId="0" applyFont="1" applyFill="1" applyBorder="1" applyProtection="1"/>
    <xf numFmtId="165" fontId="10" fillId="2" borderId="1" xfId="1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/>
    <xf numFmtId="0" fontId="10" fillId="0" borderId="1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6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166" fontId="11" fillId="2" borderId="7" xfId="2" applyNumberFormat="1" applyFont="1" applyFill="1" applyBorder="1" applyAlignment="1" applyProtection="1">
      <alignment vertical="top"/>
      <protection locked="0"/>
    </xf>
    <xf numFmtId="0" fontId="2" fillId="0" borderId="7" xfId="0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6" fontId="11" fillId="2" borderId="7" xfId="2" applyNumberFormat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</xf>
    <xf numFmtId="166" fontId="2" fillId="0" borderId="7" xfId="0" applyNumberFormat="1" applyFont="1" applyFill="1" applyBorder="1" applyAlignment="1" applyProtection="1">
      <alignment vertical="center"/>
    </xf>
    <xf numFmtId="10" fontId="11" fillId="0" borderId="3" xfId="3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7" fontId="11" fillId="2" borderId="7" xfId="2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2" fillId="4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67" fontId="11" fillId="2" borderId="7" xfId="2" applyNumberFormat="1" applyFont="1" applyFill="1" applyBorder="1" applyAlignment="1" applyProtection="1">
      <alignment vertical="center"/>
      <protection locked="0"/>
    </xf>
    <xf numFmtId="0" fontId="10" fillId="5" borderId="8" xfId="0" applyFont="1" applyFill="1" applyBorder="1" applyAlignment="1" applyProtection="1">
      <alignment vertical="top"/>
      <protection locked="0"/>
    </xf>
    <xf numFmtId="0" fontId="2" fillId="5" borderId="9" xfId="0" applyFont="1" applyFill="1" applyBorder="1" applyAlignment="1" applyProtection="1">
      <alignment vertical="top"/>
    </xf>
    <xf numFmtId="0" fontId="2" fillId="5" borderId="9" xfId="0" applyFont="1" applyFill="1" applyBorder="1" applyAlignment="1" applyProtection="1">
      <alignment vertical="top"/>
      <protection locked="0"/>
    </xf>
    <xf numFmtId="167" fontId="11" fillId="5" borderId="1" xfId="2" applyNumberFormat="1" applyFont="1" applyFill="1" applyBorder="1" applyAlignment="1" applyProtection="1">
      <alignment vertical="top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166" fontId="11" fillId="5" borderId="10" xfId="2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167" fontId="11" fillId="5" borderId="1" xfId="2" applyNumberFormat="1" applyFont="1" applyFill="1" applyBorder="1" applyAlignment="1" applyProtection="1">
      <alignment vertical="center"/>
      <protection locked="0"/>
    </xf>
    <xf numFmtId="0" fontId="2" fillId="5" borderId="10" xfId="0" applyFont="1" applyFill="1" applyBorder="1" applyAlignment="1" applyProtection="1">
      <alignment vertical="center"/>
      <protection locked="0"/>
    </xf>
    <xf numFmtId="166" fontId="10" fillId="5" borderId="1" xfId="0" applyNumberFormat="1" applyFont="1" applyFill="1" applyBorder="1" applyAlignment="1" applyProtection="1">
      <alignment vertical="center"/>
    </xf>
    <xf numFmtId="10" fontId="10" fillId="5" borderId="10" xfId="3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167" fontId="2" fillId="2" borderId="7" xfId="2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right" vertical="center"/>
    </xf>
    <xf numFmtId="166" fontId="2" fillId="0" borderId="3" xfId="2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166" fontId="2" fillId="0" borderId="7" xfId="0" applyNumberFormat="1" applyFont="1" applyFill="1" applyBorder="1" applyAlignment="1" applyProtection="1">
      <alignment horizontal="right" vertical="center"/>
    </xf>
    <xf numFmtId="10" fontId="2" fillId="0" borderId="3" xfId="3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10" fontId="2" fillId="0" borderId="3" xfId="3" applyNumberFormat="1" applyFont="1" applyFill="1" applyBorder="1" applyAlignment="1" applyProtection="1">
      <alignment horizontal="right" vertical="center"/>
    </xf>
    <xf numFmtId="167" fontId="2" fillId="6" borderId="7" xfId="2" applyNumberFormat="1" applyFont="1" applyFill="1" applyBorder="1" applyAlignment="1" applyProtection="1">
      <alignment horizontal="right" vertical="center"/>
      <protection locked="0"/>
    </xf>
    <xf numFmtId="0" fontId="2" fillId="7" borderId="7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top" wrapText="1"/>
    </xf>
    <xf numFmtId="167" fontId="11" fillId="6" borderId="7" xfId="2" applyNumberFormat="1" applyFont="1" applyFill="1" applyBorder="1" applyAlignment="1" applyProtection="1">
      <alignment horizontal="right" vertical="center"/>
      <protection locked="0"/>
    </xf>
    <xf numFmtId="166" fontId="11" fillId="0" borderId="3" xfId="2" applyFont="1" applyFill="1" applyBorder="1" applyAlignment="1" applyProtection="1">
      <alignment horizontal="right" vertical="center"/>
    </xf>
    <xf numFmtId="10" fontId="11" fillId="0" borderId="3" xfId="3" applyNumberFormat="1" applyFont="1" applyFill="1" applyBorder="1" applyAlignment="1" applyProtection="1">
      <alignment horizontal="right" vertical="center"/>
    </xf>
    <xf numFmtId="0" fontId="10" fillId="5" borderId="8" xfId="0" applyFont="1" applyFill="1" applyBorder="1" applyAlignment="1" applyProtection="1">
      <alignment vertical="top" wrapText="1"/>
    </xf>
    <xf numFmtId="0" fontId="2" fillId="5" borderId="9" xfId="0" applyFont="1" applyFill="1" applyBorder="1" applyProtection="1"/>
    <xf numFmtId="0" fontId="2" fillId="5" borderId="1" xfId="0" applyFont="1" applyFill="1" applyBorder="1" applyProtection="1"/>
    <xf numFmtId="0" fontId="2" fillId="5" borderId="1" xfId="0" applyFont="1" applyFill="1" applyBorder="1" applyAlignment="1" applyProtection="1">
      <alignment vertical="center"/>
    </xf>
    <xf numFmtId="166" fontId="10" fillId="5" borderId="10" xfId="0" applyNumberFormat="1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/>
      <protection locked="0"/>
    </xf>
    <xf numFmtId="1" fontId="2" fillId="7" borderId="7" xfId="0" applyNumberFormat="1" applyFont="1" applyFill="1" applyBorder="1" applyAlignment="1" applyProtection="1">
      <alignment vertical="center"/>
    </xf>
    <xf numFmtId="1" fontId="2" fillId="7" borderId="3" xfId="0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vertical="top"/>
    </xf>
    <xf numFmtId="0" fontId="10" fillId="5" borderId="0" xfId="0" applyFont="1" applyFill="1" applyBorder="1" applyAlignment="1" applyProtection="1">
      <alignment vertical="center"/>
    </xf>
    <xf numFmtId="0" fontId="10" fillId="5" borderId="1" xfId="0" applyFont="1" applyFill="1" applyBorder="1" applyAlignment="1" applyProtection="1">
      <alignment vertical="center"/>
    </xf>
    <xf numFmtId="0" fontId="10" fillId="5" borderId="1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top"/>
      <protection locked="0"/>
    </xf>
    <xf numFmtId="1" fontId="2" fillId="0" borderId="7" xfId="0" applyNumberFormat="1" applyFont="1" applyFill="1" applyBorder="1" applyAlignment="1" applyProtection="1">
      <alignment vertical="center"/>
    </xf>
    <xf numFmtId="1" fontId="2" fillId="0" borderId="3" xfId="0" applyNumberFormat="1" applyFon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center"/>
      <protection locked="0"/>
    </xf>
    <xf numFmtId="1" fontId="11" fillId="6" borderId="7" xfId="0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Protection="1"/>
    <xf numFmtId="0" fontId="11" fillId="0" borderId="0" xfId="4" applyFont="1" applyFill="1" applyBorder="1" applyProtection="1"/>
    <xf numFmtId="0" fontId="11" fillId="0" borderId="0" xfId="4" applyFont="1" applyFill="1" applyBorder="1" applyAlignment="1" applyProtection="1">
      <alignment vertical="top" wrapText="1"/>
    </xf>
    <xf numFmtId="0" fontId="11" fillId="0" borderId="0" xfId="4" applyFont="1" applyFill="1" applyBorder="1" applyAlignment="1" applyProtection="1">
      <alignment vertical="top"/>
    </xf>
    <xf numFmtId="1" fontId="11" fillId="6" borderId="7" xfId="4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 applyProtection="1">
      <alignment vertical="center"/>
    </xf>
    <xf numFmtId="166" fontId="11" fillId="0" borderId="7" xfId="4" applyNumberFormat="1" applyFont="1" applyFill="1" applyBorder="1" applyAlignment="1" applyProtection="1">
      <alignment vertical="center"/>
    </xf>
    <xf numFmtId="0" fontId="11" fillId="8" borderId="11" xfId="0" applyFont="1" applyFill="1" applyBorder="1" applyAlignment="1" applyProtection="1">
      <alignment wrapText="1"/>
    </xf>
    <xf numFmtId="0" fontId="2" fillId="8" borderId="12" xfId="0" applyFont="1" applyFill="1" applyBorder="1" applyAlignment="1" applyProtection="1">
      <alignment vertical="top"/>
    </xf>
    <xf numFmtId="0" fontId="2" fillId="8" borderId="12" xfId="0" applyFont="1" applyFill="1" applyBorder="1" applyAlignment="1" applyProtection="1">
      <alignment vertical="top"/>
      <protection locked="0"/>
    </xf>
    <xf numFmtId="167" fontId="11" fillId="8" borderId="13" xfId="2" applyNumberFormat="1" applyFont="1" applyFill="1" applyBorder="1" applyAlignment="1" applyProtection="1">
      <alignment vertical="top"/>
      <protection locked="0"/>
    </xf>
    <xf numFmtId="0" fontId="2" fillId="8" borderId="14" xfId="0" applyFont="1" applyFill="1" applyBorder="1" applyAlignment="1" applyProtection="1">
      <alignment vertical="center"/>
      <protection locked="0"/>
    </xf>
    <xf numFmtId="166" fontId="11" fillId="8" borderId="12" xfId="2" applyFont="1" applyFill="1" applyBorder="1" applyAlignment="1" applyProtection="1">
      <alignment vertical="center"/>
    </xf>
    <xf numFmtId="0" fontId="2" fillId="8" borderId="12" xfId="0" applyFont="1" applyFill="1" applyBorder="1" applyAlignment="1" applyProtection="1">
      <alignment vertical="center"/>
    </xf>
    <xf numFmtId="0" fontId="2" fillId="8" borderId="13" xfId="0" applyFont="1" applyFill="1" applyBorder="1" applyAlignment="1" applyProtection="1">
      <alignment vertical="center"/>
      <protection locked="0"/>
    </xf>
    <xf numFmtId="166" fontId="2" fillId="8" borderId="13" xfId="0" applyNumberFormat="1" applyFont="1" applyFill="1" applyBorder="1" applyAlignment="1" applyProtection="1">
      <alignment vertical="center"/>
    </xf>
    <xf numFmtId="10" fontId="11" fillId="8" borderId="15" xfId="3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top" wrapText="1"/>
    </xf>
    <xf numFmtId="9" fontId="2" fillId="0" borderId="7" xfId="0" applyNumberFormat="1" applyFont="1" applyFill="1" applyBorder="1" applyAlignment="1" applyProtection="1">
      <alignment vertical="top"/>
    </xf>
    <xf numFmtId="9" fontId="2" fillId="0" borderId="0" xfId="0" applyNumberFormat="1" applyFont="1" applyFill="1" applyBorder="1" applyAlignment="1" applyProtection="1">
      <alignment vertical="center"/>
    </xf>
    <xf numFmtId="166" fontId="10" fillId="0" borderId="16" xfId="0" applyNumberFormat="1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9" fontId="10" fillId="0" borderId="7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166" fontId="10" fillId="0" borderId="7" xfId="0" applyNumberFormat="1" applyFont="1" applyFill="1" applyBorder="1" applyAlignment="1" applyProtection="1">
      <alignment vertical="center"/>
    </xf>
    <xf numFmtId="10" fontId="10" fillId="0" borderId="3" xfId="3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top" wrapText="1"/>
    </xf>
    <xf numFmtId="9" fontId="2" fillId="0" borderId="7" xfId="0" applyNumberFormat="1" applyFont="1" applyFill="1" applyBorder="1" applyAlignment="1" applyProtection="1">
      <alignment vertical="top"/>
      <protection locked="0"/>
    </xf>
    <xf numFmtId="166" fontId="11" fillId="0" borderId="16" xfId="0" applyNumberFormat="1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9" fontId="11" fillId="0" borderId="7" xfId="0" applyNumberFormat="1" applyFont="1" applyFill="1" applyBorder="1" applyAlignment="1" applyProtection="1">
      <alignment vertical="center"/>
      <protection locked="0"/>
    </xf>
    <xf numFmtId="166" fontId="11" fillId="0" borderId="3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166" fontId="11" fillId="0" borderId="7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vertical="top"/>
    </xf>
    <xf numFmtId="0" fontId="16" fillId="0" borderId="0" xfId="0" applyFont="1" applyFill="1" applyBorder="1" applyAlignment="1" applyProtection="1">
      <alignment horizontal="left" vertical="top" wrapText="1" indent="1"/>
    </xf>
    <xf numFmtId="166" fontId="17" fillId="0" borderId="16" xfId="0" applyNumberFormat="1" applyFont="1" applyFill="1" applyBorder="1" applyAlignment="1" applyProtection="1">
      <alignment vertical="center"/>
    </xf>
    <xf numFmtId="166" fontId="17" fillId="0" borderId="3" xfId="0" applyNumberFormat="1" applyFont="1" applyFill="1" applyBorder="1" applyAlignment="1" applyProtection="1">
      <alignment vertical="center"/>
    </xf>
    <xf numFmtId="166" fontId="17" fillId="0" borderId="7" xfId="0" applyNumberFormat="1" applyFont="1" applyFill="1" applyBorder="1" applyAlignment="1" applyProtection="1">
      <alignment vertical="center"/>
    </xf>
    <xf numFmtId="10" fontId="17" fillId="0" borderId="3" xfId="3" applyNumberFormat="1" applyFont="1" applyFill="1" applyBorder="1" applyAlignment="1" applyProtection="1">
      <alignment vertical="center"/>
    </xf>
    <xf numFmtId="0" fontId="10" fillId="9" borderId="0" xfId="0" applyFont="1" applyFill="1" applyBorder="1" applyAlignment="1" applyProtection="1">
      <alignment horizontal="left" vertical="top" wrapText="1"/>
    </xf>
    <xf numFmtId="0" fontId="2" fillId="9" borderId="0" xfId="0" applyFont="1" applyFill="1" applyBorder="1" applyAlignment="1" applyProtection="1">
      <alignment vertical="top"/>
    </xf>
    <xf numFmtId="0" fontId="2" fillId="9" borderId="5" xfId="0" applyFont="1" applyFill="1" applyBorder="1" applyAlignment="1" applyProtection="1">
      <alignment vertical="top"/>
    </xf>
    <xf numFmtId="0" fontId="2" fillId="9" borderId="17" xfId="0" applyFont="1" applyFill="1" applyBorder="1" applyAlignment="1" applyProtection="1">
      <alignment vertical="center"/>
    </xf>
    <xf numFmtId="166" fontId="10" fillId="9" borderId="18" xfId="0" applyNumberFormat="1" applyFont="1" applyFill="1" applyBorder="1" applyAlignment="1" applyProtection="1">
      <alignment vertical="center"/>
    </xf>
    <xf numFmtId="0" fontId="10" fillId="9" borderId="5" xfId="0" applyFont="1" applyFill="1" applyBorder="1" applyAlignment="1" applyProtection="1">
      <alignment vertical="center"/>
    </xf>
    <xf numFmtId="166" fontId="10" fillId="9" borderId="6" xfId="0" applyNumberFormat="1" applyFont="1" applyFill="1" applyBorder="1" applyAlignment="1" applyProtection="1">
      <alignment vertical="center"/>
    </xf>
    <xf numFmtId="0" fontId="10" fillId="9" borderId="17" xfId="0" applyFont="1" applyFill="1" applyBorder="1" applyAlignment="1" applyProtection="1">
      <alignment vertical="center"/>
    </xf>
    <xf numFmtId="166" fontId="10" fillId="9" borderId="5" xfId="0" applyNumberFormat="1" applyFont="1" applyFill="1" applyBorder="1" applyAlignment="1" applyProtection="1">
      <alignment vertical="center"/>
    </xf>
    <xf numFmtId="10" fontId="10" fillId="9" borderId="6" xfId="3" applyNumberFormat="1" applyFont="1" applyFill="1" applyBorder="1" applyAlignment="1" applyProtection="1">
      <alignment vertical="center"/>
    </xf>
    <xf numFmtId="0" fontId="11" fillId="8" borderId="11" xfId="4" applyFont="1" applyFill="1" applyBorder="1" applyAlignment="1" applyProtection="1">
      <alignment wrapText="1"/>
    </xf>
    <xf numFmtId="0" fontId="11" fillId="8" borderId="12" xfId="4" applyFont="1" applyFill="1" applyBorder="1" applyAlignment="1" applyProtection="1">
      <alignment vertical="top"/>
    </xf>
    <xf numFmtId="0" fontId="11" fillId="8" borderId="12" xfId="4" applyFont="1" applyFill="1" applyBorder="1" applyAlignment="1" applyProtection="1">
      <alignment vertical="top"/>
      <protection locked="0"/>
    </xf>
    <xf numFmtId="0" fontId="11" fillId="8" borderId="14" xfId="4" applyFont="1" applyFill="1" applyBorder="1" applyAlignment="1" applyProtection="1">
      <alignment vertical="center"/>
      <protection locked="0"/>
    </xf>
    <xf numFmtId="0" fontId="11" fillId="8" borderId="12" xfId="4" applyFont="1" applyFill="1" applyBorder="1" applyAlignment="1" applyProtection="1">
      <alignment vertical="center"/>
    </xf>
    <xf numFmtId="0" fontId="11" fillId="8" borderId="13" xfId="4" applyFont="1" applyFill="1" applyBorder="1" applyAlignment="1" applyProtection="1">
      <alignment vertical="center"/>
      <protection locked="0"/>
    </xf>
    <xf numFmtId="166" fontId="11" fillId="8" borderId="13" xfId="4" applyNumberFormat="1" applyFont="1" applyFill="1" applyBorder="1" applyAlignment="1" applyProtection="1">
      <alignment vertical="center"/>
    </xf>
    <xf numFmtId="0" fontId="10" fillId="0" borderId="0" xfId="4" applyFont="1" applyFill="1" applyBorder="1" applyAlignment="1" applyProtection="1">
      <alignment vertical="top" wrapText="1"/>
    </xf>
    <xf numFmtId="9" fontId="11" fillId="0" borderId="7" xfId="4" applyNumberFormat="1" applyFont="1" applyFill="1" applyBorder="1" applyAlignment="1" applyProtection="1">
      <alignment vertical="top"/>
    </xf>
    <xf numFmtId="9" fontId="11" fillId="0" borderId="0" xfId="4" applyNumberFormat="1" applyFont="1" applyFill="1" applyBorder="1" applyAlignment="1" applyProtection="1">
      <alignment vertical="center"/>
    </xf>
    <xf numFmtId="166" fontId="10" fillId="0" borderId="16" xfId="4" applyNumberFormat="1" applyFont="1" applyFill="1" applyBorder="1" applyAlignment="1" applyProtection="1">
      <alignment vertical="center"/>
    </xf>
    <xf numFmtId="0" fontId="10" fillId="0" borderId="7" xfId="4" applyFont="1" applyFill="1" applyBorder="1" applyAlignment="1" applyProtection="1">
      <alignment vertical="center"/>
    </xf>
    <xf numFmtId="9" fontId="10" fillId="0" borderId="7" xfId="4" applyNumberFormat="1" applyFont="1" applyFill="1" applyBorder="1" applyAlignment="1" applyProtection="1">
      <alignment vertical="center"/>
    </xf>
    <xf numFmtId="0" fontId="10" fillId="0" borderId="0" xfId="4" applyFont="1" applyFill="1" applyBorder="1" applyAlignment="1" applyProtection="1">
      <alignment vertical="center"/>
    </xf>
    <xf numFmtId="166" fontId="10" fillId="0" borderId="7" xfId="4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 applyProtection="1">
      <alignment horizontal="left" vertical="top" wrapText="1"/>
    </xf>
    <xf numFmtId="9" fontId="11" fillId="0" borderId="7" xfId="4" applyNumberFormat="1" applyFont="1" applyFill="1" applyBorder="1" applyAlignment="1" applyProtection="1">
      <alignment vertical="top"/>
      <protection locked="0"/>
    </xf>
    <xf numFmtId="166" fontId="11" fillId="0" borderId="16" xfId="4" applyNumberFormat="1" applyFont="1" applyFill="1" applyBorder="1" applyAlignment="1" applyProtection="1">
      <alignment vertical="center"/>
    </xf>
    <xf numFmtId="0" fontId="11" fillId="0" borderId="7" xfId="4" applyFont="1" applyFill="1" applyBorder="1" applyAlignment="1" applyProtection="1">
      <alignment vertical="center"/>
    </xf>
    <xf numFmtId="9" fontId="11" fillId="0" borderId="7" xfId="4" applyNumberFormat="1" applyFont="1" applyFill="1" applyBorder="1" applyAlignment="1" applyProtection="1">
      <alignment vertical="center"/>
    </xf>
    <xf numFmtId="166" fontId="11" fillId="0" borderId="3" xfId="4" applyNumberFormat="1" applyFont="1" applyFill="1" applyBorder="1" applyAlignment="1" applyProtection="1">
      <alignment vertical="center"/>
    </xf>
    <xf numFmtId="0" fontId="10" fillId="0" borderId="0" xfId="4" applyFont="1" applyFill="1" applyBorder="1" applyAlignment="1" applyProtection="1">
      <alignment horizontal="left" vertical="top" wrapText="1"/>
    </xf>
    <xf numFmtId="0" fontId="11" fillId="0" borderId="7" xfId="4" applyFont="1" applyFill="1" applyBorder="1" applyAlignment="1" applyProtection="1">
      <alignment vertical="top"/>
    </xf>
    <xf numFmtId="0" fontId="16" fillId="0" borderId="0" xfId="4" applyFont="1" applyFill="1" applyBorder="1" applyAlignment="1" applyProtection="1">
      <alignment horizontal="left" vertical="top" wrapText="1" indent="1"/>
    </xf>
    <xf numFmtId="166" fontId="17" fillId="0" borderId="16" xfId="4" applyNumberFormat="1" applyFont="1" applyFill="1" applyBorder="1" applyAlignment="1" applyProtection="1">
      <alignment vertical="center"/>
    </xf>
    <xf numFmtId="166" fontId="17" fillId="0" borderId="3" xfId="4" applyNumberFormat="1" applyFont="1" applyFill="1" applyBorder="1" applyAlignment="1" applyProtection="1">
      <alignment vertical="center"/>
    </xf>
    <xf numFmtId="166" fontId="17" fillId="0" borderId="7" xfId="4" applyNumberFormat="1" applyFont="1" applyFill="1" applyBorder="1" applyAlignment="1" applyProtection="1">
      <alignment vertical="center"/>
    </xf>
    <xf numFmtId="0" fontId="10" fillId="9" borderId="0" xfId="4" applyFont="1" applyFill="1" applyBorder="1" applyAlignment="1" applyProtection="1">
      <alignment horizontal="left" vertical="top" wrapText="1"/>
    </xf>
    <xf numFmtId="0" fontId="11" fillId="9" borderId="0" xfId="4" applyFont="1" applyFill="1" applyBorder="1" applyAlignment="1" applyProtection="1">
      <alignment vertical="top"/>
    </xf>
    <xf numFmtId="0" fontId="11" fillId="9" borderId="7" xfId="4" applyFont="1" applyFill="1" applyBorder="1" applyAlignment="1" applyProtection="1">
      <alignment vertical="top"/>
    </xf>
    <xf numFmtId="0" fontId="11" fillId="9" borderId="0" xfId="4" applyFont="1" applyFill="1" applyBorder="1" applyAlignment="1" applyProtection="1">
      <alignment vertical="center"/>
    </xf>
    <xf numFmtId="166" fontId="10" fillId="9" borderId="16" xfId="4" applyNumberFormat="1" applyFont="1" applyFill="1" applyBorder="1" applyAlignment="1" applyProtection="1">
      <alignment vertical="center"/>
    </xf>
    <xf numFmtId="0" fontId="10" fillId="9" borderId="7" xfId="4" applyFont="1" applyFill="1" applyBorder="1" applyAlignment="1" applyProtection="1">
      <alignment vertical="center"/>
    </xf>
    <xf numFmtId="166" fontId="10" fillId="9" borderId="3" xfId="4" applyNumberFormat="1" applyFont="1" applyFill="1" applyBorder="1" applyAlignment="1" applyProtection="1">
      <alignment vertical="center"/>
    </xf>
    <xf numFmtId="0" fontId="10" fillId="9" borderId="0" xfId="4" applyFont="1" applyFill="1" applyBorder="1" applyAlignment="1" applyProtection="1">
      <alignment vertical="center"/>
    </xf>
    <xf numFmtId="166" fontId="10" fillId="9" borderId="7" xfId="4" applyNumberFormat="1" applyFont="1" applyFill="1" applyBorder="1" applyAlignment="1" applyProtection="1">
      <alignment vertical="center"/>
    </xf>
    <xf numFmtId="10" fontId="10" fillId="9" borderId="3" xfId="3" applyNumberFormat="1" applyFont="1" applyFill="1" applyBorder="1" applyAlignment="1" applyProtection="1">
      <alignment vertical="center"/>
    </xf>
    <xf numFmtId="167" fontId="11" fillId="8" borderId="14" xfId="2" applyNumberFormat="1" applyFont="1" applyFill="1" applyBorder="1" applyAlignment="1" applyProtection="1">
      <alignment vertical="top"/>
      <protection locked="0"/>
    </xf>
    <xf numFmtId="0" fontId="11" fillId="8" borderId="12" xfId="4" applyFont="1" applyFill="1" applyBorder="1" applyAlignment="1" applyProtection="1">
      <alignment vertical="center"/>
      <protection locked="0"/>
    </xf>
    <xf numFmtId="166" fontId="11" fillId="8" borderId="19" xfId="2" applyFont="1" applyFill="1" applyBorder="1" applyAlignment="1" applyProtection="1">
      <alignment vertical="center"/>
    </xf>
    <xf numFmtId="0" fontId="11" fillId="8" borderId="14" xfId="4" applyFont="1" applyFill="1" applyBorder="1" applyAlignment="1" applyProtection="1">
      <alignment vertical="center"/>
    </xf>
    <xf numFmtId="166" fontId="11" fillId="8" borderId="13" xfId="2" applyFont="1" applyFill="1" applyBorder="1" applyAlignment="1" applyProtection="1">
      <alignment vertical="center"/>
    </xf>
    <xf numFmtId="166" fontId="11" fillId="8" borderId="14" xfId="4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wrapText="1"/>
    </xf>
    <xf numFmtId="10" fontId="11" fillId="2" borderId="1" xfId="3" applyNumberFormat="1" applyFont="1" applyFill="1" applyBorder="1" applyAlignment="1" applyProtection="1">
      <protection locked="0"/>
    </xf>
    <xf numFmtId="0" fontId="18" fillId="0" borderId="0" xfId="0" applyFont="1" applyFill="1" applyBorder="1" applyProtection="1"/>
    <xf numFmtId="0" fontId="11" fillId="0" borderId="0" xfId="0" applyFont="1" applyFill="1" applyBorder="1" applyProtection="1"/>
    <xf numFmtId="0" fontId="2" fillId="7" borderId="0" xfId="0" applyFont="1" applyFill="1" applyBorder="1" applyProtection="1"/>
    <xf numFmtId="167" fontId="11" fillId="2" borderId="7" xfId="2" applyNumberFormat="1" applyFont="1" applyFill="1" applyBorder="1" applyAlignment="1" applyProtection="1">
      <protection locked="0"/>
    </xf>
    <xf numFmtId="1" fontId="2" fillId="7" borderId="7" xfId="0" applyNumberFormat="1" applyFont="1" applyFill="1" applyBorder="1" applyAlignment="1" applyProtection="1"/>
    <xf numFmtId="166" fontId="11" fillId="0" borderId="3" xfId="2" applyFont="1" applyFill="1" applyBorder="1" applyAlignment="1" applyProtection="1"/>
    <xf numFmtId="0" fontId="2" fillId="0" borderId="0" xfId="0" applyFont="1" applyFill="1" applyBorder="1" applyAlignment="1" applyProtection="1"/>
    <xf numFmtId="1" fontId="2" fillId="7" borderId="3" xfId="0" applyNumberFormat="1" applyFont="1" applyFill="1" applyBorder="1" applyAlignment="1" applyProtection="1"/>
    <xf numFmtId="166" fontId="2" fillId="0" borderId="7" xfId="0" applyNumberFormat="1" applyFont="1" applyFill="1" applyBorder="1" applyAlignment="1" applyProtection="1"/>
    <xf numFmtId="10" fontId="11" fillId="0" borderId="3" xfId="3" applyNumberFormat="1" applyFont="1" applyFill="1" applyBorder="1" applyAlignment="1" applyProtection="1"/>
    <xf numFmtId="0" fontId="2" fillId="0" borderId="7" xfId="0" applyFont="1" applyFill="1" applyBorder="1" applyAlignment="1" applyProtection="1"/>
    <xf numFmtId="0" fontId="2" fillId="0" borderId="3" xfId="0" applyFont="1" applyFill="1" applyBorder="1" applyAlignment="1" applyProtection="1"/>
    <xf numFmtId="1" fontId="2" fillId="0" borderId="7" xfId="0" applyNumberFormat="1" applyFont="1" applyFill="1" applyBorder="1" applyAlignment="1" applyProtection="1"/>
    <xf numFmtId="1" fontId="2" fillId="0" borderId="3" xfId="0" applyNumberFormat="1" applyFont="1" applyFill="1" applyBorder="1" applyAlignment="1" applyProtection="1"/>
    <xf numFmtId="167" fontId="11" fillId="0" borderId="7" xfId="2" applyNumberFormat="1" applyFont="1" applyFill="1" applyBorder="1" applyAlignment="1" applyProtection="1">
      <protection locked="0"/>
    </xf>
    <xf numFmtId="1" fontId="11" fillId="6" borderId="7" xfId="0" applyNumberFormat="1" applyFont="1" applyFill="1" applyBorder="1" applyAlignment="1" applyProtection="1"/>
    <xf numFmtId="1" fontId="11" fillId="6" borderId="7" xfId="4" applyNumberFormat="1" applyFont="1" applyFill="1" applyBorder="1" applyAlignment="1" applyProtection="1"/>
    <xf numFmtId="0" fontId="11" fillId="0" borderId="0" xfId="4" applyFont="1" applyFill="1" applyBorder="1" applyAlignment="1" applyProtection="1"/>
    <xf numFmtId="166" fontId="11" fillId="0" borderId="7" xfId="4" applyNumberFormat="1" applyFont="1" applyFill="1" applyBorder="1" applyAlignment="1" applyProtection="1"/>
    <xf numFmtId="0" fontId="1" fillId="0" borderId="0" xfId="0" applyFont="1" applyFill="1" applyBorder="1" applyAlignment="1" applyProtection="1">
      <alignment horizontal="right" vertical="top" wrapText="1"/>
    </xf>
    <xf numFmtId="0" fontId="1" fillId="0" borderId="0" xfId="0" applyFont="1" applyFill="1" applyBorder="1" applyAlignment="1" applyProtection="1">
      <alignment horizontal="right" vertical="top" wrapText="1" inden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 indent="1"/>
    </xf>
    <xf numFmtId="0" fontId="2" fillId="0" borderId="0" xfId="0" applyFont="1" applyFill="1" applyBorder="1" applyAlignment="1" applyProtection="1">
      <alignment horizontal="right" indent="2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 indent="1"/>
    </xf>
    <xf numFmtId="0" fontId="6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 indent="1"/>
    </xf>
    <xf numFmtId="0" fontId="10" fillId="0" borderId="0" xfId="0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>
      <alignment horizontal="right" indent="1"/>
    </xf>
    <xf numFmtId="0" fontId="10" fillId="0" borderId="5" xfId="0" applyFont="1" applyFill="1" applyBorder="1" applyAlignment="1" applyProtection="1">
      <alignment horizontal="right"/>
    </xf>
    <xf numFmtId="0" fontId="10" fillId="0" borderId="6" xfId="0" applyFont="1" applyFill="1" applyBorder="1" applyAlignment="1" applyProtection="1">
      <alignment horizontal="right" indent="1"/>
    </xf>
    <xf numFmtId="0" fontId="2" fillId="0" borderId="3" xfId="0" applyFont="1" applyFill="1" applyBorder="1" applyAlignment="1" applyProtection="1">
      <alignment horizontal="right" vertical="center" indent="1"/>
    </xf>
    <xf numFmtId="0" fontId="2" fillId="0" borderId="7" xfId="0" applyFont="1" applyFill="1" applyBorder="1" applyAlignment="1" applyProtection="1">
      <alignment horizontal="right" vertical="center" indent="1"/>
    </xf>
    <xf numFmtId="0" fontId="2" fillId="5" borderId="1" xfId="0" applyFont="1" applyFill="1" applyBorder="1" applyAlignment="1" applyProtection="1">
      <alignment horizontal="right" vertical="center"/>
      <protection locked="0"/>
    </xf>
    <xf numFmtId="0" fontId="2" fillId="5" borderId="10" xfId="0" applyFont="1" applyFill="1" applyBorder="1" applyAlignment="1" applyProtection="1">
      <alignment horizontal="right" vertical="center" indent="1"/>
      <protection locked="0"/>
    </xf>
    <xf numFmtId="167" fontId="2" fillId="10" borderId="7" xfId="2" applyNumberFormat="1" applyFont="1" applyFill="1" applyBorder="1" applyAlignment="1" applyProtection="1">
      <alignment horizontal="right" vertical="center"/>
      <protection locked="0"/>
    </xf>
    <xf numFmtId="0" fontId="2" fillId="5" borderId="1" xfId="0" applyFont="1" applyFill="1" applyBorder="1" applyAlignment="1" applyProtection="1">
      <alignment horizontal="right" vertical="center"/>
    </xf>
    <xf numFmtId="0" fontId="2" fillId="5" borderId="10" xfId="0" applyFont="1" applyFill="1" applyBorder="1" applyAlignment="1" applyProtection="1">
      <alignment horizontal="right" vertical="center" indent="1"/>
    </xf>
    <xf numFmtId="1" fontId="2" fillId="7" borderId="7" xfId="0" applyNumberFormat="1" applyFont="1" applyFill="1" applyBorder="1" applyAlignment="1" applyProtection="1">
      <alignment horizontal="right" vertical="center"/>
    </xf>
    <xf numFmtId="1" fontId="2" fillId="7" borderId="3" xfId="0" applyNumberFormat="1" applyFont="1" applyFill="1" applyBorder="1" applyAlignment="1" applyProtection="1">
      <alignment horizontal="right" vertical="center" indent="1"/>
    </xf>
    <xf numFmtId="0" fontId="10" fillId="5" borderId="10" xfId="0" applyFont="1" applyFill="1" applyBorder="1" applyAlignment="1" applyProtection="1">
      <alignment horizontal="right" vertical="center" indent="1"/>
    </xf>
    <xf numFmtId="167" fontId="11" fillId="2" borderId="7" xfId="2" applyNumberFormat="1" applyFont="1" applyFill="1" applyBorder="1" applyAlignment="1" applyProtection="1">
      <alignment horizontal="center" vertical="top"/>
      <protection locked="0"/>
    </xf>
    <xf numFmtId="168" fontId="11" fillId="0" borderId="3" xfId="2" applyNumberFormat="1" applyFont="1" applyFill="1" applyBorder="1" applyAlignment="1" applyProtection="1">
      <alignment horizontal="center" vertical="center"/>
    </xf>
    <xf numFmtId="169" fontId="11" fillId="0" borderId="3" xfId="2" applyNumberFormat="1" applyFont="1" applyFill="1" applyBorder="1" applyAlignment="1" applyProtection="1">
      <alignment vertical="center"/>
    </xf>
    <xf numFmtId="169" fontId="2" fillId="0" borderId="7" xfId="0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horizontal="center" vertical="center"/>
    </xf>
    <xf numFmtId="1" fontId="2" fillId="0" borderId="7" xfId="0" applyNumberFormat="1" applyFont="1" applyFill="1" applyBorder="1" applyAlignment="1" applyProtection="1">
      <alignment horizontal="right" vertical="center"/>
    </xf>
    <xf numFmtId="1" fontId="2" fillId="0" borderId="3" xfId="0" applyNumberFormat="1" applyFont="1" applyFill="1" applyBorder="1" applyAlignment="1" applyProtection="1">
      <alignment horizontal="right" vertical="center" indent="1"/>
    </xf>
    <xf numFmtId="167" fontId="11" fillId="0" borderId="7" xfId="2" applyNumberFormat="1" applyFont="1" applyFill="1" applyBorder="1" applyAlignment="1" applyProtection="1">
      <alignment horizontal="center" vertical="top"/>
      <protection locked="0"/>
    </xf>
    <xf numFmtId="1" fontId="11" fillId="6" borderId="7" xfId="0" applyNumberFormat="1" applyFont="1" applyFill="1" applyBorder="1" applyAlignment="1" applyProtection="1">
      <alignment horizontal="right" vertical="center"/>
    </xf>
    <xf numFmtId="1" fontId="11" fillId="6" borderId="7" xfId="0" applyNumberFormat="1" applyFont="1" applyFill="1" applyBorder="1" applyAlignment="1" applyProtection="1">
      <alignment horizontal="right" vertical="center" indent="1"/>
    </xf>
    <xf numFmtId="1" fontId="11" fillId="6" borderId="7" xfId="4" applyNumberFormat="1" applyFont="1" applyFill="1" applyBorder="1" applyAlignment="1" applyProtection="1">
      <alignment horizontal="right" vertical="center"/>
    </xf>
    <xf numFmtId="0" fontId="11" fillId="0" borderId="0" xfId="4" applyFont="1" applyFill="1" applyBorder="1" applyAlignment="1" applyProtection="1">
      <alignment horizontal="center" vertical="center"/>
    </xf>
    <xf numFmtId="1" fontId="11" fillId="6" borderId="7" xfId="4" applyNumberFormat="1" applyFont="1" applyFill="1" applyBorder="1" applyAlignment="1" applyProtection="1">
      <alignment horizontal="right" vertical="center" indent="1"/>
    </xf>
    <xf numFmtId="0" fontId="2" fillId="8" borderId="14" xfId="0" applyFont="1" applyFill="1" applyBorder="1" applyAlignment="1" applyProtection="1">
      <alignment horizontal="right" vertical="center"/>
      <protection locked="0"/>
    </xf>
    <xf numFmtId="0" fontId="2" fillId="8" borderId="13" xfId="0" applyFont="1" applyFill="1" applyBorder="1" applyAlignment="1" applyProtection="1">
      <alignment horizontal="right" vertical="center" indent="1"/>
      <protection locked="0"/>
    </xf>
    <xf numFmtId="9" fontId="2" fillId="0" borderId="0" xfId="0" applyNumberFormat="1" applyFon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 indent="1"/>
    </xf>
    <xf numFmtId="0" fontId="11" fillId="0" borderId="7" xfId="0" applyFont="1" applyFill="1" applyBorder="1" applyAlignment="1" applyProtection="1">
      <alignment horizontal="right" vertical="center" indent="1"/>
    </xf>
    <xf numFmtId="0" fontId="2" fillId="9" borderId="17" xfId="0" applyFont="1" applyFill="1" applyBorder="1" applyAlignment="1" applyProtection="1">
      <alignment horizontal="right" vertical="center"/>
    </xf>
    <xf numFmtId="0" fontId="10" fillId="9" borderId="5" xfId="0" applyFont="1" applyFill="1" applyBorder="1" applyAlignment="1" applyProtection="1">
      <alignment horizontal="right" vertical="center" indent="1"/>
    </xf>
    <xf numFmtId="0" fontId="11" fillId="8" borderId="14" xfId="4" applyFont="1" applyFill="1" applyBorder="1" applyAlignment="1" applyProtection="1">
      <alignment horizontal="right" vertical="center"/>
      <protection locked="0"/>
    </xf>
    <xf numFmtId="0" fontId="11" fillId="8" borderId="13" xfId="4" applyFont="1" applyFill="1" applyBorder="1" applyAlignment="1" applyProtection="1">
      <alignment horizontal="right" vertical="center" indent="1"/>
      <protection locked="0"/>
    </xf>
    <xf numFmtId="9" fontId="11" fillId="0" borderId="0" xfId="4" applyNumberFormat="1" applyFon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 indent="1"/>
    </xf>
    <xf numFmtId="9" fontId="11" fillId="0" borderId="7" xfId="4" applyNumberFormat="1" applyFont="1" applyFill="1" applyBorder="1" applyAlignment="1" applyProtection="1">
      <alignment horizontal="right" vertical="center" indent="1"/>
    </xf>
    <xf numFmtId="0" fontId="11" fillId="0" borderId="0" xfId="4" applyFont="1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 indent="1"/>
    </xf>
    <xf numFmtId="0" fontId="11" fillId="9" borderId="0" xfId="4" applyFont="1" applyFill="1" applyBorder="1" applyAlignment="1" applyProtection="1">
      <alignment horizontal="right" vertical="center"/>
    </xf>
    <xf numFmtId="0" fontId="10" fillId="9" borderId="7" xfId="4" applyFont="1" applyFill="1" applyBorder="1" applyAlignment="1" applyProtection="1">
      <alignment horizontal="right" vertical="center" indent="1"/>
    </xf>
    <xf numFmtId="0" fontId="11" fillId="8" borderId="12" xfId="4" applyFont="1" applyFill="1" applyBorder="1" applyAlignment="1" applyProtection="1">
      <alignment horizontal="right" vertical="center"/>
      <protection locked="0"/>
    </xf>
    <xf numFmtId="0" fontId="11" fillId="8" borderId="14" xfId="4" applyFont="1" applyFill="1" applyBorder="1" applyAlignment="1" applyProtection="1">
      <alignment horizontal="right" vertical="center" indent="1"/>
      <protection locked="0"/>
    </xf>
    <xf numFmtId="43" fontId="2" fillId="7" borderId="7" xfId="0" applyNumberFormat="1" applyFont="1" applyFill="1" applyBorder="1" applyAlignment="1" applyProtection="1">
      <alignment horizontal="right" vertical="center"/>
    </xf>
    <xf numFmtId="43" fontId="2" fillId="7" borderId="7" xfId="0" applyNumberFormat="1" applyFont="1" applyFill="1" applyBorder="1" applyAlignment="1" applyProtection="1">
      <alignment horizontal="right" vertical="center" indent="1"/>
    </xf>
    <xf numFmtId="0" fontId="10" fillId="0" borderId="4" xfId="0" applyFont="1" applyFill="1" applyBorder="1" applyAlignment="1" applyProtection="1">
      <alignment horizontal="right"/>
    </xf>
    <xf numFmtId="0" fontId="10" fillId="0" borderId="6" xfId="0" applyFont="1" applyFill="1" applyBorder="1" applyAlignment="1" applyProtection="1">
      <alignment horizontal="right"/>
    </xf>
    <xf numFmtId="0" fontId="2" fillId="0" borderId="3" xfId="0" applyFont="1" applyFill="1" applyBorder="1" applyAlignment="1" applyProtection="1">
      <alignment horizontal="right" vertical="center"/>
    </xf>
    <xf numFmtId="0" fontId="2" fillId="5" borderId="10" xfId="0" applyFont="1" applyFill="1" applyBorder="1" applyAlignment="1" applyProtection="1">
      <alignment horizontal="right" vertical="center"/>
      <protection locked="0"/>
    </xf>
    <xf numFmtId="167" fontId="11" fillId="2" borderId="7" xfId="2" applyNumberFormat="1" applyFont="1" applyFill="1" applyBorder="1" applyAlignment="1" applyProtection="1">
      <alignment horizontal="right" vertical="center"/>
      <protection locked="0"/>
    </xf>
    <xf numFmtId="0" fontId="2" fillId="5" borderId="10" xfId="0" applyFont="1" applyFill="1" applyBorder="1" applyAlignment="1" applyProtection="1">
      <alignment horizontal="right" vertical="center"/>
    </xf>
    <xf numFmtId="1" fontId="2" fillId="7" borderId="3" xfId="0" applyNumberFormat="1" applyFont="1" applyFill="1" applyBorder="1" applyAlignment="1" applyProtection="1">
      <alignment horizontal="right" vertical="center"/>
    </xf>
    <xf numFmtId="0" fontId="10" fillId="5" borderId="10" xfId="0" applyFont="1" applyFill="1" applyBorder="1" applyAlignment="1" applyProtection="1">
      <alignment horizontal="right" vertical="center"/>
    </xf>
    <xf numFmtId="1" fontId="2" fillId="0" borderId="3" xfId="0" applyNumberFormat="1" applyFont="1" applyFill="1" applyBorder="1" applyAlignment="1" applyProtection="1">
      <alignment horizontal="right" vertical="center"/>
    </xf>
    <xf numFmtId="0" fontId="2" fillId="8" borderId="13" xfId="0" applyFont="1" applyFill="1" applyBorder="1" applyAlignment="1" applyProtection="1">
      <alignment horizontal="right" vertical="center"/>
      <protection locked="0"/>
    </xf>
    <xf numFmtId="9" fontId="10" fillId="0" borderId="7" xfId="0" applyNumberFormat="1" applyFont="1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/>
    </xf>
    <xf numFmtId="0" fontId="10" fillId="9" borderId="5" xfId="0" applyFont="1" applyFill="1" applyBorder="1" applyAlignment="1" applyProtection="1">
      <alignment horizontal="right" vertical="center"/>
    </xf>
    <xf numFmtId="0" fontId="11" fillId="8" borderId="13" xfId="4" applyFont="1" applyFill="1" applyBorder="1" applyAlignment="1" applyProtection="1">
      <alignment horizontal="right" vertical="center"/>
      <protection locked="0"/>
    </xf>
    <xf numFmtId="9" fontId="10" fillId="0" borderId="7" xfId="4" applyNumberFormat="1" applyFont="1" applyFill="1" applyBorder="1" applyAlignment="1" applyProtection="1">
      <alignment horizontal="right" vertical="center"/>
    </xf>
    <xf numFmtId="9" fontId="11" fillId="0" borderId="7" xfId="4" applyNumberFormat="1" applyFont="1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/>
    </xf>
    <xf numFmtId="0" fontId="10" fillId="9" borderId="7" xfId="4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wrapText="1"/>
    </xf>
    <xf numFmtId="0" fontId="2" fillId="0" borderId="3" xfId="0" applyFont="1" applyFill="1" applyBorder="1" applyAlignment="1" applyProtection="1">
      <alignment horizontal="right"/>
    </xf>
    <xf numFmtId="0" fontId="2" fillId="0" borderId="7" xfId="0" applyFont="1" applyFill="1" applyBorder="1" applyAlignment="1" applyProtection="1">
      <alignment horizontal="right"/>
    </xf>
    <xf numFmtId="0" fontId="2" fillId="5" borderId="10" xfId="0" applyFont="1" applyFill="1" applyBorder="1" applyAlignment="1" applyProtection="1">
      <alignment horizontal="right"/>
      <protection locked="0"/>
    </xf>
    <xf numFmtId="0" fontId="2" fillId="7" borderId="7" xfId="0" applyFont="1" applyFill="1" applyBorder="1" applyAlignment="1" applyProtection="1">
      <alignment horizontal="right"/>
    </xf>
    <xf numFmtId="0" fontId="2" fillId="5" borderId="10" xfId="0" applyFont="1" applyFill="1" applyBorder="1" applyAlignment="1" applyProtection="1">
      <alignment horizontal="right"/>
    </xf>
    <xf numFmtId="1" fontId="2" fillId="7" borderId="3" xfId="0" applyNumberFormat="1" applyFont="1" applyFill="1" applyBorder="1" applyAlignment="1" applyProtection="1">
      <alignment horizontal="right"/>
    </xf>
    <xf numFmtId="0" fontId="10" fillId="5" borderId="10" xfId="0" applyFont="1" applyFill="1" applyBorder="1" applyAlignment="1" applyProtection="1">
      <alignment horizontal="right"/>
    </xf>
    <xf numFmtId="166" fontId="2" fillId="0" borderId="7" xfId="0" applyNumberFormat="1" applyFont="1" applyFill="1" applyBorder="1" applyAlignment="1" applyProtection="1">
      <alignment horizontal="center" vertical="center"/>
    </xf>
    <xf numFmtId="10" fontId="11" fillId="0" borderId="3" xfId="3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Fill="1" applyBorder="1" applyAlignment="1" applyProtection="1">
      <alignment horizontal="right"/>
    </xf>
    <xf numFmtId="1" fontId="11" fillId="6" borderId="7" xfId="0" applyNumberFormat="1" applyFont="1" applyFill="1" applyBorder="1" applyAlignment="1" applyProtection="1">
      <alignment horizontal="right"/>
    </xf>
    <xf numFmtId="1" fontId="11" fillId="6" borderId="7" xfId="4" applyNumberFormat="1" applyFont="1" applyFill="1" applyBorder="1" applyAlignment="1" applyProtection="1">
      <alignment horizontal="right"/>
    </xf>
    <xf numFmtId="166" fontId="11" fillId="0" borderId="7" xfId="4" applyNumberFormat="1" applyFont="1" applyFill="1" applyBorder="1" applyAlignment="1" applyProtection="1">
      <alignment horizontal="center" vertical="center"/>
    </xf>
    <xf numFmtId="0" fontId="2" fillId="8" borderId="13" xfId="0" applyFont="1" applyFill="1" applyBorder="1" applyAlignment="1" applyProtection="1">
      <alignment horizontal="right"/>
      <protection locked="0"/>
    </xf>
    <xf numFmtId="9" fontId="10" fillId="0" borderId="7" xfId="0" applyNumberFormat="1" applyFont="1" applyFill="1" applyBorder="1" applyAlignment="1" applyProtection="1">
      <alignment horizontal="right"/>
    </xf>
    <xf numFmtId="0" fontId="11" fillId="0" borderId="7" xfId="0" applyFont="1" applyFill="1" applyBorder="1" applyAlignment="1" applyProtection="1">
      <alignment horizontal="right"/>
    </xf>
    <xf numFmtId="0" fontId="10" fillId="9" borderId="5" xfId="0" applyFont="1" applyFill="1" applyBorder="1" applyAlignment="1" applyProtection="1">
      <alignment horizontal="right"/>
    </xf>
    <xf numFmtId="0" fontId="11" fillId="8" borderId="13" xfId="4" applyFont="1" applyFill="1" applyBorder="1" applyAlignment="1" applyProtection="1">
      <alignment horizontal="right"/>
      <protection locked="0"/>
    </xf>
    <xf numFmtId="9" fontId="10" fillId="0" borderId="7" xfId="4" applyNumberFormat="1" applyFont="1" applyFill="1" applyBorder="1" applyAlignment="1" applyProtection="1">
      <alignment horizontal="right"/>
    </xf>
    <xf numFmtId="9" fontId="11" fillId="0" borderId="7" xfId="4" applyNumberFormat="1" applyFont="1" applyFill="1" applyBorder="1" applyAlignment="1" applyProtection="1">
      <alignment horizontal="right"/>
    </xf>
    <xf numFmtId="0" fontId="11" fillId="0" borderId="7" xfId="4" applyFont="1" applyFill="1" applyBorder="1" applyAlignment="1" applyProtection="1">
      <alignment horizontal="right"/>
    </xf>
    <xf numFmtId="0" fontId="10" fillId="9" borderId="7" xfId="4" applyFont="1" applyFill="1" applyBorder="1" applyAlignment="1" applyProtection="1">
      <alignment horizontal="right"/>
    </xf>
    <xf numFmtId="0" fontId="11" fillId="8" borderId="14" xfId="4" applyFont="1" applyFill="1" applyBorder="1" applyAlignment="1" applyProtection="1">
      <alignment horizontal="right"/>
      <protection locked="0"/>
    </xf>
  </cellXfs>
  <cellStyles count="5">
    <cellStyle name="Comma 2 4" xfId="1"/>
    <cellStyle name="Currency 2 4" xfId="2"/>
    <cellStyle name="Normal" xfId="0" builtinId="0"/>
    <cellStyle name="Normal 2" xfId="4"/>
    <cellStyle name="Percent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l%20Impacts%20Jan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/Downloads/EB-2014-0105%202016%20ORPC%20Data%20Storage%20Jan%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A. LDC Info"/>
      <sheetName val="B. CurrentTariff"/>
      <sheetName val="C. Revenues at Curr Rates"/>
      <sheetName val="RATEBASE &amp; REV REQ -&gt;"/>
      <sheetName val="D. Rate Base"/>
      <sheetName val="E. Revenue Requirement"/>
      <sheetName val="COST ALLOC. &amp; RATE DESIGN -&gt;"/>
      <sheetName val="F. Cost Allocation &amp; RevAllocn"/>
      <sheetName val="G. RateDesign"/>
      <sheetName val="H. Rev_Reconciliation"/>
      <sheetName val="Cost Allocation"/>
      <sheetName val="RATE RIDERS -&gt;"/>
      <sheetName val="I. SMRR"/>
      <sheetName val="J. DVA"/>
      <sheetName val="K. Summary of Tariffs"/>
      <sheetName val="BILL IMPACT -&gt;"/>
      <sheetName val="Bill Impact - Residential"/>
      <sheetName val="Bill Impact - ReswithRegChages"/>
      <sheetName val="Bill Impact - GS&lt;50withchg"/>
      <sheetName val="Bill Impact-GS&gt;50withchg"/>
      <sheetName val="Bill Impact - Sentinel"/>
      <sheetName val="Bill Impact - SentinelwithRegCh"/>
      <sheetName val="Bill Impact - StreetLight"/>
      <sheetName val="Bill Impact - USL"/>
      <sheetName val="Bill ImpactUSLwithRegChg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RRWF_Rev_Reqt"/>
      <sheetName val="Update to COS Application"/>
    </sheetNames>
    <sheetDataSet>
      <sheetData sheetId="0"/>
      <sheetData sheetId="1"/>
      <sheetData sheetId="2">
        <row r="32">
          <cell r="C32">
            <v>10.99</v>
          </cell>
        </row>
        <row r="33">
          <cell r="C33">
            <v>1.4999999999999999E-2</v>
          </cell>
        </row>
        <row r="45">
          <cell r="C45">
            <v>6.3E-3</v>
          </cell>
        </row>
        <row r="46">
          <cell r="C46">
            <v>4.4999999999999997E-3</v>
          </cell>
        </row>
        <row r="53">
          <cell r="C53">
            <v>22.97</v>
          </cell>
        </row>
        <row r="54">
          <cell r="C54">
            <v>1.0500000000000001E-2</v>
          </cell>
        </row>
        <row r="74">
          <cell r="C74">
            <v>378.72</v>
          </cell>
        </row>
        <row r="75">
          <cell r="C75">
            <v>0.64890000000000003</v>
          </cell>
        </row>
        <row r="95">
          <cell r="C95">
            <v>2.6</v>
          </cell>
        </row>
        <row r="96">
          <cell r="C96">
            <v>7.8817000000000004</v>
          </cell>
        </row>
        <row r="116">
          <cell r="C116">
            <v>2.2200000000000002</v>
          </cell>
        </row>
        <row r="117">
          <cell r="C117">
            <v>12.1768</v>
          </cell>
        </row>
        <row r="137">
          <cell r="C137">
            <v>6.25</v>
          </cell>
        </row>
        <row r="138">
          <cell r="C138">
            <v>2E-3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6">
          <cell r="B46">
            <v>18.05</v>
          </cell>
          <cell r="G46">
            <v>1.2080662657503759E-2</v>
          </cell>
        </row>
        <row r="47">
          <cell r="B47">
            <v>27.35</v>
          </cell>
          <cell r="G47">
            <v>1.2505744509040779E-2</v>
          </cell>
        </row>
        <row r="48">
          <cell r="B48">
            <v>378.72</v>
          </cell>
          <cell r="G48">
            <v>0.87586333864252697</v>
          </cell>
        </row>
        <row r="49">
          <cell r="B49">
            <v>3.58</v>
          </cell>
          <cell r="G49">
            <v>9.0251276561028053</v>
          </cell>
        </row>
        <row r="50">
          <cell r="B50">
            <v>2.61</v>
          </cell>
          <cell r="G50">
            <v>14.959282057524991</v>
          </cell>
        </row>
        <row r="51">
          <cell r="B51">
            <v>6.2</v>
          </cell>
          <cell r="G51">
            <v>6.4622547952107789E-3</v>
          </cell>
        </row>
      </sheetData>
      <sheetData sheetId="10"/>
      <sheetData sheetId="11"/>
      <sheetData sheetId="12"/>
      <sheetData sheetId="13">
        <row r="13">
          <cell r="G13">
            <v>0.78171012891784653</v>
          </cell>
        </row>
        <row r="14">
          <cell r="G14">
            <v>2.8831970487551146</v>
          </cell>
        </row>
        <row r="15">
          <cell r="G15">
            <v>0</v>
          </cell>
        </row>
      </sheetData>
      <sheetData sheetId="14">
        <row r="16">
          <cell r="B16" t="str">
            <v>Rate Rider Calculation for Deferral / Variance Accounts Balances (excluding Global Adj.)</v>
          </cell>
        </row>
        <row r="20">
          <cell r="F20">
            <v>-8.3191383168094741E-4</v>
          </cell>
        </row>
        <row r="21">
          <cell r="F21">
            <v>-8.2471767600577684E-4</v>
          </cell>
        </row>
        <row r="22">
          <cell r="F22">
            <v>-0.2881086467416501</v>
          </cell>
        </row>
        <row r="23">
          <cell r="F23">
            <v>-8.200662006650687E-4</v>
          </cell>
        </row>
        <row r="24">
          <cell r="F24">
            <v>-0.29442055101947512</v>
          </cell>
        </row>
        <row r="25">
          <cell r="F25">
            <v>-0.29140561547524468</v>
          </cell>
        </row>
        <row r="42">
          <cell r="B42" t="str">
            <v>Rate Rider Calculation for Deferral / Variance Accounts Balances (excluding Global Adj.) - NON-WMP</v>
          </cell>
        </row>
        <row r="46">
          <cell r="F46">
            <v>-2.646861822728247E-3</v>
          </cell>
        </row>
        <row r="47">
          <cell r="F47">
            <v>-2.646861822728247E-3</v>
          </cell>
        </row>
        <row r="48">
          <cell r="F48">
            <v>-0.92990514331638319</v>
          </cell>
        </row>
        <row r="49">
          <cell r="F49">
            <v>-2.6468618227282474E-3</v>
          </cell>
        </row>
        <row r="50">
          <cell r="F50">
            <v>-0.95027756989382417</v>
          </cell>
        </row>
        <row r="51">
          <cell r="F51">
            <v>-0.9405465045438095</v>
          </cell>
        </row>
        <row r="68">
          <cell r="B68" t="str">
            <v>Rate Rider Calculation for RSVA - Power - Global Adjustment</v>
          </cell>
        </row>
        <row r="74">
          <cell r="F74">
            <v>1.716429835341269</v>
          </cell>
        </row>
        <row r="77">
          <cell r="F77">
            <v>1.7360717848784646</v>
          </cell>
        </row>
        <row r="121">
          <cell r="B121" t="str">
            <v>Rate Rider Calculation for Group 2 Accounts</v>
          </cell>
        </row>
        <row r="125">
          <cell r="F125">
            <v>0.71763615173398432</v>
          </cell>
        </row>
        <row r="126">
          <cell r="F126">
            <v>8.0305657896044972E-5</v>
          </cell>
        </row>
        <row r="127">
          <cell r="F127">
            <v>2.8213276444467111E-2</v>
          </cell>
        </row>
        <row r="128">
          <cell r="F128">
            <v>8.0305657896044986E-5</v>
          </cell>
        </row>
        <row r="129">
          <cell r="F129">
            <v>2.8831374867736497E-2</v>
          </cell>
        </row>
        <row r="130">
          <cell r="F130">
            <v>2.8536134822241099E-2</v>
          </cell>
        </row>
        <row r="147">
          <cell r="B147" t="str">
            <v>Rate Rider Calculation for Accounts 1575 and 1576</v>
          </cell>
        </row>
        <row r="153">
          <cell r="F153">
            <v>2.345544481897622E-4</v>
          </cell>
        </row>
        <row r="154">
          <cell r="F154">
            <v>2.3455444818976223E-4</v>
          </cell>
        </row>
        <row r="155">
          <cell r="F155">
            <v>8.240452368404183E-2</v>
          </cell>
        </row>
        <row r="156">
          <cell r="F156">
            <v>2.3455444818976223E-4</v>
          </cell>
        </row>
        <row r="157">
          <cell r="F157">
            <v>8.4209847722163611E-2</v>
          </cell>
        </row>
        <row r="158">
          <cell r="F158">
            <v>8.3347519117069085E-2</v>
          </cell>
        </row>
        <row r="175">
          <cell r="B175" t="str">
            <v>Rate Rider Calculation for Accounts 1568</v>
          </cell>
        </row>
        <row r="181">
          <cell r="F181">
            <v>1.9002491545530963E-4</v>
          </cell>
        </row>
        <row r="182">
          <cell r="F182">
            <v>6.2210617557952952E-4</v>
          </cell>
        </row>
        <row r="183">
          <cell r="F183">
            <v>5.684378315786414E-2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0.2 Customer Classes"/>
      <sheetName val="0.3 Templ Event Log"/>
      <sheetName val="Exhibit 1 -&gt;"/>
      <sheetName val="1.1 Trial Balance Summary"/>
      <sheetName val="1.2.TB Historical Balances"/>
      <sheetName val="1.3 TB Projected Balances"/>
      <sheetName val="1.4 TB Variance Analysis"/>
      <sheetName val="1.5 Organizational Structure"/>
      <sheetName val="Exhibit 2 -&gt;"/>
      <sheetName val="2.1. Rate Base Trend "/>
      <sheetName val="2.2 RateBase VarAnalysis"/>
      <sheetName val="2.3 Summary of Capital Projects"/>
      <sheetName val="2.4 Var Capital Expenditures"/>
      <sheetName val="FIXED ASSET CONTINUITY STMT -&gt;"/>
      <sheetName val="2.5 Service Life Comp"/>
      <sheetName val="2.6 Fixed Asset Cont Stmt"/>
      <sheetName val="2.7 Overhead"/>
      <sheetName val="2.8 Stranded Meters"/>
      <sheetName val="DEPRECIATION EXPENSES -&gt;"/>
      <sheetName val="2.9 Depreciation Expenses"/>
      <sheetName val="2.10 DeprExp Bridge NewGAAP"/>
      <sheetName val="2.11 DeprExp Test NewGAAP"/>
      <sheetName val="2.12 Proposed REG Invest."/>
      <sheetName val="2.13 SQI"/>
      <sheetName val="Exhibit 3 -&gt;"/>
      <sheetName val="OPERATING REVENUES -&gt;"/>
      <sheetName val="3.1 Other Oper Rev Detail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. PILs.Final PILs"/>
      <sheetName val="LOAD FORECAST -&gt;"/>
      <sheetName val="3.10 LoadForecast"/>
      <sheetName val="Exhibit 4 -&gt;"/>
      <sheetName val="OM&amp;A -&gt;"/>
      <sheetName val="4.1 OM&amp;A_Detailed_Analysis"/>
      <sheetName val="4.2 OM&amp;A_Summary_Analys"/>
      <sheetName val="4.3 OMA Programs Final"/>
      <sheetName val="4.3 OMA Programs"/>
      <sheetName val="4.4 OM&amp;A_Cost _Drivers"/>
      <sheetName val="4.5 Monthly Staff Lvl"/>
      <sheetName val="4.6 Yearly Staff Turnover"/>
      <sheetName val="4.7 Employee Costs"/>
      <sheetName val="4.8.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ncy"/>
      <sheetName val="6.4 Calc of ROE on Deemed Basis"/>
      <sheetName val="Exhibit 8 -&gt;"/>
      <sheetName val="8.1 Loss Factors"/>
      <sheetName val="8.2 IFRS Transition Costs"/>
      <sheetName val="8.3 Integrity 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58">
          <cell r="N58">
            <v>6.0321318398108351E-3</v>
          </cell>
        </row>
        <row r="59">
          <cell r="N59">
            <v>5.5533911754495633E-3</v>
          </cell>
        </row>
        <row r="60">
          <cell r="N60">
            <v>2.2676027838117778</v>
          </cell>
        </row>
        <row r="61">
          <cell r="N61">
            <v>1.718771417466135</v>
          </cell>
        </row>
        <row r="62">
          <cell r="N62">
            <v>1.7100626163905326</v>
          </cell>
        </row>
        <row r="63">
          <cell r="N63">
            <v>5.553386925641648E-3</v>
          </cell>
        </row>
        <row r="74">
          <cell r="N74">
            <v>4.5995082603774813E-3</v>
          </cell>
        </row>
        <row r="75">
          <cell r="N75">
            <v>4.088451920223014E-3</v>
          </cell>
        </row>
        <row r="76">
          <cell r="N76">
            <v>1.6311900310603258</v>
          </cell>
        </row>
        <row r="77">
          <cell r="N77">
            <v>1.2874571475255887</v>
          </cell>
        </row>
        <row r="78">
          <cell r="N78">
            <v>1.2610821484702732</v>
          </cell>
        </row>
        <row r="79">
          <cell r="N79">
            <v>4.0884455565176761E-3</v>
          </cell>
        </row>
        <row r="171">
          <cell r="I171">
            <v>8.0000000000000004E-4</v>
          </cell>
        </row>
        <row r="172">
          <cell r="I172">
            <v>6.9999999999999999E-4</v>
          </cell>
        </row>
        <row r="173">
          <cell r="I173">
            <v>0.28739999999999999</v>
          </cell>
        </row>
        <row r="174">
          <cell r="I174">
            <v>0.2268</v>
          </cell>
        </row>
        <row r="176">
          <cell r="I176">
            <v>6.9999999999999999E-4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2"/>
  <sheetViews>
    <sheetView tabSelected="1" topLeftCell="A9" workbookViewId="0">
      <selection activeCell="F8" sqref="F8"/>
    </sheetView>
  </sheetViews>
  <sheetFormatPr defaultRowHeight="15"/>
  <cols>
    <col min="1" max="1" width="11.28515625" style="2" customWidth="1"/>
    <col min="2" max="2" width="26.5703125" style="9" customWidth="1"/>
    <col min="3" max="3" width="1.28515625" style="2" customWidth="1"/>
    <col min="4" max="4" width="11.28515625" style="2" customWidth="1"/>
    <col min="5" max="5" width="1.28515625" style="2" customWidth="1"/>
    <col min="6" max="6" width="12.28515625" style="2" customWidth="1"/>
    <col min="7" max="7" width="8.5703125" style="2" customWidth="1"/>
    <col min="8" max="8" width="11.140625" style="2" customWidth="1"/>
    <col min="9" max="9" width="2.85546875" style="2" customWidth="1"/>
    <col min="10" max="10" width="12.140625" style="2" customWidth="1"/>
    <col min="11" max="11" width="8.5703125" style="2" customWidth="1"/>
    <col min="12" max="12" width="9.7109375" style="2" customWidth="1"/>
    <col min="13" max="13" width="2.85546875" style="2" customWidth="1"/>
    <col min="14" max="14" width="12.7109375" style="2" customWidth="1"/>
    <col min="15" max="15" width="10.85546875" style="2" customWidth="1"/>
    <col min="16" max="16" width="3.85546875" style="2" customWidth="1"/>
    <col min="17" max="20" width="9.140625" style="2"/>
  </cols>
  <sheetData>
    <row r="1" spans="1:20" ht="2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ht="18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4"/>
    </row>
    <row r="3" spans="1:20" ht="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/>
      <c r="O3" s="4"/>
    </row>
    <row r="4" spans="1:20" ht="18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4"/>
    </row>
    <row r="5" spans="1:20" ht="15.75">
      <c r="C5" s="10"/>
      <c r="D5" s="10"/>
      <c r="E5" s="10"/>
      <c r="N5" s="3"/>
      <c r="O5" s="4"/>
    </row>
    <row r="6" spans="1:20">
      <c r="N6" s="3"/>
      <c r="O6" s="11"/>
    </row>
    <row r="7" spans="1:20">
      <c r="N7" s="3"/>
      <c r="O7" s="4"/>
    </row>
    <row r="10" spans="1:20" ht="23.25">
      <c r="A10" s="12"/>
      <c r="B10" s="13" t="s"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  <c r="R10" s="12"/>
      <c r="S10" s="12"/>
      <c r="T10" s="12"/>
    </row>
    <row r="11" spans="1:20" ht="18">
      <c r="B11" s="14" t="s">
        <v>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4" spans="1:20" ht="15.75">
      <c r="B14" s="15" t="s">
        <v>2</v>
      </c>
      <c r="D14" s="16" t="s">
        <v>3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20" ht="15.75">
      <c r="B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20" ht="15.75">
      <c r="B16" s="15" t="s">
        <v>4</v>
      </c>
      <c r="D16" s="19" t="s">
        <v>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 ht="15.75">
      <c r="B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>
      <c r="B18" s="20"/>
      <c r="D18" s="21" t="s">
        <v>6</v>
      </c>
      <c r="E18" s="21"/>
      <c r="F18" s="22">
        <v>800</v>
      </c>
      <c r="G18" s="21" t="s">
        <v>7</v>
      </c>
    </row>
    <row r="19" spans="1:15">
      <c r="B19" s="20"/>
    </row>
    <row r="20" spans="1:15">
      <c r="B20" s="20"/>
      <c r="D20" s="23"/>
      <c r="E20" s="23"/>
      <c r="F20" s="24" t="s">
        <v>8</v>
      </c>
      <c r="G20" s="24"/>
      <c r="H20" s="24"/>
      <c r="J20" s="24" t="s">
        <v>9</v>
      </c>
      <c r="K20" s="24"/>
      <c r="L20" s="24"/>
      <c r="N20" s="24" t="s">
        <v>10</v>
      </c>
      <c r="O20" s="24"/>
    </row>
    <row r="21" spans="1:15">
      <c r="B21" s="20"/>
      <c r="D21" s="25" t="s">
        <v>11</v>
      </c>
      <c r="E21" s="26"/>
      <c r="F21" s="27" t="s">
        <v>12</v>
      </c>
      <c r="G21" s="27" t="s">
        <v>13</v>
      </c>
      <c r="H21" s="28" t="s">
        <v>14</v>
      </c>
      <c r="J21" s="27" t="s">
        <v>12</v>
      </c>
      <c r="K21" s="29" t="s">
        <v>13</v>
      </c>
      <c r="L21" s="28" t="s">
        <v>14</v>
      </c>
      <c r="N21" s="30" t="s">
        <v>15</v>
      </c>
      <c r="O21" s="31" t="s">
        <v>16</v>
      </c>
    </row>
    <row r="22" spans="1:15">
      <c r="B22" s="20"/>
      <c r="D22" s="25"/>
      <c r="E22" s="26"/>
      <c r="F22" s="32" t="s">
        <v>17</v>
      </c>
      <c r="G22" s="32"/>
      <c r="H22" s="33" t="s">
        <v>17</v>
      </c>
      <c r="J22" s="32" t="s">
        <v>17</v>
      </c>
      <c r="K22" s="33"/>
      <c r="L22" s="33" t="s">
        <v>17</v>
      </c>
      <c r="N22" s="30"/>
      <c r="O22" s="31"/>
    </row>
    <row r="23" spans="1:15">
      <c r="B23" s="34" t="s">
        <v>18</v>
      </c>
      <c r="C23" s="35"/>
      <c r="D23" s="36" t="s">
        <v>19</v>
      </c>
      <c r="E23" s="35"/>
      <c r="F23" s="37">
        <f>'[1]B. CurrentTariff'!C32</f>
        <v>10.99</v>
      </c>
      <c r="G23" s="38">
        <v>1</v>
      </c>
      <c r="H23" s="39">
        <f>G23*F23</f>
        <v>10.99</v>
      </c>
      <c r="I23" s="40"/>
      <c r="J23" s="41">
        <f>'[1]G. RateDesign'!B46</f>
        <v>18.05</v>
      </c>
      <c r="K23" s="42">
        <v>1</v>
      </c>
      <c r="L23" s="39">
        <f>K23*J23</f>
        <v>18.05</v>
      </c>
      <c r="M23" s="40"/>
      <c r="N23" s="43">
        <f>L23-H23</f>
        <v>7.0600000000000005</v>
      </c>
      <c r="O23" s="44">
        <f>IF((H23)=0,"",(N23/H23))</f>
        <v>0.6424021838034577</v>
      </c>
    </row>
    <row r="24" spans="1:15">
      <c r="A24" s="45"/>
      <c r="B24" s="34" t="s">
        <v>20</v>
      </c>
      <c r="C24" s="35"/>
      <c r="D24" s="36"/>
      <c r="E24" s="35"/>
      <c r="F24" s="46"/>
      <c r="G24" s="38">
        <v>1</v>
      </c>
      <c r="H24" s="39">
        <f t="shared" ref="H24:H38" si="0">G24*F24</f>
        <v>0</v>
      </c>
      <c r="I24" s="40"/>
      <c r="J24" s="41"/>
      <c r="K24" s="42">
        <v>1</v>
      </c>
      <c r="L24" s="39">
        <f>K24*J24</f>
        <v>0</v>
      </c>
      <c r="M24" s="40"/>
      <c r="N24" s="43">
        <f>L24-H24</f>
        <v>0</v>
      </c>
      <c r="O24" s="44" t="str">
        <f>IF((H24)=0,"",(N24/H24))</f>
        <v/>
      </c>
    </row>
    <row r="25" spans="1:15">
      <c r="A25" s="45"/>
      <c r="B25" s="47" t="s">
        <v>21</v>
      </c>
      <c r="C25" s="35"/>
      <c r="D25" s="36" t="s">
        <v>19</v>
      </c>
      <c r="E25" s="35"/>
      <c r="F25" s="46"/>
      <c r="G25" s="38">
        <v>1</v>
      </c>
      <c r="H25" s="39">
        <f t="shared" si="0"/>
        <v>0</v>
      </c>
      <c r="I25" s="40"/>
      <c r="J25" s="41">
        <f>'[1]I. SMRR'!G13</f>
        <v>0.78171012891784653</v>
      </c>
      <c r="K25" s="42">
        <v>1</v>
      </c>
      <c r="L25" s="39">
        <f t="shared" ref="L25:L38" si="1">K25*J25</f>
        <v>0.78171012891784653</v>
      </c>
      <c r="M25" s="40"/>
      <c r="N25" s="43">
        <f t="shared" ref="N25:N67" si="2">L25-H25</f>
        <v>0.78171012891784653</v>
      </c>
      <c r="O25" s="44" t="str">
        <f t="shared" ref="O25:O47" si="3">IF((H25)=0,"",(N25/H25))</f>
        <v/>
      </c>
    </row>
    <row r="26" spans="1:15">
      <c r="A26" s="45"/>
      <c r="B26" s="48" t="s">
        <v>22</v>
      </c>
      <c r="C26" s="35"/>
      <c r="D26" s="36"/>
      <c r="E26" s="35"/>
      <c r="F26" s="46"/>
      <c r="G26" s="38">
        <v>1</v>
      </c>
      <c r="H26" s="39">
        <f t="shared" si="0"/>
        <v>0</v>
      </c>
      <c r="I26" s="40"/>
      <c r="J26" s="41">
        <v>3.36</v>
      </c>
      <c r="K26" s="42">
        <v>1</v>
      </c>
      <c r="L26" s="39">
        <f t="shared" si="1"/>
        <v>3.36</v>
      </c>
      <c r="M26" s="40"/>
      <c r="N26" s="43">
        <f t="shared" si="2"/>
        <v>3.36</v>
      </c>
      <c r="O26" s="44" t="str">
        <f t="shared" si="3"/>
        <v/>
      </c>
    </row>
    <row r="27" spans="1:15">
      <c r="A27" s="45"/>
      <c r="B27" s="49"/>
      <c r="C27" s="35"/>
      <c r="D27" s="36"/>
      <c r="E27" s="35"/>
      <c r="F27" s="46"/>
      <c r="G27" s="38">
        <v>1</v>
      </c>
      <c r="H27" s="39">
        <f t="shared" si="0"/>
        <v>0</v>
      </c>
      <c r="I27" s="40"/>
      <c r="J27" s="50"/>
      <c r="K27" s="42">
        <v>1</v>
      </c>
      <c r="L27" s="39">
        <f t="shared" si="1"/>
        <v>0</v>
      </c>
      <c r="M27" s="40"/>
      <c r="N27" s="43">
        <f t="shared" si="2"/>
        <v>0</v>
      </c>
      <c r="O27" s="44" t="str">
        <f t="shared" si="3"/>
        <v/>
      </c>
    </row>
    <row r="28" spans="1:15">
      <c r="A28" s="45"/>
      <c r="B28" s="49"/>
      <c r="C28" s="35"/>
      <c r="D28" s="36"/>
      <c r="E28" s="35"/>
      <c r="F28" s="46"/>
      <c r="G28" s="38">
        <v>1</v>
      </c>
      <c r="H28" s="39">
        <f t="shared" si="0"/>
        <v>0</v>
      </c>
      <c r="I28" s="40"/>
      <c r="J28" s="50"/>
      <c r="K28" s="42">
        <v>1</v>
      </c>
      <c r="L28" s="39">
        <f t="shared" si="1"/>
        <v>0</v>
      </c>
      <c r="M28" s="40"/>
      <c r="N28" s="43">
        <f t="shared" si="2"/>
        <v>0</v>
      </c>
      <c r="O28" s="44" t="str">
        <f t="shared" si="3"/>
        <v/>
      </c>
    </row>
    <row r="29" spans="1:15">
      <c r="A29" s="45"/>
      <c r="B29" s="34" t="s">
        <v>23</v>
      </c>
      <c r="C29" s="35"/>
      <c r="D29" s="36" t="s">
        <v>24</v>
      </c>
      <c r="E29" s="35"/>
      <c r="F29" s="46">
        <f>'[1]B. CurrentTariff'!C33</f>
        <v>1.4999999999999999E-2</v>
      </c>
      <c r="G29" s="38">
        <f t="shared" ref="G29:G38" si="4">$F$18</f>
        <v>800</v>
      </c>
      <c r="H29" s="39">
        <f t="shared" si="0"/>
        <v>12</v>
      </c>
      <c r="I29" s="40"/>
      <c r="J29" s="50">
        <f>'[1]G. RateDesign'!G46</f>
        <v>1.2080662657503759E-2</v>
      </c>
      <c r="K29" s="38">
        <f>$F$18</f>
        <v>800</v>
      </c>
      <c r="L29" s="39">
        <f t="shared" si="1"/>
        <v>9.6645301260030063</v>
      </c>
      <c r="M29" s="40"/>
      <c r="N29" s="43">
        <f t="shared" si="2"/>
        <v>-2.3354698739969937</v>
      </c>
      <c r="O29" s="44">
        <f t="shared" si="3"/>
        <v>-0.19462248949974947</v>
      </c>
    </row>
    <row r="30" spans="1:15">
      <c r="A30" s="45"/>
      <c r="B30" s="34" t="s">
        <v>22</v>
      </c>
      <c r="C30" s="35"/>
      <c r="D30" s="36" t="s">
        <v>24</v>
      </c>
      <c r="E30" s="35"/>
      <c r="F30" s="46"/>
      <c r="G30" s="38">
        <f t="shared" si="4"/>
        <v>800</v>
      </c>
      <c r="H30" s="39">
        <f t="shared" si="0"/>
        <v>0</v>
      </c>
      <c r="I30" s="40"/>
      <c r="J30" s="50"/>
      <c r="K30" s="38">
        <f t="shared" ref="K30:K38" si="5">$F$18</f>
        <v>800</v>
      </c>
      <c r="L30" s="39">
        <f t="shared" si="1"/>
        <v>0</v>
      </c>
      <c r="M30" s="40"/>
      <c r="N30" s="43">
        <f t="shared" si="2"/>
        <v>0</v>
      </c>
      <c r="O30" s="44" t="str">
        <f t="shared" si="3"/>
        <v/>
      </c>
    </row>
    <row r="31" spans="1:15">
      <c r="A31" s="45"/>
      <c r="B31" s="34" t="s">
        <v>25</v>
      </c>
      <c r="C31" s="35"/>
      <c r="D31" s="36" t="s">
        <v>24</v>
      </c>
      <c r="E31" s="35"/>
      <c r="F31" s="46"/>
      <c r="G31" s="38">
        <f t="shared" si="4"/>
        <v>800</v>
      </c>
      <c r="H31" s="39">
        <f t="shared" si="0"/>
        <v>0</v>
      </c>
      <c r="I31" s="40"/>
      <c r="J31" s="50"/>
      <c r="K31" s="38">
        <f t="shared" si="5"/>
        <v>800</v>
      </c>
      <c r="L31" s="39">
        <f t="shared" si="1"/>
        <v>0</v>
      </c>
      <c r="M31" s="40"/>
      <c r="N31" s="43">
        <f t="shared" si="2"/>
        <v>0</v>
      </c>
      <c r="O31" s="44" t="str">
        <f t="shared" si="3"/>
        <v/>
      </c>
    </row>
    <row r="32" spans="1:15">
      <c r="A32" s="45"/>
      <c r="B32" s="47"/>
      <c r="C32" s="35"/>
      <c r="D32" s="36"/>
      <c r="E32" s="35"/>
      <c r="F32" s="46"/>
      <c r="G32" s="38">
        <f t="shared" si="4"/>
        <v>800</v>
      </c>
      <c r="H32" s="39">
        <f>G32*F32</f>
        <v>0</v>
      </c>
      <c r="I32" s="40"/>
      <c r="J32" s="50"/>
      <c r="K32" s="38">
        <f t="shared" si="5"/>
        <v>800</v>
      </c>
      <c r="L32" s="39">
        <f>K32*J32</f>
        <v>0</v>
      </c>
      <c r="M32" s="40"/>
      <c r="N32" s="43">
        <f>L32-H32</f>
        <v>0</v>
      </c>
      <c r="O32" s="44" t="str">
        <f>IF((H32)=0,"",(N32/H32))</f>
        <v/>
      </c>
    </row>
    <row r="33" spans="1:15">
      <c r="A33" s="45"/>
      <c r="B33" s="47"/>
      <c r="C33" s="35"/>
      <c r="D33" s="36"/>
      <c r="E33" s="35"/>
      <c r="F33" s="46"/>
      <c r="G33" s="38">
        <f t="shared" si="4"/>
        <v>800</v>
      </c>
      <c r="H33" s="39">
        <f>G33*F33</f>
        <v>0</v>
      </c>
      <c r="I33" s="40"/>
      <c r="J33" s="50"/>
      <c r="K33" s="38">
        <f t="shared" si="5"/>
        <v>800</v>
      </c>
      <c r="L33" s="39">
        <f>K33*J33</f>
        <v>0</v>
      </c>
      <c r="M33" s="40"/>
      <c r="N33" s="43">
        <f>L33-H33</f>
        <v>0</v>
      </c>
      <c r="O33" s="44" t="str">
        <f>IF((H33)=0,"",(N33/H33))</f>
        <v/>
      </c>
    </row>
    <row r="34" spans="1:15">
      <c r="A34" s="45"/>
      <c r="B34" s="47"/>
      <c r="C34" s="35"/>
      <c r="D34" s="36"/>
      <c r="E34" s="35"/>
      <c r="F34" s="46"/>
      <c r="G34" s="38">
        <f t="shared" si="4"/>
        <v>800</v>
      </c>
      <c r="H34" s="39">
        <f>G34*F34</f>
        <v>0</v>
      </c>
      <c r="I34" s="40"/>
      <c r="J34" s="50"/>
      <c r="K34" s="38">
        <f t="shared" si="5"/>
        <v>800</v>
      </c>
      <c r="L34" s="39">
        <f>K34*J34</f>
        <v>0</v>
      </c>
      <c r="M34" s="40"/>
      <c r="N34" s="43">
        <f>L34-H34</f>
        <v>0</v>
      </c>
      <c r="O34" s="44" t="str">
        <f>IF((H34)=0,"",(N34/H34))</f>
        <v/>
      </c>
    </row>
    <row r="35" spans="1:15">
      <c r="A35" s="45"/>
      <c r="B35" s="47"/>
      <c r="C35" s="35"/>
      <c r="D35" s="36"/>
      <c r="E35" s="35"/>
      <c r="F35" s="46"/>
      <c r="G35" s="38">
        <f t="shared" si="4"/>
        <v>800</v>
      </c>
      <c r="H35" s="39">
        <f t="shared" si="0"/>
        <v>0</v>
      </c>
      <c r="I35" s="40"/>
      <c r="J35" s="50"/>
      <c r="K35" s="38">
        <f t="shared" si="5"/>
        <v>800</v>
      </c>
      <c r="L35" s="39">
        <f t="shared" si="1"/>
        <v>0</v>
      </c>
      <c r="M35" s="40"/>
      <c r="N35" s="43">
        <f t="shared" si="2"/>
        <v>0</v>
      </c>
      <c r="O35" s="44" t="str">
        <f t="shared" si="3"/>
        <v/>
      </c>
    </row>
    <row r="36" spans="1:15">
      <c r="A36" s="45"/>
      <c r="B36" s="47"/>
      <c r="C36" s="35"/>
      <c r="D36" s="36"/>
      <c r="E36" s="35"/>
      <c r="F36" s="46"/>
      <c r="G36" s="38">
        <f t="shared" si="4"/>
        <v>800</v>
      </c>
      <c r="H36" s="39">
        <f t="shared" si="0"/>
        <v>0</v>
      </c>
      <c r="I36" s="40"/>
      <c r="J36" s="50"/>
      <c r="K36" s="38">
        <f t="shared" si="5"/>
        <v>800</v>
      </c>
      <c r="L36" s="39">
        <f t="shared" si="1"/>
        <v>0</v>
      </c>
      <c r="M36" s="40"/>
      <c r="N36" s="43">
        <f t="shared" si="2"/>
        <v>0</v>
      </c>
      <c r="O36" s="44" t="str">
        <f t="shared" si="3"/>
        <v/>
      </c>
    </row>
    <row r="37" spans="1:15">
      <c r="A37" s="45"/>
      <c r="B37" s="47"/>
      <c r="C37" s="35"/>
      <c r="D37" s="36"/>
      <c r="E37" s="35"/>
      <c r="F37" s="46"/>
      <c r="G37" s="38">
        <f t="shared" si="4"/>
        <v>800</v>
      </c>
      <c r="H37" s="39">
        <f t="shared" si="0"/>
        <v>0</v>
      </c>
      <c r="I37" s="40"/>
      <c r="J37" s="50"/>
      <c r="K37" s="38">
        <f t="shared" si="5"/>
        <v>800</v>
      </c>
      <c r="L37" s="39">
        <f t="shared" si="1"/>
        <v>0</v>
      </c>
      <c r="M37" s="40"/>
      <c r="N37" s="43">
        <f t="shared" si="2"/>
        <v>0</v>
      </c>
      <c r="O37" s="44" t="str">
        <f t="shared" si="3"/>
        <v/>
      </c>
    </row>
    <row r="38" spans="1:15">
      <c r="A38" s="45"/>
      <c r="B38" s="47"/>
      <c r="C38" s="35"/>
      <c r="D38" s="36"/>
      <c r="E38" s="35"/>
      <c r="F38" s="46"/>
      <c r="G38" s="38">
        <f t="shared" si="4"/>
        <v>800</v>
      </c>
      <c r="H38" s="39">
        <f t="shared" si="0"/>
        <v>0</v>
      </c>
      <c r="I38" s="40"/>
      <c r="J38" s="50"/>
      <c r="K38" s="38">
        <f t="shared" si="5"/>
        <v>800</v>
      </c>
      <c r="L38" s="39">
        <f t="shared" si="1"/>
        <v>0</v>
      </c>
      <c r="M38" s="40"/>
      <c r="N38" s="43">
        <f t="shared" si="2"/>
        <v>0</v>
      </c>
      <c r="O38" s="44" t="str">
        <f t="shared" si="3"/>
        <v/>
      </c>
    </row>
    <row r="39" spans="1:15">
      <c r="A39" s="45"/>
      <c r="B39" s="51" t="s">
        <v>26</v>
      </c>
      <c r="C39" s="52"/>
      <c r="D39" s="53"/>
      <c r="E39" s="52"/>
      <c r="F39" s="54"/>
      <c r="G39" s="55"/>
      <c r="H39" s="56">
        <f>SUM(H23:H38)</f>
        <v>22.990000000000002</v>
      </c>
      <c r="I39" s="57"/>
      <c r="J39" s="58"/>
      <c r="K39" s="59"/>
      <c r="L39" s="56">
        <f>SUM(L23:L38)</f>
        <v>31.856240254920856</v>
      </c>
      <c r="M39" s="57"/>
      <c r="N39" s="60">
        <f t="shared" si="2"/>
        <v>8.8662402549208537</v>
      </c>
      <c r="O39" s="61">
        <f t="shared" si="3"/>
        <v>0.38565638342413455</v>
      </c>
    </row>
    <row r="40" spans="1:15" ht="51">
      <c r="A40" s="62"/>
      <c r="B40" s="47" t="str">
        <f>'[1]J. DVA'!$B$16</f>
        <v>Rate Rider Calculation for Deferral / Variance Accounts Balances (excluding Global Adj.)</v>
      </c>
      <c r="C40" s="35"/>
      <c r="D40" s="63" t="s">
        <v>24</v>
      </c>
      <c r="E40" s="35"/>
      <c r="F40" s="64"/>
      <c r="G40" s="65">
        <f>$F$18</f>
        <v>800</v>
      </c>
      <c r="H40" s="66">
        <f t="shared" ref="H40:H48" si="6">G40*F40</f>
        <v>0</v>
      </c>
      <c r="I40" s="67"/>
      <c r="J40" s="64">
        <f>'[1]J. DVA'!F20</f>
        <v>-8.3191383168094741E-4</v>
      </c>
      <c r="K40" s="65">
        <f t="shared" ref="K40:K46" si="7">$F$18</f>
        <v>800</v>
      </c>
      <c r="L40" s="66">
        <f>K40*J40</f>
        <v>-0.66553106534475792</v>
      </c>
      <c r="M40" s="67"/>
      <c r="N40" s="68">
        <f>L40-H40</f>
        <v>-0.66553106534475792</v>
      </c>
      <c r="O40" s="69" t="str">
        <f t="shared" si="3"/>
        <v/>
      </c>
    </row>
    <row r="41" spans="1:15" ht="51">
      <c r="A41" s="70"/>
      <c r="B41" s="47" t="str">
        <f>'[1]J. DVA'!$B$42</f>
        <v>Rate Rider Calculation for Deferral / Variance Accounts Balances (excluding Global Adj.) - NON-WMP</v>
      </c>
      <c r="C41" s="35"/>
      <c r="D41" s="63" t="s">
        <v>24</v>
      </c>
      <c r="E41" s="35"/>
      <c r="F41" s="64"/>
      <c r="G41" s="65">
        <f t="shared" ref="G41:G45" si="8">$F$18</f>
        <v>800</v>
      </c>
      <c r="H41" s="66">
        <f t="shared" si="6"/>
        <v>0</v>
      </c>
      <c r="I41" s="67"/>
      <c r="J41" s="64">
        <f>'[1]J. DVA'!F46</f>
        <v>-2.646861822728247E-3</v>
      </c>
      <c r="K41" s="65">
        <f t="shared" si="7"/>
        <v>800</v>
      </c>
      <c r="L41" s="66">
        <f t="shared" ref="L41:L45" si="9">K41*J41</f>
        <v>-2.1174894581825976</v>
      </c>
      <c r="M41" s="67"/>
      <c r="N41" s="68">
        <f t="shared" ref="N41:N45" si="10">L41-H41</f>
        <v>-2.1174894581825976</v>
      </c>
      <c r="O41" s="69" t="str">
        <f t="shared" si="3"/>
        <v/>
      </c>
    </row>
    <row r="42" spans="1:15" ht="38.25">
      <c r="A42" s="70"/>
      <c r="B42" s="47" t="str">
        <f>'[1]J. DVA'!$B$68</f>
        <v>Rate Rider Calculation for RSVA - Power - Global Adjustment</v>
      </c>
      <c r="C42" s="35"/>
      <c r="D42" s="63" t="s">
        <v>24</v>
      </c>
      <c r="E42" s="35"/>
      <c r="F42" s="64"/>
      <c r="G42" s="65">
        <f t="shared" si="8"/>
        <v>800</v>
      </c>
      <c r="H42" s="66"/>
      <c r="I42" s="67"/>
      <c r="J42" s="64"/>
      <c r="K42" s="65">
        <f t="shared" si="7"/>
        <v>800</v>
      </c>
      <c r="L42" s="66">
        <f t="shared" si="9"/>
        <v>0</v>
      </c>
      <c r="M42" s="67"/>
      <c r="N42" s="68">
        <f t="shared" si="10"/>
        <v>0</v>
      </c>
      <c r="O42" s="69" t="str">
        <f t="shared" si="3"/>
        <v/>
      </c>
    </row>
    <row r="43" spans="1:15" ht="25.5">
      <c r="A43" s="70"/>
      <c r="B43" s="47" t="str">
        <f>'[1]J. DVA'!$B$121</f>
        <v>Rate Rider Calculation for Group 2 Accounts</v>
      </c>
      <c r="C43" s="35"/>
      <c r="D43" s="63" t="s">
        <v>19</v>
      </c>
      <c r="E43" s="35"/>
      <c r="F43" s="64"/>
      <c r="G43" s="65">
        <f t="shared" si="8"/>
        <v>800</v>
      </c>
      <c r="H43" s="66"/>
      <c r="I43" s="67"/>
      <c r="J43" s="64">
        <f>'[1]J. DVA'!F125</f>
        <v>0.71763615173398432</v>
      </c>
      <c r="K43" s="65">
        <v>1</v>
      </c>
      <c r="L43" s="66">
        <f t="shared" si="9"/>
        <v>0.71763615173398432</v>
      </c>
      <c r="M43" s="67"/>
      <c r="N43" s="68">
        <f t="shared" si="10"/>
        <v>0.71763615173398432</v>
      </c>
      <c r="O43" s="69" t="str">
        <f t="shared" si="3"/>
        <v/>
      </c>
    </row>
    <row r="44" spans="1:15" ht="25.5">
      <c r="A44" s="62"/>
      <c r="B44" s="47" t="str">
        <f>'[1]J. DVA'!$B$147</f>
        <v>Rate Rider Calculation for Accounts 1575 and 1576</v>
      </c>
      <c r="C44" s="35"/>
      <c r="D44" s="63" t="s">
        <v>24</v>
      </c>
      <c r="E44" s="35"/>
      <c r="F44" s="64"/>
      <c r="G44" s="65">
        <f t="shared" si="8"/>
        <v>800</v>
      </c>
      <c r="H44" s="66">
        <f t="shared" si="6"/>
        <v>0</v>
      </c>
      <c r="I44" s="67"/>
      <c r="J44" s="64">
        <f>'[1]J. DVA'!F153</f>
        <v>2.345544481897622E-4</v>
      </c>
      <c r="K44" s="65">
        <f t="shared" si="7"/>
        <v>800</v>
      </c>
      <c r="L44" s="66">
        <f t="shared" si="9"/>
        <v>0.18764355855180975</v>
      </c>
      <c r="M44" s="67"/>
      <c r="N44" s="68">
        <f t="shared" si="10"/>
        <v>0.18764355855180975</v>
      </c>
      <c r="O44" s="69" t="str">
        <f t="shared" si="3"/>
        <v/>
      </c>
    </row>
    <row r="45" spans="1:15" ht="25.5">
      <c r="A45" s="62"/>
      <c r="B45" s="47" t="str">
        <f>'[1]J. DVA'!$B$175</f>
        <v>Rate Rider Calculation for Accounts 1568</v>
      </c>
      <c r="C45" s="35"/>
      <c r="D45" s="63" t="s">
        <v>24</v>
      </c>
      <c r="E45" s="35"/>
      <c r="F45" s="64"/>
      <c r="G45" s="65">
        <f t="shared" si="8"/>
        <v>800</v>
      </c>
      <c r="H45" s="66">
        <f t="shared" si="6"/>
        <v>0</v>
      </c>
      <c r="I45" s="67"/>
      <c r="J45" s="64">
        <f>'[1]J. DVA'!F181</f>
        <v>1.9002491545530963E-4</v>
      </c>
      <c r="K45" s="65">
        <f t="shared" si="7"/>
        <v>800</v>
      </c>
      <c r="L45" s="66">
        <f t="shared" si="9"/>
        <v>0.15201993236424771</v>
      </c>
      <c r="M45" s="67"/>
      <c r="N45" s="68">
        <f t="shared" si="10"/>
        <v>0.15201993236424771</v>
      </c>
      <c r="O45" s="69" t="str">
        <f t="shared" si="3"/>
        <v/>
      </c>
    </row>
    <row r="46" spans="1:15">
      <c r="A46" s="62"/>
      <c r="B46" s="47" t="s">
        <v>27</v>
      </c>
      <c r="C46" s="35"/>
      <c r="D46" s="63" t="s">
        <v>24</v>
      </c>
      <c r="E46" s="35"/>
      <c r="F46" s="64">
        <v>1.1000000000000001E-3</v>
      </c>
      <c r="G46" s="65">
        <f>$F$18</f>
        <v>800</v>
      </c>
      <c r="H46" s="66">
        <f t="shared" si="6"/>
        <v>0.88</v>
      </c>
      <c r="I46" s="67"/>
      <c r="J46" s="64">
        <f>'[2]4.12 PowerSupplExp'!$I$171</f>
        <v>8.0000000000000004E-4</v>
      </c>
      <c r="K46" s="65">
        <f t="shared" si="7"/>
        <v>800</v>
      </c>
      <c r="L46" s="66">
        <f>K46*J46</f>
        <v>0.64</v>
      </c>
      <c r="M46" s="67"/>
      <c r="N46" s="68">
        <f>L46-H46</f>
        <v>-0.24</v>
      </c>
      <c r="O46" s="71">
        <f>IF((H46)=0,"",(N46/H46))</f>
        <v>-0.27272727272727271</v>
      </c>
    </row>
    <row r="47" spans="1:15">
      <c r="A47" s="45"/>
      <c r="B47" s="34" t="s">
        <v>28</v>
      </c>
      <c r="C47" s="35"/>
      <c r="D47" s="63" t="s">
        <v>24</v>
      </c>
      <c r="E47" s="35"/>
      <c r="F47" s="72">
        <f>IF(ISBLANK(D16)=1, 0, IF(D16="TOU", 0.64*$F$57+0.18*$F$58+0.18*$F$59, IF(AND(D16="non-TOU", G61&gt;0), F61,F60)))</f>
        <v>9.5000000000000001E-2</v>
      </c>
      <c r="G47" s="73">
        <f>$F$18*(1+$F$76)-$F$18</f>
        <v>31.199999999999932</v>
      </c>
      <c r="H47" s="66">
        <f t="shared" si="6"/>
        <v>2.9639999999999938</v>
      </c>
      <c r="I47" s="67"/>
      <c r="J47" s="72">
        <f>0.64*$F$57+0.18*$F$58+0.18*$F$59</f>
        <v>9.5000000000000001E-2</v>
      </c>
      <c r="K47" s="73">
        <f>$F$18*(1+$J$76)-$F$18</f>
        <v>36.560000000000059</v>
      </c>
      <c r="L47" s="66">
        <f t="shared" ref="L47:L48" si="11">K47*J47</f>
        <v>3.4732000000000056</v>
      </c>
      <c r="M47" s="67"/>
      <c r="N47" s="68">
        <f t="shared" si="2"/>
        <v>0.50920000000001187</v>
      </c>
      <c r="O47" s="71">
        <f t="shared" si="3"/>
        <v>0.17179487179487615</v>
      </c>
    </row>
    <row r="48" spans="1:15">
      <c r="A48" s="45"/>
      <c r="B48" s="74" t="s">
        <v>29</v>
      </c>
      <c r="C48" s="35"/>
      <c r="D48" s="63" t="s">
        <v>24</v>
      </c>
      <c r="E48" s="35"/>
      <c r="F48" s="75">
        <v>0.79</v>
      </c>
      <c r="G48" s="65">
        <v>1</v>
      </c>
      <c r="H48" s="76">
        <f t="shared" si="6"/>
        <v>0.79</v>
      </c>
      <c r="I48" s="67"/>
      <c r="J48" s="75">
        <v>0.79</v>
      </c>
      <c r="K48" s="65">
        <v>1</v>
      </c>
      <c r="L48" s="76">
        <f t="shared" si="11"/>
        <v>0.79</v>
      </c>
      <c r="M48" s="67"/>
      <c r="N48" s="68">
        <f t="shared" si="2"/>
        <v>0</v>
      </c>
      <c r="O48" s="77"/>
    </row>
    <row r="49" spans="1:20" ht="25.5">
      <c r="B49" s="78" t="s">
        <v>30</v>
      </c>
      <c r="C49" s="79"/>
      <c r="D49" s="79"/>
      <c r="E49" s="79"/>
      <c r="F49" s="80"/>
      <c r="G49" s="81"/>
      <c r="H49" s="82">
        <f>SUM(H40:H48)+H39</f>
        <v>27.623999999999995</v>
      </c>
      <c r="I49" s="57"/>
      <c r="J49" s="81"/>
      <c r="K49" s="83"/>
      <c r="L49" s="82">
        <f>SUM(L40:L48)+L39</f>
        <v>35.03371937404355</v>
      </c>
      <c r="M49" s="57"/>
      <c r="N49" s="60">
        <f t="shared" si="2"/>
        <v>7.4097193740435543</v>
      </c>
      <c r="O49" s="61">
        <f t="shared" ref="O49:O67" si="12">IF((H49)=0,"",(N49/H49))</f>
        <v>0.26823484557064708</v>
      </c>
    </row>
    <row r="50" spans="1:20">
      <c r="B50" s="84" t="s">
        <v>31</v>
      </c>
      <c r="C50" s="40"/>
      <c r="D50" s="85" t="s">
        <v>24</v>
      </c>
      <c r="E50" s="40"/>
      <c r="F50" s="50">
        <f>'[1]B. CurrentTariff'!C45</f>
        <v>6.3E-3</v>
      </c>
      <c r="G50" s="86">
        <f>F18*(1+F76)</f>
        <v>831.19999999999993</v>
      </c>
      <c r="H50" s="39">
        <f>G50*F50</f>
        <v>5.2365599999999999</v>
      </c>
      <c r="I50" s="40"/>
      <c r="J50" s="50">
        <f>'[2]4.12 PowerSupplExp'!$N$58</f>
        <v>6.0321318398108351E-3</v>
      </c>
      <c r="K50" s="87">
        <f>F18*(1+J76)</f>
        <v>836.56000000000006</v>
      </c>
      <c r="L50" s="39">
        <f>K50*J50</f>
        <v>5.0462402119121528</v>
      </c>
      <c r="M50" s="40"/>
      <c r="N50" s="43">
        <f t="shared" si="2"/>
        <v>-0.19031978808784711</v>
      </c>
      <c r="O50" s="44">
        <f t="shared" si="12"/>
        <v>-3.6344429947875533E-2</v>
      </c>
    </row>
    <row r="51" spans="1:20" ht="25.5">
      <c r="B51" s="84" t="s">
        <v>32</v>
      </c>
      <c r="C51" s="40"/>
      <c r="D51" s="85" t="s">
        <v>24</v>
      </c>
      <c r="E51" s="40"/>
      <c r="F51" s="50">
        <f>'[1]B. CurrentTariff'!C46</f>
        <v>4.4999999999999997E-3</v>
      </c>
      <c r="G51" s="86">
        <f>G50</f>
        <v>831.19999999999993</v>
      </c>
      <c r="H51" s="39">
        <f>G51*F51</f>
        <v>3.7403999999999993</v>
      </c>
      <c r="I51" s="40"/>
      <c r="J51" s="50">
        <f>'[2]4.12 PowerSupplExp'!$N$74</f>
        <v>4.5995082603774813E-3</v>
      </c>
      <c r="K51" s="87">
        <f>K50</f>
        <v>836.56000000000006</v>
      </c>
      <c r="L51" s="39">
        <f>K51*J51</f>
        <v>3.8477646303013859</v>
      </c>
      <c r="M51" s="40"/>
      <c r="N51" s="43">
        <f t="shared" si="2"/>
        <v>0.10736463030138665</v>
      </c>
      <c r="O51" s="44">
        <f t="shared" si="12"/>
        <v>2.8704050449520551E-2</v>
      </c>
    </row>
    <row r="52" spans="1:20" ht="25.5">
      <c r="B52" s="78" t="s">
        <v>33</v>
      </c>
      <c r="C52" s="52"/>
      <c r="D52" s="52"/>
      <c r="E52" s="52"/>
      <c r="F52" s="88"/>
      <c r="G52" s="81"/>
      <c r="H52" s="82">
        <f>SUM(H49:H51)</f>
        <v>36.600959999999993</v>
      </c>
      <c r="I52" s="89"/>
      <c r="J52" s="90"/>
      <c r="K52" s="91"/>
      <c r="L52" s="82">
        <f>SUM(L49:L51)</f>
        <v>43.92772421625709</v>
      </c>
      <c r="M52" s="89"/>
      <c r="N52" s="60">
        <f t="shared" si="2"/>
        <v>7.3267642162570965</v>
      </c>
      <c r="O52" s="61">
        <f t="shared" si="12"/>
        <v>0.20017956404031745</v>
      </c>
    </row>
    <row r="53" spans="1:20" ht="25.5">
      <c r="B53" s="34" t="s">
        <v>34</v>
      </c>
      <c r="C53" s="35"/>
      <c r="D53" s="92" t="s">
        <v>24</v>
      </c>
      <c r="E53" s="35"/>
      <c r="F53" s="50">
        <v>4.4000000000000003E-3</v>
      </c>
      <c r="G53" s="86">
        <f>G51</f>
        <v>831.19999999999993</v>
      </c>
      <c r="H53" s="39">
        <f t="shared" ref="H53:H59" si="13">G53*F53</f>
        <v>3.6572800000000001</v>
      </c>
      <c r="I53" s="40"/>
      <c r="J53" s="50">
        <v>4.4000000000000003E-3</v>
      </c>
      <c r="K53" s="87">
        <f>K51</f>
        <v>836.56000000000006</v>
      </c>
      <c r="L53" s="39">
        <f t="shared" ref="L53:L59" si="14">K53*J53</f>
        <v>3.6808640000000006</v>
      </c>
      <c r="M53" s="40"/>
      <c r="N53" s="43">
        <f t="shared" si="2"/>
        <v>2.3584000000000493E-2</v>
      </c>
      <c r="O53" s="44">
        <f t="shared" si="12"/>
        <v>6.4485081809433492E-3</v>
      </c>
    </row>
    <row r="54" spans="1:20" ht="25.5">
      <c r="B54" s="34" t="s">
        <v>35</v>
      </c>
      <c r="C54" s="35"/>
      <c r="D54" s="92" t="s">
        <v>24</v>
      </c>
      <c r="E54" s="35"/>
      <c r="F54" s="50">
        <v>1.1999999999999999E-3</v>
      </c>
      <c r="G54" s="86">
        <f>G51</f>
        <v>831.19999999999993</v>
      </c>
      <c r="H54" s="39">
        <f t="shared" si="13"/>
        <v>0.99743999999999988</v>
      </c>
      <c r="I54" s="40"/>
      <c r="J54" s="50">
        <v>1.1999999999999999E-3</v>
      </c>
      <c r="K54" s="87">
        <f>K51</f>
        <v>836.56000000000006</v>
      </c>
      <c r="L54" s="39">
        <f t="shared" si="14"/>
        <v>1.0038719999999999</v>
      </c>
      <c r="M54" s="40"/>
      <c r="N54" s="43">
        <f t="shared" si="2"/>
        <v>6.4319999999999933E-3</v>
      </c>
      <c r="O54" s="44">
        <f t="shared" si="12"/>
        <v>6.4485081809432087E-3</v>
      </c>
    </row>
    <row r="55" spans="1:20" ht="25.5">
      <c r="B55" s="34" t="s">
        <v>36</v>
      </c>
      <c r="C55" s="35"/>
      <c r="D55" s="92" t="s">
        <v>19</v>
      </c>
      <c r="E55" s="35"/>
      <c r="F55" s="50">
        <v>0.25</v>
      </c>
      <c r="G55" s="38">
        <v>1</v>
      </c>
      <c r="H55" s="39">
        <f t="shared" si="13"/>
        <v>0.25</v>
      </c>
      <c r="I55" s="40"/>
      <c r="J55" s="50">
        <v>0.25</v>
      </c>
      <c r="K55" s="42">
        <v>1</v>
      </c>
      <c r="L55" s="39">
        <f t="shared" si="14"/>
        <v>0.25</v>
      </c>
      <c r="M55" s="40"/>
      <c r="N55" s="43">
        <f t="shared" si="2"/>
        <v>0</v>
      </c>
      <c r="O55" s="44">
        <f t="shared" si="12"/>
        <v>0</v>
      </c>
    </row>
    <row r="56" spans="1:20">
      <c r="B56" s="34" t="s">
        <v>37</v>
      </c>
      <c r="C56" s="35"/>
      <c r="D56" s="92" t="s">
        <v>24</v>
      </c>
      <c r="E56" s="35"/>
      <c r="F56" s="50">
        <v>1.1000000000000001E-3</v>
      </c>
      <c r="G56" s="93">
        <f>F18</f>
        <v>800</v>
      </c>
      <c r="H56" s="39">
        <f t="shared" si="13"/>
        <v>0.88</v>
      </c>
      <c r="I56" s="40"/>
      <c r="J56" s="50">
        <v>1.1000000000000001E-3</v>
      </c>
      <c r="K56" s="94">
        <v>800</v>
      </c>
      <c r="L56" s="39">
        <f t="shared" si="14"/>
        <v>0.88</v>
      </c>
      <c r="M56" s="40"/>
      <c r="N56" s="43">
        <f t="shared" si="2"/>
        <v>0</v>
      </c>
      <c r="O56" s="44">
        <f t="shared" si="12"/>
        <v>0</v>
      </c>
    </row>
    <row r="57" spans="1:20">
      <c r="B57" s="74" t="s">
        <v>38</v>
      </c>
      <c r="C57" s="35"/>
      <c r="D57" s="92" t="s">
        <v>24</v>
      </c>
      <c r="E57" s="35"/>
      <c r="F57" s="95">
        <v>7.6999999999999999E-2</v>
      </c>
      <c r="G57" s="96">
        <f>0.64*$F$18</f>
        <v>512</v>
      </c>
      <c r="H57" s="39">
        <f t="shared" si="13"/>
        <v>39.423999999999999</v>
      </c>
      <c r="I57" s="40"/>
      <c r="J57" s="50">
        <v>7.6999999999999999E-2</v>
      </c>
      <c r="K57" s="96">
        <f>G57</f>
        <v>512</v>
      </c>
      <c r="L57" s="39">
        <f t="shared" si="14"/>
        <v>39.423999999999999</v>
      </c>
      <c r="M57" s="40"/>
      <c r="N57" s="43">
        <f t="shared" si="2"/>
        <v>0</v>
      </c>
      <c r="O57" s="44">
        <f t="shared" si="12"/>
        <v>0</v>
      </c>
      <c r="S57" s="97"/>
    </row>
    <row r="58" spans="1:20">
      <c r="B58" s="74" t="s">
        <v>39</v>
      </c>
      <c r="C58" s="35"/>
      <c r="D58" s="92" t="s">
        <v>24</v>
      </c>
      <c r="E58" s="35"/>
      <c r="F58" s="95">
        <v>0.114</v>
      </c>
      <c r="G58" s="96">
        <f>0.18*$F$18</f>
        <v>144</v>
      </c>
      <c r="H58" s="39">
        <f t="shared" si="13"/>
        <v>16.416</v>
      </c>
      <c r="I58" s="40"/>
      <c r="J58" s="50">
        <v>0.114</v>
      </c>
      <c r="K58" s="96">
        <f>G58</f>
        <v>144</v>
      </c>
      <c r="L58" s="39">
        <f t="shared" si="14"/>
        <v>16.416</v>
      </c>
      <c r="M58" s="40"/>
      <c r="N58" s="43">
        <f t="shared" si="2"/>
        <v>0</v>
      </c>
      <c r="O58" s="44">
        <f t="shared" si="12"/>
        <v>0</v>
      </c>
      <c r="S58" s="97"/>
    </row>
    <row r="59" spans="1:20">
      <c r="B59" s="20" t="s">
        <v>40</v>
      </c>
      <c r="C59" s="35"/>
      <c r="D59" s="92" t="s">
        <v>24</v>
      </c>
      <c r="E59" s="35"/>
      <c r="F59" s="95">
        <v>0.14000000000000001</v>
      </c>
      <c r="G59" s="96">
        <f>0.18*$F$18</f>
        <v>144</v>
      </c>
      <c r="H59" s="39">
        <f t="shared" si="13"/>
        <v>20.160000000000004</v>
      </c>
      <c r="I59" s="40"/>
      <c r="J59" s="50">
        <v>0.14000000000000001</v>
      </c>
      <c r="K59" s="96">
        <f>G59</f>
        <v>144</v>
      </c>
      <c r="L59" s="39">
        <f t="shared" si="14"/>
        <v>20.160000000000004</v>
      </c>
      <c r="M59" s="40"/>
      <c r="N59" s="43">
        <f t="shared" si="2"/>
        <v>0</v>
      </c>
      <c r="O59" s="44">
        <f t="shared" si="12"/>
        <v>0</v>
      </c>
      <c r="S59" s="97"/>
    </row>
    <row r="60" spans="1:20">
      <c r="A60" s="98"/>
      <c r="B60" s="99" t="s">
        <v>41</v>
      </c>
      <c r="C60" s="100"/>
      <c r="D60" s="92" t="s">
        <v>24</v>
      </c>
      <c r="E60" s="100"/>
      <c r="F60" s="95">
        <v>8.5999999999999993E-2</v>
      </c>
      <c r="G60" s="101">
        <f>IF(AND($T$1=1, F18&gt;=600), 600, IF(AND($T$1=1, AND(F18&lt;600, F18&gt;=0)), F18, IF(AND($T$1=2, F18&gt;=1000), 1000, IF(AND($T$1=2, AND(F18&lt;1000, F18&gt;=0)), F18))))</f>
        <v>600</v>
      </c>
      <c r="H60" s="39">
        <f>G60*F60</f>
        <v>51.599999999999994</v>
      </c>
      <c r="I60" s="102"/>
      <c r="J60" s="50">
        <v>8.5999999999999993E-2</v>
      </c>
      <c r="K60" s="101">
        <f>G60</f>
        <v>600</v>
      </c>
      <c r="L60" s="39">
        <f>K60*J60</f>
        <v>51.599999999999994</v>
      </c>
      <c r="M60" s="102"/>
      <c r="N60" s="103">
        <f t="shared" si="2"/>
        <v>0</v>
      </c>
      <c r="O60" s="44">
        <f t="shared" si="12"/>
        <v>0</v>
      </c>
      <c r="P60" s="98"/>
      <c r="Q60" s="98"/>
      <c r="R60" s="98"/>
      <c r="S60" s="98"/>
      <c r="T60" s="98"/>
    </row>
    <row r="61" spans="1:20" ht="15.75" thickBot="1">
      <c r="A61" s="98"/>
      <c r="B61" s="99" t="s">
        <v>42</v>
      </c>
      <c r="C61" s="100"/>
      <c r="D61" s="92" t="s">
        <v>24</v>
      </c>
      <c r="E61" s="100"/>
      <c r="F61" s="95">
        <v>0.10100000000000001</v>
      </c>
      <c r="G61" s="101">
        <f>IF(AND($T$1=1, F18&gt;=600), F18-600, IF(AND($T$1=1, AND(F18&lt;600, F18&gt;=0)), 0, IF(AND($T$1=2, F18&gt;=1000), F18-1000, IF(AND($T$1=2, AND(F18&lt;1000, F18&gt;=0)), 0))))</f>
        <v>200</v>
      </c>
      <c r="H61" s="39">
        <f>G61*F61</f>
        <v>20.200000000000003</v>
      </c>
      <c r="I61" s="102"/>
      <c r="J61" s="50">
        <v>0.10100000000000001</v>
      </c>
      <c r="K61" s="101">
        <f>G61</f>
        <v>200</v>
      </c>
      <c r="L61" s="39">
        <f>K61*J61</f>
        <v>20.200000000000003</v>
      </c>
      <c r="M61" s="102"/>
      <c r="N61" s="103">
        <f t="shared" si="2"/>
        <v>0</v>
      </c>
      <c r="O61" s="44">
        <f t="shared" si="12"/>
        <v>0</v>
      </c>
      <c r="P61" s="98"/>
      <c r="Q61" s="98"/>
      <c r="R61" s="98"/>
      <c r="S61" s="98"/>
      <c r="T61" s="98"/>
    </row>
    <row r="62" spans="1:20" ht="15.75" thickBot="1">
      <c r="B62" s="104"/>
      <c r="C62" s="105"/>
      <c r="D62" s="106"/>
      <c r="E62" s="105"/>
      <c r="F62" s="107"/>
      <c r="G62" s="108"/>
      <c r="H62" s="109"/>
      <c r="I62" s="110"/>
      <c r="J62" s="107"/>
      <c r="K62" s="111"/>
      <c r="L62" s="109"/>
      <c r="M62" s="110"/>
      <c r="N62" s="112"/>
      <c r="O62" s="113"/>
    </row>
    <row r="63" spans="1:20" ht="25.5">
      <c r="B63" s="114" t="s">
        <v>43</v>
      </c>
      <c r="C63" s="35"/>
      <c r="D63" s="35"/>
      <c r="E63" s="35"/>
      <c r="F63" s="115"/>
      <c r="G63" s="116"/>
      <c r="H63" s="117">
        <f>SUM(H53:H59,H52)</f>
        <v>118.38567999999998</v>
      </c>
      <c r="I63" s="118"/>
      <c r="J63" s="119"/>
      <c r="K63" s="119"/>
      <c r="L63" s="117">
        <f>SUM(L53:L59,L52)</f>
        <v>125.7424602162571</v>
      </c>
      <c r="M63" s="120"/>
      <c r="N63" s="121">
        <f>L63-H63</f>
        <v>7.3567802162571212</v>
      </c>
      <c r="O63" s="122">
        <f>IF((H63)=0,"",(N63/H63))</f>
        <v>6.2142483924213829E-2</v>
      </c>
      <c r="S63" s="97"/>
    </row>
    <row r="64" spans="1:20">
      <c r="B64" s="123" t="s">
        <v>44</v>
      </c>
      <c r="C64" s="35"/>
      <c r="D64" s="35"/>
      <c r="E64" s="35"/>
      <c r="F64" s="124">
        <v>0.13</v>
      </c>
      <c r="G64" s="40"/>
      <c r="H64" s="125">
        <f>H63*F64</f>
        <v>15.390138399999998</v>
      </c>
      <c r="I64" s="126"/>
      <c r="J64" s="127">
        <v>0.13</v>
      </c>
      <c r="K64" s="126"/>
      <c r="L64" s="128">
        <f>L63*J64</f>
        <v>16.346519828113422</v>
      </c>
      <c r="M64" s="129"/>
      <c r="N64" s="130">
        <f t="shared" si="2"/>
        <v>0.95638142811342419</v>
      </c>
      <c r="O64" s="44">
        <f t="shared" si="12"/>
        <v>6.2142483924213725E-2</v>
      </c>
      <c r="S64" s="97"/>
    </row>
    <row r="65" spans="1:20">
      <c r="B65" s="131" t="s">
        <v>45</v>
      </c>
      <c r="C65" s="35"/>
      <c r="D65" s="35"/>
      <c r="E65" s="35"/>
      <c r="F65" s="132"/>
      <c r="G65" s="40"/>
      <c r="H65" s="125">
        <f>H63+H64</f>
        <v>133.77581839999999</v>
      </c>
      <c r="I65" s="126"/>
      <c r="J65" s="126"/>
      <c r="K65" s="126"/>
      <c r="L65" s="128">
        <f>L63+L64</f>
        <v>142.08898004437052</v>
      </c>
      <c r="M65" s="129"/>
      <c r="N65" s="130">
        <f t="shared" si="2"/>
        <v>8.3131616443705241</v>
      </c>
      <c r="O65" s="44">
        <f t="shared" si="12"/>
        <v>6.2142483924213648E-2</v>
      </c>
      <c r="S65" s="97"/>
    </row>
    <row r="66" spans="1:20">
      <c r="B66" s="133"/>
      <c r="C66" s="133"/>
      <c r="D66" s="133"/>
      <c r="E66" s="35"/>
      <c r="F66" s="132"/>
      <c r="G66" s="40"/>
      <c r="H66" s="134"/>
      <c r="I66" s="126"/>
      <c r="J66" s="126"/>
      <c r="K66" s="126"/>
      <c r="L66" s="135"/>
      <c r="M66" s="129"/>
      <c r="N66" s="136">
        <f t="shared" si="2"/>
        <v>0</v>
      </c>
      <c r="O66" s="137" t="str">
        <f t="shared" si="12"/>
        <v/>
      </c>
    </row>
    <row r="67" spans="1:20" ht="15.75" thickBot="1">
      <c r="B67" s="138" t="s">
        <v>46</v>
      </c>
      <c r="C67" s="138"/>
      <c r="D67" s="138"/>
      <c r="E67" s="139"/>
      <c r="F67" s="140"/>
      <c r="G67" s="141"/>
      <c r="H67" s="142">
        <f>H65+H66</f>
        <v>133.77581839999999</v>
      </c>
      <c r="I67" s="143"/>
      <c r="J67" s="143"/>
      <c r="K67" s="143"/>
      <c r="L67" s="144">
        <f>L65+L66</f>
        <v>142.08898004437052</v>
      </c>
      <c r="M67" s="145"/>
      <c r="N67" s="146">
        <f t="shared" si="2"/>
        <v>8.3131616443705241</v>
      </c>
      <c r="O67" s="147">
        <f t="shared" si="12"/>
        <v>6.2142483924213648E-2</v>
      </c>
    </row>
    <row r="68" spans="1:20" ht="15.75" thickBot="1">
      <c r="A68" s="98"/>
      <c r="B68" s="148"/>
      <c r="C68" s="149"/>
      <c r="D68" s="150"/>
      <c r="E68" s="149"/>
      <c r="F68" s="107"/>
      <c r="G68" s="151"/>
      <c r="H68" s="109"/>
      <c r="I68" s="152"/>
      <c r="J68" s="107"/>
      <c r="K68" s="153"/>
      <c r="L68" s="109"/>
      <c r="M68" s="152"/>
      <c r="N68" s="154"/>
      <c r="O68" s="113"/>
      <c r="P68" s="98"/>
      <c r="Q68" s="98"/>
      <c r="R68" s="98"/>
      <c r="S68" s="98"/>
      <c r="T68" s="98"/>
    </row>
    <row r="69" spans="1:20" ht="25.5">
      <c r="A69" s="98"/>
      <c r="B69" s="155" t="s">
        <v>47</v>
      </c>
      <c r="C69" s="100"/>
      <c r="D69" s="100"/>
      <c r="E69" s="100"/>
      <c r="F69" s="156"/>
      <c r="G69" s="157"/>
      <c r="H69" s="158">
        <f>SUM(H60:H61,H52,H53:H56)</f>
        <v>114.18567999999999</v>
      </c>
      <c r="I69" s="159"/>
      <c r="J69" s="160"/>
      <c r="K69" s="160"/>
      <c r="L69" s="158">
        <f>SUM(L60:L61,L52,L53:L56)</f>
        <v>121.54246021625708</v>
      </c>
      <c r="M69" s="161"/>
      <c r="N69" s="162">
        <f>L69-H69</f>
        <v>7.3567802162570928</v>
      </c>
      <c r="O69" s="122">
        <f>IF((H69)=0,"",(N69/H69))</f>
        <v>6.4428220914015608E-2</v>
      </c>
      <c r="P69" s="98"/>
      <c r="Q69" s="98"/>
      <c r="R69" s="98"/>
      <c r="S69" s="98"/>
      <c r="T69" s="98"/>
    </row>
    <row r="70" spans="1:20">
      <c r="A70" s="98"/>
      <c r="B70" s="163" t="s">
        <v>44</v>
      </c>
      <c r="C70" s="100"/>
      <c r="D70" s="100"/>
      <c r="E70" s="100"/>
      <c r="F70" s="164">
        <v>0.13</v>
      </c>
      <c r="G70" s="157"/>
      <c r="H70" s="165">
        <f>H69*F70</f>
        <v>14.844138399999999</v>
      </c>
      <c r="I70" s="166"/>
      <c r="J70" s="164">
        <v>0.13</v>
      </c>
      <c r="K70" s="167"/>
      <c r="L70" s="168">
        <f>L69*J70</f>
        <v>15.800519828113421</v>
      </c>
      <c r="M70" s="102"/>
      <c r="N70" s="103">
        <f>L70-H70</f>
        <v>0.95638142811342242</v>
      </c>
      <c r="O70" s="44">
        <f>IF((H70)=0,"",(N70/H70))</f>
        <v>6.4428220914015635E-2</v>
      </c>
      <c r="P70" s="98"/>
      <c r="Q70" s="98"/>
      <c r="R70" s="98"/>
      <c r="S70" s="98"/>
      <c r="T70" s="98"/>
    </row>
    <row r="71" spans="1:20">
      <c r="A71" s="98"/>
      <c r="B71" s="169" t="s">
        <v>45</v>
      </c>
      <c r="C71" s="100"/>
      <c r="D71" s="100"/>
      <c r="E71" s="100"/>
      <c r="F71" s="170"/>
      <c r="G71" s="102"/>
      <c r="H71" s="165">
        <f>H69+H70</f>
        <v>129.02981839999998</v>
      </c>
      <c r="I71" s="166"/>
      <c r="J71" s="166"/>
      <c r="K71" s="166"/>
      <c r="L71" s="168">
        <f>L69+L70</f>
        <v>137.34298004437051</v>
      </c>
      <c r="M71" s="102"/>
      <c r="N71" s="103">
        <f>L71-H71</f>
        <v>8.3131616443705241</v>
      </c>
      <c r="O71" s="44">
        <f>IF((H71)=0,"",(N71/H71))</f>
        <v>6.4428220914015677E-2</v>
      </c>
      <c r="P71" s="98"/>
      <c r="Q71" s="98"/>
      <c r="R71" s="98"/>
      <c r="S71" s="98"/>
      <c r="T71" s="98"/>
    </row>
    <row r="72" spans="1:20">
      <c r="A72" s="98"/>
      <c r="B72" s="171"/>
      <c r="C72" s="171"/>
      <c r="D72" s="171"/>
      <c r="E72" s="100"/>
      <c r="F72" s="170"/>
      <c r="G72" s="102"/>
      <c r="H72" s="172"/>
      <c r="I72" s="166"/>
      <c r="J72" s="166"/>
      <c r="K72" s="166"/>
      <c r="L72" s="173"/>
      <c r="M72" s="102"/>
      <c r="N72" s="174">
        <f>L72-H72</f>
        <v>0</v>
      </c>
      <c r="O72" s="137" t="str">
        <f>IF((H72)=0,"",(N72/H72))</f>
        <v/>
      </c>
      <c r="P72" s="98"/>
      <c r="Q72" s="98"/>
      <c r="R72" s="98"/>
      <c r="S72" s="98"/>
      <c r="T72" s="98"/>
    </row>
    <row r="73" spans="1:20" ht="15.75" thickBot="1">
      <c r="A73" s="98"/>
      <c r="B73" s="175" t="s">
        <v>48</v>
      </c>
      <c r="C73" s="175"/>
      <c r="D73" s="175"/>
      <c r="E73" s="176"/>
      <c r="F73" s="177"/>
      <c r="G73" s="178"/>
      <c r="H73" s="179">
        <f>SUM(H71:H72)</f>
        <v>129.02981839999998</v>
      </c>
      <c r="I73" s="180"/>
      <c r="J73" s="180"/>
      <c r="K73" s="180"/>
      <c r="L73" s="181">
        <f>SUM(L71:L72)</f>
        <v>137.34298004437051</v>
      </c>
      <c r="M73" s="182"/>
      <c r="N73" s="183">
        <f>L73-H73</f>
        <v>8.3131616443705241</v>
      </c>
      <c r="O73" s="184">
        <f>IF((H73)=0,"",(N73/H73))</f>
        <v>6.4428220914015677E-2</v>
      </c>
      <c r="P73" s="98"/>
      <c r="Q73" s="98"/>
      <c r="R73" s="98"/>
      <c r="S73" s="98"/>
      <c r="T73" s="98"/>
    </row>
    <row r="74" spans="1:20" ht="15.75" thickBot="1">
      <c r="A74" s="98"/>
      <c r="B74" s="148"/>
      <c r="C74" s="149"/>
      <c r="D74" s="150"/>
      <c r="E74" s="149"/>
      <c r="F74" s="185"/>
      <c r="G74" s="186"/>
      <c r="H74" s="187"/>
      <c r="I74" s="188"/>
      <c r="J74" s="185"/>
      <c r="K74" s="151"/>
      <c r="L74" s="189"/>
      <c r="M74" s="152"/>
      <c r="N74" s="190"/>
      <c r="O74" s="113"/>
      <c r="P74" s="98"/>
      <c r="Q74" s="98"/>
      <c r="R74" s="98"/>
      <c r="S74" s="98"/>
      <c r="T74" s="98"/>
    </row>
    <row r="75" spans="1:20">
      <c r="L75" s="97"/>
    </row>
    <row r="76" spans="1:20">
      <c r="B76" s="191" t="s">
        <v>49</v>
      </c>
      <c r="F76" s="192">
        <v>3.9E-2</v>
      </c>
      <c r="J76" s="192">
        <v>4.5699999999999998E-2</v>
      </c>
    </row>
    <row r="78" spans="1:20">
      <c r="A78" s="193" t="s">
        <v>50</v>
      </c>
    </row>
    <row r="80" spans="1:20">
      <c r="A80" s="2" t="s">
        <v>51</v>
      </c>
    </row>
    <row r="81" spans="1:2">
      <c r="A81" s="2" t="s">
        <v>52</v>
      </c>
    </row>
    <row r="83" spans="1:2">
      <c r="A83" s="194" t="s">
        <v>53</v>
      </c>
    </row>
    <row r="84" spans="1:2">
      <c r="A84" s="194" t="s">
        <v>54</v>
      </c>
    </row>
    <row r="86" spans="1:2">
      <c r="A86" s="2" t="s">
        <v>55</v>
      </c>
    </row>
    <row r="87" spans="1:2">
      <c r="A87" s="2" t="s">
        <v>56</v>
      </c>
    </row>
    <row r="88" spans="1:2">
      <c r="A88" s="2" t="s">
        <v>57</v>
      </c>
    </row>
    <row r="89" spans="1:2">
      <c r="A89" s="2" t="s">
        <v>58</v>
      </c>
    </row>
    <row r="90" spans="1:2">
      <c r="A90" s="2" t="s">
        <v>59</v>
      </c>
    </row>
    <row r="92" spans="1:2" ht="51.75">
      <c r="A92" s="195"/>
      <c r="B92" s="9" t="s">
        <v>60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workbookViewId="0">
      <selection activeCell="N9" sqref="N9"/>
    </sheetView>
  </sheetViews>
  <sheetFormatPr defaultRowHeight="15"/>
  <cols>
    <col min="1" max="1" width="11.28515625" style="2" customWidth="1"/>
    <col min="2" max="2" width="26.5703125" style="9" customWidth="1"/>
    <col min="3" max="3" width="1.28515625" style="2" customWidth="1"/>
    <col min="4" max="4" width="11.28515625" style="2" customWidth="1"/>
    <col min="5" max="5" width="1.28515625" style="2" customWidth="1"/>
    <col min="6" max="6" width="12.28515625" style="2" customWidth="1"/>
    <col min="7" max="7" width="8.5703125" style="2" customWidth="1"/>
    <col min="8" max="8" width="11.140625" style="2" customWidth="1"/>
    <col min="9" max="9" width="2.85546875" style="2" customWidth="1"/>
    <col min="10" max="10" width="17" style="2" bestFit="1" customWidth="1"/>
    <col min="11" max="11" width="8.5703125" style="2" customWidth="1"/>
    <col min="12" max="12" width="9.7109375" style="2" customWidth="1"/>
    <col min="13" max="13" width="2.85546875" style="2" customWidth="1"/>
    <col min="14" max="14" width="12.7109375" style="2" customWidth="1"/>
    <col min="15" max="15" width="10.85546875" style="2" customWidth="1"/>
    <col min="16" max="16" width="3.85546875" style="2" customWidth="1"/>
    <col min="17" max="18" width="9.140625" style="2"/>
  </cols>
  <sheetData>
    <row r="1" spans="1:18" ht="2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</row>
    <row r="2" spans="1:18" ht="18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4"/>
    </row>
    <row r="3" spans="1:18" ht="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/>
      <c r="O3" s="4"/>
    </row>
    <row r="4" spans="1:18" ht="18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4"/>
    </row>
    <row r="5" spans="1:18" ht="15.75">
      <c r="C5" s="10"/>
      <c r="D5" s="10"/>
      <c r="E5" s="10"/>
      <c r="N5" s="3"/>
      <c r="O5" s="4"/>
    </row>
    <row r="6" spans="1:18">
      <c r="N6" s="3"/>
      <c r="O6" s="11"/>
    </row>
    <row r="7" spans="1:18">
      <c r="N7" s="3"/>
      <c r="O7" s="4"/>
    </row>
    <row r="10" spans="1:18" ht="23.25">
      <c r="A10" s="12"/>
      <c r="B10" s="13" t="s"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  <c r="R10" s="12"/>
    </row>
    <row r="11" spans="1:18" ht="18">
      <c r="B11" s="14" t="s">
        <v>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4" spans="1:18" ht="15.75">
      <c r="B14" s="15" t="s">
        <v>2</v>
      </c>
      <c r="D14" s="16" t="s">
        <v>61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8" ht="15.75">
      <c r="B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8" ht="15.75">
      <c r="B16" s="15" t="s">
        <v>4</v>
      </c>
      <c r="D16" s="19" t="s">
        <v>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 ht="15.75">
      <c r="B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>
      <c r="B18" s="20"/>
      <c r="D18" s="21" t="s">
        <v>6</v>
      </c>
      <c r="E18" s="21"/>
      <c r="F18" s="22">
        <v>2000</v>
      </c>
      <c r="G18" s="21" t="s">
        <v>7</v>
      </c>
    </row>
    <row r="19" spans="1:15">
      <c r="B19" s="20"/>
    </row>
    <row r="20" spans="1:15">
      <c r="B20" s="20"/>
      <c r="D20" s="23"/>
      <c r="E20" s="23"/>
      <c r="F20" s="24" t="s">
        <v>8</v>
      </c>
      <c r="G20" s="24"/>
      <c r="H20" s="24"/>
      <c r="J20" s="24" t="s">
        <v>9</v>
      </c>
      <c r="K20" s="24"/>
      <c r="L20" s="24"/>
      <c r="N20" s="24" t="s">
        <v>10</v>
      </c>
      <c r="O20" s="24"/>
    </row>
    <row r="21" spans="1:15">
      <c r="B21" s="20"/>
      <c r="D21" s="25" t="s">
        <v>11</v>
      </c>
      <c r="E21" s="26"/>
      <c r="F21" s="27" t="s">
        <v>12</v>
      </c>
      <c r="G21" s="27" t="s">
        <v>13</v>
      </c>
      <c r="H21" s="28" t="s">
        <v>14</v>
      </c>
      <c r="J21" s="27" t="s">
        <v>12</v>
      </c>
      <c r="K21" s="29" t="s">
        <v>13</v>
      </c>
      <c r="L21" s="28" t="s">
        <v>14</v>
      </c>
      <c r="N21" s="30" t="s">
        <v>15</v>
      </c>
      <c r="O21" s="31" t="s">
        <v>16</v>
      </c>
    </row>
    <row r="22" spans="1:15">
      <c r="B22" s="20"/>
      <c r="D22" s="25"/>
      <c r="E22" s="26"/>
      <c r="F22" s="32" t="s">
        <v>17</v>
      </c>
      <c r="G22" s="32"/>
      <c r="H22" s="33" t="s">
        <v>17</v>
      </c>
      <c r="J22" s="32" t="s">
        <v>17</v>
      </c>
      <c r="K22" s="33"/>
      <c r="L22" s="33" t="s">
        <v>17</v>
      </c>
      <c r="N22" s="30"/>
      <c r="O22" s="31"/>
    </row>
    <row r="23" spans="1:15">
      <c r="B23" s="34" t="s">
        <v>18</v>
      </c>
      <c r="C23" s="35"/>
      <c r="D23" s="36" t="s">
        <v>19</v>
      </c>
      <c r="E23" s="35"/>
      <c r="F23" s="37">
        <f>'[1]B. CurrentTariff'!C53</f>
        <v>22.97</v>
      </c>
      <c r="G23" s="38">
        <v>1</v>
      </c>
      <c r="H23" s="39">
        <f>G23*F23</f>
        <v>22.97</v>
      </c>
      <c r="I23" s="40"/>
      <c r="J23" s="41">
        <f>'[1]G. RateDesign'!B47</f>
        <v>27.35</v>
      </c>
      <c r="K23" s="42">
        <v>1</v>
      </c>
      <c r="L23" s="39">
        <f>K23*J23</f>
        <v>27.35</v>
      </c>
      <c r="M23" s="40"/>
      <c r="N23" s="43">
        <f>L23-H23</f>
        <v>4.3800000000000026</v>
      </c>
      <c r="O23" s="44">
        <f>IF((H23)=0,"",(N23/H23))</f>
        <v>0.19068350021767536</v>
      </c>
    </row>
    <row r="24" spans="1:15">
      <c r="A24" s="45"/>
      <c r="B24" s="34" t="s">
        <v>20</v>
      </c>
      <c r="C24" s="35"/>
      <c r="D24" s="36"/>
      <c r="E24" s="35"/>
      <c r="F24" s="46"/>
      <c r="G24" s="38">
        <v>1</v>
      </c>
      <c r="H24" s="39">
        <f t="shared" ref="H24:H38" si="0">G24*F24</f>
        <v>0</v>
      </c>
      <c r="I24" s="40"/>
      <c r="J24" s="41"/>
      <c r="K24" s="42">
        <v>1</v>
      </c>
      <c r="L24" s="39">
        <f>K24*J24</f>
        <v>0</v>
      </c>
      <c r="M24" s="40"/>
      <c r="N24" s="43">
        <f>L24-H24</f>
        <v>0</v>
      </c>
      <c r="O24" s="44" t="str">
        <f>IF((H24)=0,"",(N24/H24))</f>
        <v/>
      </c>
    </row>
    <row r="25" spans="1:15">
      <c r="A25" s="45"/>
      <c r="B25" s="47" t="s">
        <v>21</v>
      </c>
      <c r="C25" s="35"/>
      <c r="D25" s="36" t="s">
        <v>19</v>
      </c>
      <c r="E25" s="35"/>
      <c r="F25" s="46"/>
      <c r="G25" s="38">
        <v>1</v>
      </c>
      <c r="H25" s="39">
        <f t="shared" si="0"/>
        <v>0</v>
      </c>
      <c r="I25" s="40"/>
      <c r="J25" s="41">
        <f>'[1]I. SMRR'!G14</f>
        <v>2.8831970487551146</v>
      </c>
      <c r="K25" s="42">
        <v>1</v>
      </c>
      <c r="L25" s="39">
        <f t="shared" ref="L25:L38" si="1">K25*J25</f>
        <v>2.8831970487551146</v>
      </c>
      <c r="M25" s="40"/>
      <c r="N25" s="43">
        <f t="shared" ref="N25:N67" si="2">L25-H25</f>
        <v>2.8831970487551146</v>
      </c>
      <c r="O25" s="44" t="str">
        <f t="shared" ref="O25:O47" si="3">IF((H25)=0,"",(N25/H25))</f>
        <v/>
      </c>
    </row>
    <row r="26" spans="1:15">
      <c r="A26" s="45"/>
      <c r="B26" s="48" t="s">
        <v>22</v>
      </c>
      <c r="C26" s="35"/>
      <c r="D26" s="36" t="s">
        <v>19</v>
      </c>
      <c r="E26" s="35"/>
      <c r="F26" s="46"/>
      <c r="G26" s="38">
        <v>1</v>
      </c>
      <c r="H26" s="39">
        <f t="shared" si="0"/>
        <v>0</v>
      </c>
      <c r="I26" s="40"/>
      <c r="J26" s="41">
        <v>8.82</v>
      </c>
      <c r="K26" s="42">
        <v>1</v>
      </c>
      <c r="L26" s="39">
        <f t="shared" si="1"/>
        <v>8.82</v>
      </c>
      <c r="M26" s="40"/>
      <c r="N26" s="43">
        <f t="shared" si="2"/>
        <v>8.82</v>
      </c>
      <c r="O26" s="44" t="str">
        <f t="shared" si="3"/>
        <v/>
      </c>
    </row>
    <row r="27" spans="1:15">
      <c r="A27" s="45"/>
      <c r="B27" s="49"/>
      <c r="C27" s="35"/>
      <c r="D27" s="36"/>
      <c r="E27" s="35"/>
      <c r="F27" s="46"/>
      <c r="G27" s="38">
        <v>1</v>
      </c>
      <c r="H27" s="39">
        <f t="shared" si="0"/>
        <v>0</v>
      </c>
      <c r="I27" s="40"/>
      <c r="J27" s="50"/>
      <c r="K27" s="42">
        <v>1</v>
      </c>
      <c r="L27" s="39">
        <f t="shared" si="1"/>
        <v>0</v>
      </c>
      <c r="M27" s="40"/>
      <c r="N27" s="43">
        <f t="shared" si="2"/>
        <v>0</v>
      </c>
      <c r="O27" s="44" t="str">
        <f t="shared" si="3"/>
        <v/>
      </c>
    </row>
    <row r="28" spans="1:15">
      <c r="A28" s="45"/>
      <c r="B28" s="49"/>
      <c r="C28" s="35"/>
      <c r="D28" s="36"/>
      <c r="E28" s="35"/>
      <c r="F28" s="46"/>
      <c r="G28" s="38">
        <v>1</v>
      </c>
      <c r="H28" s="39">
        <f t="shared" si="0"/>
        <v>0</v>
      </c>
      <c r="I28" s="40"/>
      <c r="J28" s="50"/>
      <c r="K28" s="42">
        <v>1</v>
      </c>
      <c r="L28" s="39">
        <f t="shared" si="1"/>
        <v>0</v>
      </c>
      <c r="M28" s="40"/>
      <c r="N28" s="43">
        <f t="shared" si="2"/>
        <v>0</v>
      </c>
      <c r="O28" s="44" t="str">
        <f t="shared" si="3"/>
        <v/>
      </c>
    </row>
    <row r="29" spans="1:15">
      <c r="A29" s="45"/>
      <c r="B29" s="34" t="s">
        <v>23</v>
      </c>
      <c r="C29" s="35"/>
      <c r="D29" s="36" t="s">
        <v>24</v>
      </c>
      <c r="E29" s="35"/>
      <c r="F29" s="46">
        <f>'[1]B. CurrentTariff'!C54</f>
        <v>1.0500000000000001E-2</v>
      </c>
      <c r="G29" s="38">
        <f t="shared" ref="G29:G38" si="4">$F$18</f>
        <v>2000</v>
      </c>
      <c r="H29" s="39">
        <f t="shared" si="0"/>
        <v>21</v>
      </c>
      <c r="I29" s="40"/>
      <c r="J29" s="50">
        <f>'[1]G. RateDesign'!G47</f>
        <v>1.2505744509040779E-2</v>
      </c>
      <c r="K29" s="38">
        <f>$F$18</f>
        <v>2000</v>
      </c>
      <c r="L29" s="39">
        <f t="shared" si="1"/>
        <v>25.011489018081559</v>
      </c>
      <c r="M29" s="40"/>
      <c r="N29" s="43">
        <f t="shared" si="2"/>
        <v>4.0114890180815586</v>
      </c>
      <c r="O29" s="44">
        <f t="shared" si="3"/>
        <v>0.19102328657531231</v>
      </c>
    </row>
    <row r="30" spans="1:15">
      <c r="A30" s="45"/>
      <c r="B30" s="34" t="s">
        <v>22</v>
      </c>
      <c r="C30" s="35"/>
      <c r="D30" s="36" t="s">
        <v>24</v>
      </c>
      <c r="E30" s="35"/>
      <c r="F30" s="46"/>
      <c r="G30" s="38">
        <f t="shared" si="4"/>
        <v>2000</v>
      </c>
      <c r="H30" s="39">
        <f t="shared" si="0"/>
        <v>0</v>
      </c>
      <c r="I30" s="40"/>
      <c r="J30" s="50"/>
      <c r="K30" s="38">
        <f t="shared" ref="K30:K38" si="5">$F$18</f>
        <v>2000</v>
      </c>
      <c r="L30" s="39">
        <f t="shared" si="1"/>
        <v>0</v>
      </c>
      <c r="M30" s="40"/>
      <c r="N30" s="43">
        <f t="shared" si="2"/>
        <v>0</v>
      </c>
      <c r="O30" s="44" t="str">
        <f t="shared" si="3"/>
        <v/>
      </c>
    </row>
    <row r="31" spans="1:15">
      <c r="A31" s="45"/>
      <c r="B31" s="34" t="s">
        <v>25</v>
      </c>
      <c r="C31" s="35"/>
      <c r="D31" s="36" t="s">
        <v>24</v>
      </c>
      <c r="E31" s="35"/>
      <c r="F31" s="46"/>
      <c r="G31" s="38">
        <f t="shared" si="4"/>
        <v>2000</v>
      </c>
      <c r="H31" s="39">
        <f t="shared" si="0"/>
        <v>0</v>
      </c>
      <c r="I31" s="40"/>
      <c r="J31" s="50"/>
      <c r="K31" s="38">
        <f t="shared" si="5"/>
        <v>2000</v>
      </c>
      <c r="L31" s="39">
        <f t="shared" si="1"/>
        <v>0</v>
      </c>
      <c r="M31" s="40"/>
      <c r="N31" s="43">
        <f t="shared" si="2"/>
        <v>0</v>
      </c>
      <c r="O31" s="44" t="str">
        <f t="shared" si="3"/>
        <v/>
      </c>
    </row>
    <row r="32" spans="1:15">
      <c r="A32" s="45"/>
      <c r="B32" s="47"/>
      <c r="C32" s="35"/>
      <c r="D32" s="36"/>
      <c r="E32" s="35"/>
      <c r="F32" s="46"/>
      <c r="G32" s="38">
        <f t="shared" si="4"/>
        <v>2000</v>
      </c>
      <c r="H32" s="39">
        <f>G32*F32</f>
        <v>0</v>
      </c>
      <c r="I32" s="40"/>
      <c r="J32" s="50"/>
      <c r="K32" s="38">
        <f t="shared" si="5"/>
        <v>2000</v>
      </c>
      <c r="L32" s="39">
        <f>K32*J32</f>
        <v>0</v>
      </c>
      <c r="M32" s="40"/>
      <c r="N32" s="43">
        <f>L32-H32</f>
        <v>0</v>
      </c>
      <c r="O32" s="44" t="str">
        <f>IF((H32)=0,"",(N32/H32))</f>
        <v/>
      </c>
    </row>
    <row r="33" spans="1:15">
      <c r="A33" s="45"/>
      <c r="B33" s="47"/>
      <c r="C33" s="35"/>
      <c r="D33" s="36"/>
      <c r="E33" s="35"/>
      <c r="F33" s="46"/>
      <c r="G33" s="38">
        <f t="shared" si="4"/>
        <v>2000</v>
      </c>
      <c r="H33" s="39">
        <f>G33*F33</f>
        <v>0</v>
      </c>
      <c r="I33" s="40"/>
      <c r="J33" s="50"/>
      <c r="K33" s="38">
        <f t="shared" si="5"/>
        <v>2000</v>
      </c>
      <c r="L33" s="39">
        <f>K33*J33</f>
        <v>0</v>
      </c>
      <c r="M33" s="40"/>
      <c r="N33" s="43">
        <f>L33-H33</f>
        <v>0</v>
      </c>
      <c r="O33" s="44" t="str">
        <f>IF((H33)=0,"",(N33/H33))</f>
        <v/>
      </c>
    </row>
    <row r="34" spans="1:15">
      <c r="A34" s="45"/>
      <c r="B34" s="47"/>
      <c r="C34" s="35"/>
      <c r="D34" s="36"/>
      <c r="E34" s="35"/>
      <c r="F34" s="46"/>
      <c r="G34" s="38">
        <f t="shared" si="4"/>
        <v>2000</v>
      </c>
      <c r="H34" s="39">
        <f>G34*F34</f>
        <v>0</v>
      </c>
      <c r="I34" s="40"/>
      <c r="J34" s="50"/>
      <c r="K34" s="38">
        <f t="shared" si="5"/>
        <v>2000</v>
      </c>
      <c r="L34" s="39">
        <f>K34*J34</f>
        <v>0</v>
      </c>
      <c r="M34" s="40"/>
      <c r="N34" s="43">
        <f>L34-H34</f>
        <v>0</v>
      </c>
      <c r="O34" s="44" t="str">
        <f>IF((H34)=0,"",(N34/H34))</f>
        <v/>
      </c>
    </row>
    <row r="35" spans="1:15">
      <c r="A35" s="45"/>
      <c r="B35" s="47"/>
      <c r="C35" s="35"/>
      <c r="D35" s="36"/>
      <c r="E35" s="35"/>
      <c r="F35" s="46"/>
      <c r="G35" s="38">
        <f t="shared" si="4"/>
        <v>2000</v>
      </c>
      <c r="H35" s="39">
        <f t="shared" si="0"/>
        <v>0</v>
      </c>
      <c r="I35" s="40"/>
      <c r="J35" s="50"/>
      <c r="K35" s="38">
        <f t="shared" si="5"/>
        <v>2000</v>
      </c>
      <c r="L35" s="39">
        <f t="shared" si="1"/>
        <v>0</v>
      </c>
      <c r="M35" s="40"/>
      <c r="N35" s="43">
        <f t="shared" si="2"/>
        <v>0</v>
      </c>
      <c r="O35" s="44" t="str">
        <f t="shared" si="3"/>
        <v/>
      </c>
    </row>
    <row r="36" spans="1:15">
      <c r="A36" s="45"/>
      <c r="B36" s="47"/>
      <c r="C36" s="35"/>
      <c r="D36" s="36"/>
      <c r="E36" s="35"/>
      <c r="F36" s="46"/>
      <c r="G36" s="38">
        <f t="shared" si="4"/>
        <v>2000</v>
      </c>
      <c r="H36" s="39">
        <f t="shared" si="0"/>
        <v>0</v>
      </c>
      <c r="I36" s="40"/>
      <c r="J36" s="50"/>
      <c r="K36" s="38">
        <f t="shared" si="5"/>
        <v>2000</v>
      </c>
      <c r="L36" s="39">
        <f t="shared" si="1"/>
        <v>0</v>
      </c>
      <c r="M36" s="40"/>
      <c r="N36" s="43">
        <f t="shared" si="2"/>
        <v>0</v>
      </c>
      <c r="O36" s="44" t="str">
        <f t="shared" si="3"/>
        <v/>
      </c>
    </row>
    <row r="37" spans="1:15">
      <c r="A37" s="45"/>
      <c r="B37" s="47"/>
      <c r="C37" s="35"/>
      <c r="D37" s="36"/>
      <c r="E37" s="35"/>
      <c r="F37" s="46"/>
      <c r="G37" s="38">
        <f t="shared" si="4"/>
        <v>2000</v>
      </c>
      <c r="H37" s="39">
        <f t="shared" si="0"/>
        <v>0</v>
      </c>
      <c r="I37" s="40"/>
      <c r="J37" s="50"/>
      <c r="K37" s="38">
        <f t="shared" si="5"/>
        <v>2000</v>
      </c>
      <c r="L37" s="39">
        <f t="shared" si="1"/>
        <v>0</v>
      </c>
      <c r="M37" s="40"/>
      <c r="N37" s="43">
        <f t="shared" si="2"/>
        <v>0</v>
      </c>
      <c r="O37" s="44" t="str">
        <f t="shared" si="3"/>
        <v/>
      </c>
    </row>
    <row r="38" spans="1:15">
      <c r="A38" s="45"/>
      <c r="B38" s="47"/>
      <c r="C38" s="35"/>
      <c r="D38" s="36"/>
      <c r="E38" s="35"/>
      <c r="F38" s="46"/>
      <c r="G38" s="38">
        <f t="shared" si="4"/>
        <v>2000</v>
      </c>
      <c r="H38" s="39">
        <f t="shared" si="0"/>
        <v>0</v>
      </c>
      <c r="I38" s="40"/>
      <c r="J38" s="50"/>
      <c r="K38" s="38">
        <f t="shared" si="5"/>
        <v>2000</v>
      </c>
      <c r="L38" s="39">
        <f t="shared" si="1"/>
        <v>0</v>
      </c>
      <c r="M38" s="40"/>
      <c r="N38" s="43">
        <f t="shared" si="2"/>
        <v>0</v>
      </c>
      <c r="O38" s="44" t="str">
        <f t="shared" si="3"/>
        <v/>
      </c>
    </row>
    <row r="39" spans="1:15">
      <c r="A39" s="45"/>
      <c r="B39" s="51" t="s">
        <v>26</v>
      </c>
      <c r="C39" s="52"/>
      <c r="D39" s="53"/>
      <c r="E39" s="52"/>
      <c r="F39" s="54"/>
      <c r="G39" s="55"/>
      <c r="H39" s="56">
        <f>SUM(H23:H38)</f>
        <v>43.97</v>
      </c>
      <c r="I39" s="57"/>
      <c r="J39" s="58"/>
      <c r="K39" s="59"/>
      <c r="L39" s="56">
        <f>SUM(L23:L38)</f>
        <v>64.064686066836671</v>
      </c>
      <c r="M39" s="57"/>
      <c r="N39" s="60">
        <f t="shared" si="2"/>
        <v>20.094686066836672</v>
      </c>
      <c r="O39" s="61">
        <f t="shared" si="3"/>
        <v>0.4570090076606021</v>
      </c>
    </row>
    <row r="40" spans="1:15" ht="51">
      <c r="A40" s="62"/>
      <c r="B40" s="47" t="str">
        <f>'[1]J. DVA'!$B$16</f>
        <v>Rate Rider Calculation for Deferral / Variance Accounts Balances (excluding Global Adj.)</v>
      </c>
      <c r="C40" s="35"/>
      <c r="D40" s="63" t="s">
        <v>24</v>
      </c>
      <c r="E40" s="35"/>
      <c r="F40" s="64"/>
      <c r="G40" s="65">
        <f>$F$18</f>
        <v>2000</v>
      </c>
      <c r="H40" s="66">
        <f t="shared" ref="H40:H48" si="6">G40*F40</f>
        <v>0</v>
      </c>
      <c r="I40" s="67"/>
      <c r="J40" s="64">
        <f>'[1]J. DVA'!F21</f>
        <v>-8.2471767600577684E-4</v>
      </c>
      <c r="K40" s="65">
        <f t="shared" ref="K40:K46" si="7">$F$18</f>
        <v>2000</v>
      </c>
      <c r="L40" s="66">
        <f t="shared" ref="L40:L48" si="8">K40*J40</f>
        <v>-1.6494353520115537</v>
      </c>
      <c r="M40" s="67"/>
      <c r="N40" s="68">
        <f>L40-H40</f>
        <v>-1.6494353520115537</v>
      </c>
      <c r="O40" s="71" t="str">
        <f>IF((H40)=0,"",(N40/H40))</f>
        <v/>
      </c>
    </row>
    <row r="41" spans="1:15" ht="51">
      <c r="A41" s="70"/>
      <c r="B41" s="47" t="str">
        <f>'[1]J. DVA'!$B$42</f>
        <v>Rate Rider Calculation for Deferral / Variance Accounts Balances (excluding Global Adj.) - NON-WMP</v>
      </c>
      <c r="C41" s="35"/>
      <c r="D41" s="63" t="s">
        <v>24</v>
      </c>
      <c r="E41" s="35"/>
      <c r="F41" s="64"/>
      <c r="G41" s="65">
        <f>$F$18</f>
        <v>2000</v>
      </c>
      <c r="H41" s="66">
        <f t="shared" si="6"/>
        <v>0</v>
      </c>
      <c r="I41" s="67"/>
      <c r="J41" s="64">
        <f>'[1]J. DVA'!F47</f>
        <v>-2.646861822728247E-3</v>
      </c>
      <c r="K41" s="65">
        <f t="shared" si="7"/>
        <v>2000</v>
      </c>
      <c r="L41" s="66">
        <f t="shared" si="8"/>
        <v>-5.2937236454564935</v>
      </c>
      <c r="M41" s="67"/>
      <c r="N41" s="68">
        <f>L41-H41</f>
        <v>-5.2937236454564935</v>
      </c>
      <c r="O41" s="71" t="str">
        <f>IF((H41)=0,"",(N41/H41))</f>
        <v/>
      </c>
    </row>
    <row r="42" spans="1:15" ht="38.25">
      <c r="A42" s="70"/>
      <c r="B42" s="47" t="str">
        <f>'[1]J. DVA'!$B$68</f>
        <v>Rate Rider Calculation for RSVA - Power - Global Adjustment</v>
      </c>
      <c r="C42" s="35"/>
      <c r="D42" s="63"/>
      <c r="E42" s="35"/>
      <c r="F42" s="64"/>
      <c r="G42" s="65">
        <f t="shared" ref="G42:G43" si="9">$F$18</f>
        <v>2000</v>
      </c>
      <c r="H42" s="66"/>
      <c r="I42" s="67"/>
      <c r="J42" s="64">
        <v>0</v>
      </c>
      <c r="K42" s="65">
        <f t="shared" si="7"/>
        <v>2000</v>
      </c>
      <c r="L42" s="66">
        <f t="shared" si="8"/>
        <v>0</v>
      </c>
      <c r="M42" s="67"/>
      <c r="N42" s="68">
        <f t="shared" ref="N42:N43" si="10">L42-H42</f>
        <v>0</v>
      </c>
      <c r="O42" s="71"/>
    </row>
    <row r="43" spans="1:15" ht="25.5">
      <c r="A43" s="70"/>
      <c r="B43" s="47" t="str">
        <f>'[1]J. DVA'!$B$121</f>
        <v>Rate Rider Calculation for Group 2 Accounts</v>
      </c>
      <c r="C43" s="35"/>
      <c r="D43" s="63"/>
      <c r="E43" s="35"/>
      <c r="F43" s="64"/>
      <c r="G43" s="65">
        <f t="shared" si="9"/>
        <v>2000</v>
      </c>
      <c r="H43" s="66"/>
      <c r="I43" s="67"/>
      <c r="J43" s="64">
        <f>'[1]J. DVA'!F126</f>
        <v>8.0305657896044972E-5</v>
      </c>
      <c r="K43" s="65">
        <f t="shared" si="7"/>
        <v>2000</v>
      </c>
      <c r="L43" s="66">
        <f t="shared" si="8"/>
        <v>0.16061131579208995</v>
      </c>
      <c r="M43" s="67"/>
      <c r="N43" s="68">
        <f t="shared" si="10"/>
        <v>0.16061131579208995</v>
      </c>
      <c r="O43" s="71"/>
    </row>
    <row r="44" spans="1:15" ht="25.5">
      <c r="A44" s="62"/>
      <c r="B44" s="47" t="str">
        <f>'[1]J. DVA'!$B$147</f>
        <v>Rate Rider Calculation for Accounts 1575 and 1576</v>
      </c>
      <c r="C44" s="35"/>
      <c r="D44" s="63" t="s">
        <v>24</v>
      </c>
      <c r="E44" s="35"/>
      <c r="F44" s="64"/>
      <c r="G44" s="65">
        <f>$F$18</f>
        <v>2000</v>
      </c>
      <c r="H44" s="66">
        <f t="shared" si="6"/>
        <v>0</v>
      </c>
      <c r="I44" s="67"/>
      <c r="J44" s="64">
        <f>'[1]J. DVA'!F154</f>
        <v>2.3455444818976223E-4</v>
      </c>
      <c r="K44" s="65">
        <f t="shared" si="7"/>
        <v>2000</v>
      </c>
      <c r="L44" s="66">
        <f t="shared" si="8"/>
        <v>0.46910889637952446</v>
      </c>
      <c r="M44" s="67"/>
      <c r="N44" s="68">
        <f>L44-H44</f>
        <v>0.46910889637952446</v>
      </c>
      <c r="O44" s="71" t="str">
        <f>IF((H44)=0,"",(N44/H44))</f>
        <v/>
      </c>
    </row>
    <row r="45" spans="1:15" ht="25.5">
      <c r="A45" s="62"/>
      <c r="B45" s="47" t="str">
        <f>'[1]J. DVA'!$B$175</f>
        <v>Rate Rider Calculation for Accounts 1568</v>
      </c>
      <c r="C45" s="35"/>
      <c r="D45" s="63" t="s">
        <v>24</v>
      </c>
      <c r="E45" s="35"/>
      <c r="F45" s="64"/>
      <c r="G45" s="65">
        <f>$F$18</f>
        <v>2000</v>
      </c>
      <c r="H45" s="66">
        <f t="shared" si="6"/>
        <v>0</v>
      </c>
      <c r="I45" s="67"/>
      <c r="J45" s="64">
        <f>'[1]J. DVA'!F182</f>
        <v>6.2210617557952952E-4</v>
      </c>
      <c r="K45" s="65">
        <f t="shared" si="7"/>
        <v>2000</v>
      </c>
      <c r="L45" s="66">
        <f t="shared" si="8"/>
        <v>1.244212351159059</v>
      </c>
      <c r="M45" s="67"/>
      <c r="N45" s="68">
        <f>L45-H45</f>
        <v>1.244212351159059</v>
      </c>
      <c r="O45" s="71" t="str">
        <f>IF((H45)=0,"",(N45/H45))</f>
        <v/>
      </c>
    </row>
    <row r="46" spans="1:15">
      <c r="A46" s="62" t="s">
        <v>62</v>
      </c>
      <c r="B46" s="47" t="s">
        <v>27</v>
      </c>
      <c r="C46" s="35"/>
      <c r="D46" s="63" t="s">
        <v>24</v>
      </c>
      <c r="E46" s="35"/>
      <c r="F46" s="64">
        <v>1E-3</v>
      </c>
      <c r="G46" s="65">
        <f>$F$18</f>
        <v>2000</v>
      </c>
      <c r="H46" s="66">
        <f t="shared" si="6"/>
        <v>2</v>
      </c>
      <c r="I46" s="67"/>
      <c r="J46" s="64">
        <f>'[2]4.12 PowerSupplExp'!$I$172</f>
        <v>6.9999999999999999E-4</v>
      </c>
      <c r="K46" s="65">
        <f t="shared" si="7"/>
        <v>2000</v>
      </c>
      <c r="L46" s="66">
        <f t="shared" si="8"/>
        <v>1.4</v>
      </c>
      <c r="M46" s="67"/>
      <c r="N46" s="68">
        <f>L46-H46</f>
        <v>-0.60000000000000009</v>
      </c>
      <c r="O46" s="71">
        <f>IF((H46)=0,"",(N46/H46))</f>
        <v>-0.30000000000000004</v>
      </c>
    </row>
    <row r="47" spans="1:15">
      <c r="A47" s="45"/>
      <c r="B47" s="34" t="s">
        <v>28</v>
      </c>
      <c r="C47" s="35"/>
      <c r="D47" s="63" t="s">
        <v>24</v>
      </c>
      <c r="E47" s="35"/>
      <c r="F47" s="72">
        <f>IF(ISBLANK(D16)=1, 0, IF(D16="TOU", 0.64*$F$57+0.18*$F$58+0.18*$F$59, IF(AND(D16="non-TOU", G61&gt;0), F61,F60)))</f>
        <v>9.5000000000000001E-2</v>
      </c>
      <c r="G47" s="73">
        <f>$F$18*(1+$F$76)-$F$18</f>
        <v>78</v>
      </c>
      <c r="H47" s="66">
        <f t="shared" si="6"/>
        <v>7.41</v>
      </c>
      <c r="I47" s="67"/>
      <c r="J47" s="72">
        <f>0.64*$F$57+0.18*$F$58+0.18*$F$59</f>
        <v>9.5000000000000001E-2</v>
      </c>
      <c r="K47" s="73">
        <f>$F$18*(1+$J$76)-$F$18</f>
        <v>91.400000000000091</v>
      </c>
      <c r="L47" s="66">
        <f t="shared" si="8"/>
        <v>8.6830000000000087</v>
      </c>
      <c r="M47" s="67"/>
      <c r="N47" s="68">
        <f t="shared" si="2"/>
        <v>1.2730000000000086</v>
      </c>
      <c r="O47" s="71">
        <f t="shared" si="3"/>
        <v>0.17179487179487296</v>
      </c>
    </row>
    <row r="48" spans="1:15">
      <c r="A48" s="45"/>
      <c r="B48" s="74" t="s">
        <v>29</v>
      </c>
      <c r="C48" s="35"/>
      <c r="D48" s="63" t="s">
        <v>24</v>
      </c>
      <c r="E48" s="35"/>
      <c r="F48" s="75">
        <v>0.79</v>
      </c>
      <c r="G48" s="65">
        <v>1</v>
      </c>
      <c r="H48" s="76">
        <f t="shared" si="6"/>
        <v>0.79</v>
      </c>
      <c r="I48" s="67"/>
      <c r="J48" s="75">
        <v>0.79</v>
      </c>
      <c r="K48" s="65">
        <v>1</v>
      </c>
      <c r="L48" s="76">
        <f t="shared" si="8"/>
        <v>0.79</v>
      </c>
      <c r="M48" s="67"/>
      <c r="N48" s="68">
        <f t="shared" si="2"/>
        <v>0</v>
      </c>
      <c r="O48" s="77"/>
    </row>
    <row r="49" spans="1:18" ht="25.5">
      <c r="B49" s="78" t="s">
        <v>30</v>
      </c>
      <c r="C49" s="79"/>
      <c r="D49" s="79"/>
      <c r="E49" s="79"/>
      <c r="F49" s="80"/>
      <c r="G49" s="81"/>
      <c r="H49" s="82">
        <f>SUM(H40:H48)+H39</f>
        <v>54.17</v>
      </c>
      <c r="I49" s="57"/>
      <c r="J49" s="81"/>
      <c r="K49" s="83"/>
      <c r="L49" s="82">
        <f>SUM(L40:L48)+L39</f>
        <v>69.868459632699313</v>
      </c>
      <c r="M49" s="57"/>
      <c r="N49" s="60">
        <f t="shared" si="2"/>
        <v>15.698459632699311</v>
      </c>
      <c r="O49" s="61">
        <f t="shared" ref="O49:O67" si="11">IF((H49)=0,"",(N49/H49))</f>
        <v>0.28979988245706684</v>
      </c>
    </row>
    <row r="50" spans="1:18">
      <c r="B50" s="84" t="s">
        <v>31</v>
      </c>
      <c r="C50" s="40"/>
      <c r="D50" s="85" t="s">
        <v>24</v>
      </c>
      <c r="E50" s="40"/>
      <c r="F50" s="50">
        <v>5.7999999999999996E-3</v>
      </c>
      <c r="G50" s="86">
        <f>F18*(1+F76)</f>
        <v>2078</v>
      </c>
      <c r="H50" s="39">
        <f>G50*F50</f>
        <v>12.052399999999999</v>
      </c>
      <c r="I50" s="40"/>
      <c r="J50" s="50">
        <f>'[2]4.12 PowerSupplExp'!$N$59</f>
        <v>5.5533911754495633E-3</v>
      </c>
      <c r="K50" s="87">
        <f>F18*(1+J76)</f>
        <v>2091.4</v>
      </c>
      <c r="L50" s="39">
        <f>K50*J50</f>
        <v>11.614362304335216</v>
      </c>
      <c r="M50" s="40"/>
      <c r="N50" s="43">
        <f t="shared" si="2"/>
        <v>-0.43803769566478223</v>
      </c>
      <c r="O50" s="44">
        <f t="shared" si="11"/>
        <v>-3.6344437262684798E-2</v>
      </c>
    </row>
    <row r="51" spans="1:18" ht="25.5">
      <c r="B51" s="84" t="s">
        <v>32</v>
      </c>
      <c r="C51" s="40"/>
      <c r="D51" s="85" t="s">
        <v>24</v>
      </c>
      <c r="E51" s="40"/>
      <c r="F51" s="50">
        <v>4.0000000000000001E-3</v>
      </c>
      <c r="G51" s="86">
        <f>G50</f>
        <v>2078</v>
      </c>
      <c r="H51" s="39">
        <f>G51*F51</f>
        <v>8.3119999999999994</v>
      </c>
      <c r="I51" s="40"/>
      <c r="J51" s="50">
        <f>'[2]4.12 PowerSupplExp'!$N$75</f>
        <v>4.088451920223014E-3</v>
      </c>
      <c r="K51" s="87">
        <f>K50</f>
        <v>2091.4</v>
      </c>
      <c r="L51" s="39">
        <f>K51*J51</f>
        <v>8.5505883459544112</v>
      </c>
      <c r="M51" s="40"/>
      <c r="N51" s="43">
        <f t="shared" si="2"/>
        <v>0.23858834595441181</v>
      </c>
      <c r="O51" s="44">
        <f t="shared" si="11"/>
        <v>2.8704083969491315E-2</v>
      </c>
    </row>
    <row r="52" spans="1:18" ht="25.5">
      <c r="B52" s="78" t="s">
        <v>33</v>
      </c>
      <c r="C52" s="52"/>
      <c r="D52" s="52"/>
      <c r="E52" s="52"/>
      <c r="F52" s="88"/>
      <c r="G52" s="81"/>
      <c r="H52" s="82">
        <f>SUM(H49:H51)</f>
        <v>74.534399999999991</v>
      </c>
      <c r="I52" s="89"/>
      <c r="J52" s="90"/>
      <c r="K52" s="91"/>
      <c r="L52" s="82">
        <f>SUM(L49:L51)</f>
        <v>90.033410282988939</v>
      </c>
      <c r="M52" s="89"/>
      <c r="N52" s="60">
        <f t="shared" si="2"/>
        <v>15.499010282988948</v>
      </c>
      <c r="O52" s="61">
        <f t="shared" si="11"/>
        <v>0.20794438920805627</v>
      </c>
    </row>
    <row r="53" spans="1:18" ht="25.5">
      <c r="B53" s="34" t="s">
        <v>34</v>
      </c>
      <c r="C53" s="35"/>
      <c r="D53" s="92" t="s">
        <v>24</v>
      </c>
      <c r="E53" s="35"/>
      <c r="F53" s="196">
        <v>4.4000000000000003E-3</v>
      </c>
      <c r="G53" s="197">
        <f>G51</f>
        <v>2078</v>
      </c>
      <c r="H53" s="198">
        <f t="shared" ref="H53:H59" si="12">G53*F53</f>
        <v>9.1432000000000002</v>
      </c>
      <c r="I53" s="199"/>
      <c r="J53" s="196">
        <v>4.4000000000000003E-3</v>
      </c>
      <c r="K53" s="200">
        <f>K51</f>
        <v>2091.4</v>
      </c>
      <c r="L53" s="198">
        <f t="shared" ref="L53:L59" si="13">K53*J53</f>
        <v>9.202160000000001</v>
      </c>
      <c r="M53" s="199"/>
      <c r="N53" s="201">
        <f t="shared" si="2"/>
        <v>5.896000000000079E-2</v>
      </c>
      <c r="O53" s="202">
        <f t="shared" si="11"/>
        <v>6.4485081809433006E-3</v>
      </c>
    </row>
    <row r="54" spans="1:18" ht="25.5">
      <c r="B54" s="34" t="s">
        <v>35</v>
      </c>
      <c r="C54" s="35"/>
      <c r="D54" s="92" t="s">
        <v>24</v>
      </c>
      <c r="E54" s="35"/>
      <c r="F54" s="196">
        <v>1.1999999999999999E-3</v>
      </c>
      <c r="G54" s="197">
        <f>G51</f>
        <v>2078</v>
      </c>
      <c r="H54" s="198">
        <f t="shared" si="12"/>
        <v>2.4935999999999998</v>
      </c>
      <c r="I54" s="199"/>
      <c r="J54" s="196">
        <v>1.1999999999999999E-3</v>
      </c>
      <c r="K54" s="200">
        <f>K51</f>
        <v>2091.4</v>
      </c>
      <c r="L54" s="198">
        <f t="shared" si="13"/>
        <v>2.5096799999999999</v>
      </c>
      <c r="M54" s="199"/>
      <c r="N54" s="201">
        <f t="shared" si="2"/>
        <v>1.6080000000000094E-2</v>
      </c>
      <c r="O54" s="202">
        <f t="shared" si="11"/>
        <v>6.4485081809432529E-3</v>
      </c>
    </row>
    <row r="55" spans="1:18" ht="25.5">
      <c r="B55" s="34" t="s">
        <v>36</v>
      </c>
      <c r="C55" s="35"/>
      <c r="D55" s="92" t="s">
        <v>19</v>
      </c>
      <c r="E55" s="35"/>
      <c r="F55" s="196">
        <v>0.25</v>
      </c>
      <c r="G55" s="203">
        <v>1</v>
      </c>
      <c r="H55" s="198">
        <f t="shared" si="12"/>
        <v>0.25</v>
      </c>
      <c r="I55" s="199"/>
      <c r="J55" s="196">
        <v>0.25</v>
      </c>
      <c r="K55" s="204">
        <v>1</v>
      </c>
      <c r="L55" s="198">
        <f t="shared" si="13"/>
        <v>0.25</v>
      </c>
      <c r="M55" s="199"/>
      <c r="N55" s="201">
        <f t="shared" si="2"/>
        <v>0</v>
      </c>
      <c r="O55" s="202">
        <f t="shared" si="11"/>
        <v>0</v>
      </c>
    </row>
    <row r="56" spans="1:18">
      <c r="B56" s="34" t="s">
        <v>63</v>
      </c>
      <c r="C56" s="35"/>
      <c r="D56" s="92" t="s">
        <v>24</v>
      </c>
      <c r="E56" s="35"/>
      <c r="F56" s="50">
        <v>1.1000000000000001E-3</v>
      </c>
      <c r="G56" s="205">
        <f>F18</f>
        <v>2000</v>
      </c>
      <c r="H56" s="198">
        <f t="shared" si="12"/>
        <v>2.2000000000000002</v>
      </c>
      <c r="I56" s="199"/>
      <c r="J56" s="50">
        <v>1.1000000000000001E-3</v>
      </c>
      <c r="K56" s="206">
        <f>F18</f>
        <v>2000</v>
      </c>
      <c r="L56" s="198">
        <f t="shared" si="13"/>
        <v>2.2000000000000002</v>
      </c>
      <c r="M56" s="199"/>
      <c r="N56" s="201">
        <f t="shared" si="2"/>
        <v>0</v>
      </c>
      <c r="O56" s="202">
        <f t="shared" si="11"/>
        <v>0</v>
      </c>
    </row>
    <row r="57" spans="1:18">
      <c r="B57" s="74" t="s">
        <v>38</v>
      </c>
      <c r="C57" s="35"/>
      <c r="D57" s="92" t="s">
        <v>24</v>
      </c>
      <c r="E57" s="35"/>
      <c r="F57" s="207">
        <v>7.6999999999999999E-2</v>
      </c>
      <c r="G57" s="208">
        <f>0.64*$F$18</f>
        <v>1280</v>
      </c>
      <c r="H57" s="198">
        <f t="shared" si="12"/>
        <v>98.56</v>
      </c>
      <c r="I57" s="199"/>
      <c r="J57" s="196">
        <v>7.6999999999999999E-2</v>
      </c>
      <c r="K57" s="208">
        <f>G57</f>
        <v>1280</v>
      </c>
      <c r="L57" s="198">
        <f t="shared" si="13"/>
        <v>98.56</v>
      </c>
      <c r="M57" s="199"/>
      <c r="N57" s="201">
        <f t="shared" si="2"/>
        <v>0</v>
      </c>
      <c r="O57" s="202">
        <f t="shared" si="11"/>
        <v>0</v>
      </c>
    </row>
    <row r="58" spans="1:18">
      <c r="B58" s="74" t="s">
        <v>39</v>
      </c>
      <c r="C58" s="35"/>
      <c r="D58" s="92" t="s">
        <v>24</v>
      </c>
      <c r="E58" s="35"/>
      <c r="F58" s="207">
        <v>0.114</v>
      </c>
      <c r="G58" s="208">
        <f>0.18*$F$18</f>
        <v>360</v>
      </c>
      <c r="H58" s="198">
        <f t="shared" si="12"/>
        <v>41.04</v>
      </c>
      <c r="I58" s="199"/>
      <c r="J58" s="196">
        <v>0.114</v>
      </c>
      <c r="K58" s="208">
        <f>G58</f>
        <v>360</v>
      </c>
      <c r="L58" s="198">
        <f t="shared" si="13"/>
        <v>41.04</v>
      </c>
      <c r="M58" s="199"/>
      <c r="N58" s="201">
        <f t="shared" si="2"/>
        <v>0</v>
      </c>
      <c r="O58" s="202">
        <f t="shared" si="11"/>
        <v>0</v>
      </c>
    </row>
    <row r="59" spans="1:18">
      <c r="B59" s="20" t="s">
        <v>40</v>
      </c>
      <c r="C59" s="35"/>
      <c r="D59" s="92" t="s">
        <v>24</v>
      </c>
      <c r="E59" s="35"/>
      <c r="F59" s="207">
        <v>0.14000000000000001</v>
      </c>
      <c r="G59" s="208">
        <f>0.18*$F$18</f>
        <v>360</v>
      </c>
      <c r="H59" s="198">
        <f t="shared" si="12"/>
        <v>50.400000000000006</v>
      </c>
      <c r="I59" s="199"/>
      <c r="J59" s="196">
        <v>0.14000000000000001</v>
      </c>
      <c r="K59" s="208">
        <f>G59</f>
        <v>360</v>
      </c>
      <c r="L59" s="198">
        <f t="shared" si="13"/>
        <v>50.400000000000006</v>
      </c>
      <c r="M59" s="199"/>
      <c r="N59" s="201">
        <f t="shared" si="2"/>
        <v>0</v>
      </c>
      <c r="O59" s="202">
        <f t="shared" si="11"/>
        <v>0</v>
      </c>
    </row>
    <row r="60" spans="1:18">
      <c r="A60" s="98"/>
      <c r="B60" s="99" t="s">
        <v>41</v>
      </c>
      <c r="C60" s="100"/>
      <c r="D60" s="92" t="s">
        <v>24</v>
      </c>
      <c r="E60" s="100"/>
      <c r="F60" s="207">
        <v>8.5999999999999993E-2</v>
      </c>
      <c r="G60" s="209"/>
      <c r="H60" s="198">
        <f>G60*F60</f>
        <v>0</v>
      </c>
      <c r="I60" s="210"/>
      <c r="J60" s="196">
        <v>8.5999999999999993E-2</v>
      </c>
      <c r="K60" s="209">
        <f>G60</f>
        <v>0</v>
      </c>
      <c r="L60" s="198">
        <f>K60*J60</f>
        <v>0</v>
      </c>
      <c r="M60" s="210"/>
      <c r="N60" s="211">
        <f t="shared" si="2"/>
        <v>0</v>
      </c>
      <c r="O60" s="202" t="str">
        <f t="shared" si="11"/>
        <v/>
      </c>
      <c r="P60" s="98"/>
      <c r="Q60" s="98"/>
      <c r="R60" s="98"/>
    </row>
    <row r="61" spans="1:18" ht="15.75" thickBot="1">
      <c r="A61" s="98"/>
      <c r="B61" s="99" t="s">
        <v>42</v>
      </c>
      <c r="C61" s="100"/>
      <c r="D61" s="92" t="s">
        <v>24</v>
      </c>
      <c r="E61" s="100"/>
      <c r="F61" s="207">
        <v>0.10100000000000001</v>
      </c>
      <c r="G61" s="209"/>
      <c r="H61" s="198">
        <f>G61*F61</f>
        <v>0</v>
      </c>
      <c r="I61" s="210"/>
      <c r="J61" s="196">
        <v>0.10100000000000001</v>
      </c>
      <c r="K61" s="209">
        <f>G61</f>
        <v>0</v>
      </c>
      <c r="L61" s="198">
        <f>K61*J61</f>
        <v>0</v>
      </c>
      <c r="M61" s="210"/>
      <c r="N61" s="211">
        <f t="shared" si="2"/>
        <v>0</v>
      </c>
      <c r="O61" s="202" t="str">
        <f t="shared" si="11"/>
        <v/>
      </c>
      <c r="P61" s="98"/>
      <c r="Q61" s="98"/>
      <c r="R61" s="98"/>
    </row>
    <row r="62" spans="1:18" ht="15.75" thickBot="1">
      <c r="B62" s="104"/>
      <c r="C62" s="105"/>
      <c r="D62" s="106"/>
      <c r="E62" s="105"/>
      <c r="F62" s="107"/>
      <c r="G62" s="108"/>
      <c r="H62" s="109"/>
      <c r="I62" s="110"/>
      <c r="J62" s="107"/>
      <c r="K62" s="111"/>
      <c r="L62" s="109"/>
      <c r="M62" s="110"/>
      <c r="N62" s="112"/>
      <c r="O62" s="113"/>
    </row>
    <row r="63" spans="1:18" ht="25.5">
      <c r="B63" s="114" t="s">
        <v>43</v>
      </c>
      <c r="C63" s="35"/>
      <c r="D63" s="35"/>
      <c r="E63" s="35"/>
      <c r="F63" s="115"/>
      <c r="G63" s="116"/>
      <c r="H63" s="117">
        <f>SUM(H53:H59,H52)</f>
        <v>278.62119999999999</v>
      </c>
      <c r="I63" s="118"/>
      <c r="J63" s="119"/>
      <c r="K63" s="119"/>
      <c r="L63" s="117">
        <f>SUM(L53:L59,L52)</f>
        <v>294.19525028298892</v>
      </c>
      <c r="M63" s="120"/>
      <c r="N63" s="121">
        <f>L63-H63</f>
        <v>15.574050282988935</v>
      </c>
      <c r="O63" s="122">
        <f>IF((H63)=0,"",(N63/H63))</f>
        <v>5.5896860264003367E-2</v>
      </c>
    </row>
    <row r="64" spans="1:18">
      <c r="B64" s="123" t="s">
        <v>44</v>
      </c>
      <c r="C64" s="35"/>
      <c r="D64" s="35"/>
      <c r="E64" s="35"/>
      <c r="F64" s="124">
        <v>0.13</v>
      </c>
      <c r="G64" s="40"/>
      <c r="H64" s="125">
        <f>H63*F64</f>
        <v>36.220756000000002</v>
      </c>
      <c r="I64" s="126"/>
      <c r="J64" s="127">
        <v>0.13</v>
      </c>
      <c r="K64" s="126"/>
      <c r="L64" s="128">
        <f>L63*J64</f>
        <v>38.245382536788561</v>
      </c>
      <c r="M64" s="129"/>
      <c r="N64" s="130">
        <f t="shared" si="2"/>
        <v>2.0246265367885599</v>
      </c>
      <c r="O64" s="44">
        <f t="shared" si="11"/>
        <v>5.5896860264003319E-2</v>
      </c>
    </row>
    <row r="65" spans="1:18">
      <c r="B65" s="131" t="s">
        <v>45</v>
      </c>
      <c r="C65" s="35"/>
      <c r="D65" s="35"/>
      <c r="E65" s="35"/>
      <c r="F65" s="132"/>
      <c r="G65" s="40"/>
      <c r="H65" s="125">
        <f>H63+H64</f>
        <v>314.84195599999998</v>
      </c>
      <c r="I65" s="126"/>
      <c r="J65" s="126"/>
      <c r="K65" s="126"/>
      <c r="L65" s="128">
        <f>L63+L64</f>
        <v>332.44063281977748</v>
      </c>
      <c r="M65" s="129"/>
      <c r="N65" s="130">
        <f t="shared" si="2"/>
        <v>17.598676819777495</v>
      </c>
      <c r="O65" s="44">
        <f t="shared" si="11"/>
        <v>5.5896860264003367E-2</v>
      </c>
    </row>
    <row r="66" spans="1:18">
      <c r="B66" s="133"/>
      <c r="C66" s="133"/>
      <c r="D66" s="133"/>
      <c r="E66" s="35"/>
      <c r="F66" s="132"/>
      <c r="G66" s="40"/>
      <c r="H66" s="134"/>
      <c r="I66" s="126"/>
      <c r="J66" s="126"/>
      <c r="K66" s="126"/>
      <c r="L66" s="135"/>
      <c r="M66" s="129"/>
      <c r="N66" s="136">
        <f t="shared" si="2"/>
        <v>0</v>
      </c>
      <c r="O66" s="137" t="str">
        <f t="shared" si="11"/>
        <v/>
      </c>
    </row>
    <row r="67" spans="1:18" ht="15.75" thickBot="1">
      <c r="B67" s="138" t="s">
        <v>46</v>
      </c>
      <c r="C67" s="138"/>
      <c r="D67" s="138"/>
      <c r="E67" s="139"/>
      <c r="F67" s="140"/>
      <c r="G67" s="141"/>
      <c r="H67" s="142">
        <f>H65+H66</f>
        <v>314.84195599999998</v>
      </c>
      <c r="I67" s="143"/>
      <c r="J67" s="143"/>
      <c r="K67" s="143"/>
      <c r="L67" s="144">
        <f>L65+L66</f>
        <v>332.44063281977748</v>
      </c>
      <c r="M67" s="145"/>
      <c r="N67" s="146">
        <f t="shared" si="2"/>
        <v>17.598676819777495</v>
      </c>
      <c r="O67" s="147">
        <f t="shared" si="11"/>
        <v>5.5896860264003367E-2</v>
      </c>
    </row>
    <row r="68" spans="1:18" ht="15.75" thickBot="1">
      <c r="A68" s="98"/>
      <c r="B68" s="148"/>
      <c r="C68" s="149"/>
      <c r="D68" s="150"/>
      <c r="E68" s="149"/>
      <c r="F68" s="107"/>
      <c r="G68" s="151"/>
      <c r="H68" s="109"/>
      <c r="I68" s="152"/>
      <c r="J68" s="107"/>
      <c r="K68" s="153"/>
      <c r="L68" s="109"/>
      <c r="M68" s="152"/>
      <c r="N68" s="154"/>
      <c r="O68" s="113"/>
      <c r="P68" s="98"/>
      <c r="Q68" s="98"/>
      <c r="R68" s="98"/>
    </row>
    <row r="69" spans="1:18" ht="25.5">
      <c r="A69" s="98"/>
      <c r="B69" s="155" t="s">
        <v>47</v>
      </c>
      <c r="C69" s="100"/>
      <c r="D69" s="100"/>
      <c r="E69" s="100"/>
      <c r="F69" s="156"/>
      <c r="G69" s="157"/>
      <c r="H69" s="158">
        <f>SUM(H60:H61,H52,H53:H56)</f>
        <v>88.621199999999988</v>
      </c>
      <c r="I69" s="159"/>
      <c r="J69" s="160"/>
      <c r="K69" s="160"/>
      <c r="L69" s="158">
        <f>SUM(L60:L61,L52,L53:L56)</f>
        <v>104.19525028298895</v>
      </c>
      <c r="M69" s="161"/>
      <c r="N69" s="162">
        <f>L69-H69</f>
        <v>15.574050282988964</v>
      </c>
      <c r="O69" s="122">
        <f>IF((H69)=0,"",(N69/H69))</f>
        <v>0.17573729855823397</v>
      </c>
      <c r="P69" s="98"/>
      <c r="Q69" s="98"/>
      <c r="R69" s="98"/>
    </row>
    <row r="70" spans="1:18">
      <c r="A70" s="98"/>
      <c r="B70" s="163" t="s">
        <v>44</v>
      </c>
      <c r="C70" s="100"/>
      <c r="D70" s="100"/>
      <c r="E70" s="100"/>
      <c r="F70" s="164">
        <v>0.13</v>
      </c>
      <c r="G70" s="157"/>
      <c r="H70" s="165">
        <f>H69*F70</f>
        <v>11.520755999999999</v>
      </c>
      <c r="I70" s="166"/>
      <c r="J70" s="164">
        <v>0.13</v>
      </c>
      <c r="K70" s="167"/>
      <c r="L70" s="168">
        <f>L69*J70</f>
        <v>13.545382536788564</v>
      </c>
      <c r="M70" s="102"/>
      <c r="N70" s="103">
        <f>L70-H70</f>
        <v>2.0246265367885652</v>
      </c>
      <c r="O70" s="44">
        <f>IF((H70)=0,"",(N70/H70))</f>
        <v>0.17573729855823397</v>
      </c>
      <c r="P70" s="98"/>
      <c r="Q70" s="98"/>
      <c r="R70" s="98"/>
    </row>
    <row r="71" spans="1:18">
      <c r="A71" s="98"/>
      <c r="B71" s="169" t="s">
        <v>45</v>
      </c>
      <c r="C71" s="100"/>
      <c r="D71" s="100"/>
      <c r="E71" s="100"/>
      <c r="F71" s="170"/>
      <c r="G71" s="102"/>
      <c r="H71" s="165">
        <f>H69+H70</f>
        <v>100.14195599999999</v>
      </c>
      <c r="I71" s="166"/>
      <c r="J71" s="166"/>
      <c r="K71" s="166"/>
      <c r="L71" s="168">
        <f>L69+L70</f>
        <v>117.74063281977752</v>
      </c>
      <c r="M71" s="102"/>
      <c r="N71" s="103">
        <f>L71-H71</f>
        <v>17.598676819777523</v>
      </c>
      <c r="O71" s="44">
        <f>IF((H71)=0,"",(N71/H71))</f>
        <v>0.17573729855823392</v>
      </c>
      <c r="P71" s="98"/>
      <c r="Q71" s="98"/>
      <c r="R71" s="98"/>
    </row>
    <row r="72" spans="1:18">
      <c r="A72" s="98"/>
      <c r="B72" s="171"/>
      <c r="C72" s="171"/>
      <c r="D72" s="171"/>
      <c r="E72" s="100"/>
      <c r="F72" s="170"/>
      <c r="G72" s="102"/>
      <c r="H72" s="172"/>
      <c r="I72" s="166"/>
      <c r="J72" s="166"/>
      <c r="K72" s="166"/>
      <c r="L72" s="173"/>
      <c r="M72" s="102"/>
      <c r="N72" s="174">
        <f>L72-H72</f>
        <v>0</v>
      </c>
      <c r="O72" s="137" t="str">
        <f>IF((H72)=0,"",(N72/H72))</f>
        <v/>
      </c>
      <c r="P72" s="98"/>
      <c r="Q72" s="98"/>
      <c r="R72" s="98"/>
    </row>
    <row r="73" spans="1:18" ht="15.75" thickBot="1">
      <c r="A73" s="98"/>
      <c r="B73" s="175" t="s">
        <v>48</v>
      </c>
      <c r="C73" s="175"/>
      <c r="D73" s="175"/>
      <c r="E73" s="176"/>
      <c r="F73" s="177"/>
      <c r="G73" s="178"/>
      <c r="H73" s="179">
        <f>SUM(H71:H72)</f>
        <v>100.14195599999999</v>
      </c>
      <c r="I73" s="180"/>
      <c r="J73" s="180"/>
      <c r="K73" s="180"/>
      <c r="L73" s="181">
        <f>SUM(L71:L72)</f>
        <v>117.74063281977752</v>
      </c>
      <c r="M73" s="182"/>
      <c r="N73" s="183">
        <f>L73-H73</f>
        <v>17.598676819777523</v>
      </c>
      <c r="O73" s="184">
        <f>IF((H73)=0,"",(N73/H73))</f>
        <v>0.17573729855823392</v>
      </c>
      <c r="P73" s="98"/>
      <c r="Q73" s="98"/>
      <c r="R73" s="98"/>
    </row>
    <row r="74" spans="1:18" ht="15.75" thickBot="1">
      <c r="A74" s="98"/>
      <c r="B74" s="148"/>
      <c r="C74" s="149"/>
      <c r="D74" s="150"/>
      <c r="E74" s="149"/>
      <c r="F74" s="185"/>
      <c r="G74" s="186"/>
      <c r="H74" s="187"/>
      <c r="I74" s="188"/>
      <c r="J74" s="185"/>
      <c r="K74" s="151"/>
      <c r="L74" s="189"/>
      <c r="M74" s="152"/>
      <c r="N74" s="190"/>
      <c r="O74" s="113"/>
      <c r="P74" s="98"/>
      <c r="Q74" s="98"/>
      <c r="R74" s="98"/>
    </row>
    <row r="75" spans="1:18">
      <c r="L75" s="97"/>
    </row>
    <row r="76" spans="1:18">
      <c r="B76" s="191" t="s">
        <v>49</v>
      </c>
      <c r="F76" s="192">
        <v>3.9E-2</v>
      </c>
      <c r="J76" s="192">
        <v>4.5699999999999998E-2</v>
      </c>
    </row>
    <row r="78" spans="1:18">
      <c r="A78" s="193" t="s">
        <v>50</v>
      </c>
    </row>
    <row r="80" spans="1:18">
      <c r="A80" s="2" t="s">
        <v>51</v>
      </c>
    </row>
    <row r="81" spans="1:2">
      <c r="A81" s="2" t="s">
        <v>52</v>
      </c>
    </row>
    <row r="83" spans="1:2">
      <c r="A83" s="194" t="s">
        <v>53</v>
      </c>
    </row>
    <row r="84" spans="1:2">
      <c r="A84" s="194" t="s">
        <v>54</v>
      </c>
    </row>
    <row r="86" spans="1:2">
      <c r="A86" s="2" t="s">
        <v>55</v>
      </c>
    </row>
    <row r="87" spans="1:2">
      <c r="A87" s="2" t="s">
        <v>56</v>
      </c>
    </row>
    <row r="88" spans="1:2">
      <c r="A88" s="2" t="s">
        <v>57</v>
      </c>
    </row>
    <row r="89" spans="1:2">
      <c r="A89" s="2" t="s">
        <v>58</v>
      </c>
    </row>
    <row r="90" spans="1:2">
      <c r="A90" s="2" t="s">
        <v>59</v>
      </c>
    </row>
    <row r="92" spans="1:2" ht="51.75">
      <c r="A92" s="195"/>
      <c r="B92" s="9" t="s">
        <v>60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topLeftCell="A61" workbookViewId="0">
      <selection activeCell="G60" sqref="G60:G61"/>
    </sheetView>
  </sheetViews>
  <sheetFormatPr defaultRowHeight="15"/>
  <cols>
    <col min="1" max="1" width="11.28515625" style="2" customWidth="1"/>
    <col min="2" max="2" width="26.5703125" style="9" customWidth="1"/>
    <col min="3" max="3" width="1.28515625" style="2" customWidth="1"/>
    <col min="4" max="4" width="11.28515625" style="2" customWidth="1"/>
    <col min="5" max="5" width="1.28515625" style="2" customWidth="1"/>
    <col min="6" max="6" width="12.28515625" style="2" customWidth="1"/>
    <col min="7" max="7" width="8.5703125" style="2" customWidth="1"/>
    <col min="8" max="8" width="11.140625" style="2" customWidth="1"/>
    <col min="9" max="9" width="2.85546875" style="2" customWidth="1"/>
    <col min="10" max="10" width="12.140625" style="2" customWidth="1"/>
    <col min="11" max="11" width="8.5703125" style="2" customWidth="1"/>
    <col min="12" max="12" width="10.28515625" style="2" bestFit="1" customWidth="1"/>
    <col min="13" max="13" width="2.85546875" style="2" customWidth="1"/>
    <col min="14" max="14" width="12.7109375" style="2" customWidth="1"/>
    <col min="15" max="15" width="10.85546875" style="2" customWidth="1"/>
    <col min="16" max="16" width="3.85546875" style="2" customWidth="1"/>
    <col min="17" max="18" width="9.140625" style="2"/>
  </cols>
  <sheetData>
    <row r="1" spans="1:18" ht="2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</row>
    <row r="2" spans="1:18" ht="18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4"/>
    </row>
    <row r="3" spans="1:18" ht="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/>
      <c r="O3" s="4"/>
    </row>
    <row r="4" spans="1:18" ht="18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4"/>
    </row>
    <row r="5" spans="1:18" ht="15.75">
      <c r="C5" s="10"/>
      <c r="D5" s="10"/>
      <c r="E5" s="10"/>
      <c r="N5" s="3"/>
      <c r="O5" s="4"/>
    </row>
    <row r="6" spans="1:18">
      <c r="N6" s="3"/>
      <c r="O6" s="11"/>
    </row>
    <row r="7" spans="1:18">
      <c r="N7" s="3"/>
      <c r="O7" s="4"/>
    </row>
    <row r="10" spans="1:18" ht="23.25">
      <c r="A10" s="12"/>
      <c r="B10" s="13" t="s"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  <c r="R10" s="12"/>
    </row>
    <row r="11" spans="1:18" ht="18">
      <c r="B11" s="14" t="s">
        <v>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4" spans="1:18" ht="15.75">
      <c r="B14" s="15" t="s">
        <v>2</v>
      </c>
      <c r="D14" s="16" t="s">
        <v>64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8" ht="15.75">
      <c r="B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8" ht="15.75">
      <c r="B16" s="15" t="s">
        <v>4</v>
      </c>
      <c r="D16" s="19" t="s">
        <v>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 ht="15.75">
      <c r="B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>
      <c r="B18" s="20"/>
      <c r="D18" s="21" t="s">
        <v>6</v>
      </c>
      <c r="E18" s="21"/>
      <c r="F18" s="22">
        <v>100</v>
      </c>
      <c r="G18" s="21" t="s">
        <v>7</v>
      </c>
    </row>
    <row r="19" spans="1:15">
      <c r="B19" s="20"/>
    </row>
    <row r="20" spans="1:15">
      <c r="B20" s="20"/>
      <c r="D20" s="23"/>
      <c r="E20" s="23"/>
      <c r="F20" s="24" t="s">
        <v>8</v>
      </c>
      <c r="G20" s="24"/>
      <c r="H20" s="24"/>
      <c r="J20" s="24" t="s">
        <v>9</v>
      </c>
      <c r="K20" s="24"/>
      <c r="L20" s="24"/>
      <c r="N20" s="24" t="s">
        <v>10</v>
      </c>
      <c r="O20" s="24"/>
    </row>
    <row r="21" spans="1:15">
      <c r="B21" s="20"/>
      <c r="D21" s="25" t="s">
        <v>11</v>
      </c>
      <c r="E21" s="26"/>
      <c r="F21" s="27" t="s">
        <v>12</v>
      </c>
      <c r="G21" s="27" t="s">
        <v>13</v>
      </c>
      <c r="H21" s="28" t="s">
        <v>14</v>
      </c>
      <c r="J21" s="27" t="s">
        <v>12</v>
      </c>
      <c r="K21" s="29" t="s">
        <v>13</v>
      </c>
      <c r="L21" s="28" t="s">
        <v>14</v>
      </c>
      <c r="N21" s="30" t="s">
        <v>15</v>
      </c>
      <c r="O21" s="31" t="s">
        <v>16</v>
      </c>
    </row>
    <row r="22" spans="1:15">
      <c r="B22" s="20"/>
      <c r="D22" s="25"/>
      <c r="E22" s="26"/>
      <c r="F22" s="32" t="s">
        <v>17</v>
      </c>
      <c r="G22" s="32"/>
      <c r="H22" s="33" t="s">
        <v>17</v>
      </c>
      <c r="J22" s="32" t="s">
        <v>17</v>
      </c>
      <c r="K22" s="33"/>
      <c r="L22" s="33" t="s">
        <v>17</v>
      </c>
      <c r="N22" s="30"/>
      <c r="O22" s="31"/>
    </row>
    <row r="23" spans="1:15">
      <c r="B23" s="34" t="s">
        <v>18</v>
      </c>
      <c r="C23" s="35"/>
      <c r="D23" s="36" t="s">
        <v>19</v>
      </c>
      <c r="E23" s="35"/>
      <c r="F23" s="37">
        <f>'[1]B. CurrentTariff'!C74</f>
        <v>378.72</v>
      </c>
      <c r="G23" s="38">
        <v>1</v>
      </c>
      <c r="H23" s="39">
        <f>G23*F23</f>
        <v>378.72</v>
      </c>
      <c r="I23" s="40"/>
      <c r="J23" s="41">
        <f>'[1]G. RateDesign'!B48</f>
        <v>378.72</v>
      </c>
      <c r="K23" s="42">
        <v>1</v>
      </c>
      <c r="L23" s="39">
        <f>K23*J23</f>
        <v>378.72</v>
      </c>
      <c r="M23" s="40"/>
      <c r="N23" s="43">
        <f>L23-H23</f>
        <v>0</v>
      </c>
      <c r="O23" s="44">
        <f>IF((H23)=0,"",(N23/H23))</f>
        <v>0</v>
      </c>
    </row>
    <row r="24" spans="1:15">
      <c r="A24" s="45"/>
      <c r="B24" s="34" t="s">
        <v>20</v>
      </c>
      <c r="C24" s="35"/>
      <c r="D24" s="36"/>
      <c r="E24" s="35"/>
      <c r="F24" s="46"/>
      <c r="G24" s="38">
        <v>1</v>
      </c>
      <c r="H24" s="39">
        <f t="shared" ref="H24:H38" si="0">G24*F24</f>
        <v>0</v>
      </c>
      <c r="I24" s="40"/>
      <c r="J24" s="50"/>
      <c r="K24" s="42">
        <v>1</v>
      </c>
      <c r="L24" s="39">
        <f>K24*J24</f>
        <v>0</v>
      </c>
      <c r="M24" s="40"/>
      <c r="N24" s="43">
        <f>L24-H24</f>
        <v>0</v>
      </c>
      <c r="O24" s="44" t="str">
        <f>IF((H24)=0,"",(N24/H24))</f>
        <v/>
      </c>
    </row>
    <row r="25" spans="1:15">
      <c r="A25" s="45"/>
      <c r="B25" s="47" t="s">
        <v>21</v>
      </c>
      <c r="C25" s="35"/>
      <c r="D25" s="36" t="s">
        <v>19</v>
      </c>
      <c r="E25" s="35"/>
      <c r="F25" s="46"/>
      <c r="G25" s="38">
        <v>1</v>
      </c>
      <c r="H25" s="39">
        <f t="shared" si="0"/>
        <v>0</v>
      </c>
      <c r="I25" s="40"/>
      <c r="J25" s="41">
        <f>'[1]I. SMRR'!G15</f>
        <v>0</v>
      </c>
      <c r="K25" s="42">
        <v>1</v>
      </c>
      <c r="L25" s="39">
        <f t="shared" ref="L25:L38" si="1">K25*J25</f>
        <v>0</v>
      </c>
      <c r="M25" s="40"/>
      <c r="N25" s="43">
        <f t="shared" ref="N25:N67" si="2">L25-H25</f>
        <v>0</v>
      </c>
      <c r="O25" s="44" t="str">
        <f t="shared" ref="O25:O47" si="3">IF((H25)=0,"",(N25/H25))</f>
        <v/>
      </c>
    </row>
    <row r="26" spans="1:15">
      <c r="A26" s="45"/>
      <c r="B26" s="49"/>
      <c r="C26" s="35"/>
      <c r="D26" s="36"/>
      <c r="E26" s="35"/>
      <c r="F26" s="46"/>
      <c r="G26" s="38">
        <v>1</v>
      </c>
      <c r="H26" s="39">
        <f t="shared" si="0"/>
        <v>0</v>
      </c>
      <c r="I26" s="40"/>
      <c r="J26" s="50"/>
      <c r="K26" s="42">
        <v>1</v>
      </c>
      <c r="L26" s="39">
        <f t="shared" si="1"/>
        <v>0</v>
      </c>
      <c r="M26" s="40"/>
      <c r="N26" s="43">
        <f t="shared" si="2"/>
        <v>0</v>
      </c>
      <c r="O26" s="44" t="str">
        <f t="shared" si="3"/>
        <v/>
      </c>
    </row>
    <row r="27" spans="1:15">
      <c r="A27" s="45"/>
      <c r="B27" s="49"/>
      <c r="C27" s="35"/>
      <c r="D27" s="36"/>
      <c r="E27" s="35"/>
      <c r="F27" s="46"/>
      <c r="G27" s="38">
        <v>1</v>
      </c>
      <c r="H27" s="39">
        <f t="shared" si="0"/>
        <v>0</v>
      </c>
      <c r="I27" s="40"/>
      <c r="J27" s="50"/>
      <c r="K27" s="42">
        <v>1</v>
      </c>
      <c r="L27" s="39">
        <f t="shared" si="1"/>
        <v>0</v>
      </c>
      <c r="M27" s="40"/>
      <c r="N27" s="43">
        <f t="shared" si="2"/>
        <v>0</v>
      </c>
      <c r="O27" s="44" t="str">
        <f t="shared" si="3"/>
        <v/>
      </c>
    </row>
    <row r="28" spans="1:15">
      <c r="A28" s="45"/>
      <c r="B28" s="49"/>
      <c r="C28" s="35"/>
      <c r="D28" s="36"/>
      <c r="E28" s="35"/>
      <c r="F28" s="46"/>
      <c r="G28" s="38">
        <v>1</v>
      </c>
      <c r="H28" s="39">
        <f t="shared" si="0"/>
        <v>0</v>
      </c>
      <c r="I28" s="40"/>
      <c r="J28" s="50"/>
      <c r="K28" s="42">
        <v>1</v>
      </c>
      <c r="L28" s="39">
        <f t="shared" si="1"/>
        <v>0</v>
      </c>
      <c r="M28" s="40"/>
      <c r="N28" s="43">
        <f t="shared" si="2"/>
        <v>0</v>
      </c>
      <c r="O28" s="44" t="str">
        <f t="shared" si="3"/>
        <v/>
      </c>
    </row>
    <row r="29" spans="1:15">
      <c r="A29" s="45"/>
      <c r="B29" s="34" t="s">
        <v>23</v>
      </c>
      <c r="C29" s="35"/>
      <c r="D29" s="36" t="s">
        <v>65</v>
      </c>
      <c r="E29" s="35"/>
      <c r="F29" s="46">
        <f>'[1]B. CurrentTariff'!C75</f>
        <v>0.64890000000000003</v>
      </c>
      <c r="G29" s="38">
        <f t="shared" ref="G29:G38" si="4">$F$18</f>
        <v>100</v>
      </c>
      <c r="H29" s="39">
        <f t="shared" si="0"/>
        <v>64.89</v>
      </c>
      <c r="I29" s="40"/>
      <c r="J29" s="50">
        <f>'[1]G. RateDesign'!G48</f>
        <v>0.87586333864252697</v>
      </c>
      <c r="K29" s="38">
        <f>$F$18</f>
        <v>100</v>
      </c>
      <c r="L29" s="39">
        <f t="shared" si="1"/>
        <v>87.586333864252694</v>
      </c>
      <c r="M29" s="40"/>
      <c r="N29" s="43">
        <f t="shared" si="2"/>
        <v>22.696333864252694</v>
      </c>
      <c r="O29" s="44">
        <f t="shared" si="3"/>
        <v>0.34976627930733079</v>
      </c>
    </row>
    <row r="30" spans="1:15">
      <c r="A30" s="45"/>
      <c r="B30" s="34" t="s">
        <v>22</v>
      </c>
      <c r="C30" s="35"/>
      <c r="D30" s="36" t="s">
        <v>65</v>
      </c>
      <c r="E30" s="35"/>
      <c r="F30" s="46"/>
      <c r="G30" s="38">
        <f t="shared" si="4"/>
        <v>100</v>
      </c>
      <c r="H30" s="39">
        <f t="shared" si="0"/>
        <v>0</v>
      </c>
      <c r="I30" s="40"/>
      <c r="J30" s="50"/>
      <c r="K30" s="38">
        <f t="shared" ref="K30:K38" si="5">$F$18</f>
        <v>100</v>
      </c>
      <c r="L30" s="39">
        <f t="shared" si="1"/>
        <v>0</v>
      </c>
      <c r="M30" s="40"/>
      <c r="N30" s="43">
        <f t="shared" si="2"/>
        <v>0</v>
      </c>
      <c r="O30" s="44" t="str">
        <f t="shared" si="3"/>
        <v/>
      </c>
    </row>
    <row r="31" spans="1:15">
      <c r="A31" s="45"/>
      <c r="B31" s="34" t="s">
        <v>25</v>
      </c>
      <c r="C31" s="35"/>
      <c r="D31" s="36" t="s">
        <v>65</v>
      </c>
      <c r="E31" s="35"/>
      <c r="F31" s="46"/>
      <c r="G31" s="38">
        <f t="shared" si="4"/>
        <v>100</v>
      </c>
      <c r="H31" s="39">
        <f t="shared" si="0"/>
        <v>0</v>
      </c>
      <c r="I31" s="40"/>
      <c r="J31" s="50"/>
      <c r="K31" s="38">
        <f t="shared" si="5"/>
        <v>100</v>
      </c>
      <c r="L31" s="39">
        <f t="shared" si="1"/>
        <v>0</v>
      </c>
      <c r="M31" s="40"/>
      <c r="N31" s="43">
        <f t="shared" si="2"/>
        <v>0</v>
      </c>
      <c r="O31" s="44" t="str">
        <f t="shared" si="3"/>
        <v/>
      </c>
    </row>
    <row r="32" spans="1:15">
      <c r="A32" s="45"/>
      <c r="B32" s="47"/>
      <c r="C32" s="35"/>
      <c r="D32" s="36"/>
      <c r="E32" s="35"/>
      <c r="F32" s="46"/>
      <c r="G32" s="38">
        <f t="shared" si="4"/>
        <v>100</v>
      </c>
      <c r="H32" s="39">
        <f>G32*F32</f>
        <v>0</v>
      </c>
      <c r="I32" s="40"/>
      <c r="J32" s="50"/>
      <c r="K32" s="38">
        <f t="shared" si="5"/>
        <v>100</v>
      </c>
      <c r="L32" s="39">
        <f>K32*J32</f>
        <v>0</v>
      </c>
      <c r="M32" s="40"/>
      <c r="N32" s="43">
        <f>L32-H32</f>
        <v>0</v>
      </c>
      <c r="O32" s="44" t="str">
        <f>IF((H32)=0,"",(N32/H32))</f>
        <v/>
      </c>
    </row>
    <row r="33" spans="1:15">
      <c r="A33" s="45"/>
      <c r="B33" s="47"/>
      <c r="C33" s="35"/>
      <c r="D33" s="36"/>
      <c r="E33" s="35"/>
      <c r="F33" s="46"/>
      <c r="G33" s="38">
        <f t="shared" si="4"/>
        <v>100</v>
      </c>
      <c r="H33" s="39">
        <f>G33*F33</f>
        <v>0</v>
      </c>
      <c r="I33" s="40"/>
      <c r="J33" s="50"/>
      <c r="K33" s="38">
        <f t="shared" si="5"/>
        <v>100</v>
      </c>
      <c r="L33" s="39">
        <f>K33*J33</f>
        <v>0</v>
      </c>
      <c r="M33" s="40"/>
      <c r="N33" s="43">
        <f>L33-H33</f>
        <v>0</v>
      </c>
      <c r="O33" s="44" t="str">
        <f>IF((H33)=0,"",(N33/H33))</f>
        <v/>
      </c>
    </row>
    <row r="34" spans="1:15">
      <c r="A34" s="45"/>
      <c r="B34" s="47"/>
      <c r="C34" s="35"/>
      <c r="D34" s="36"/>
      <c r="E34" s="35"/>
      <c r="F34" s="46"/>
      <c r="G34" s="38">
        <f t="shared" si="4"/>
        <v>100</v>
      </c>
      <c r="H34" s="39">
        <f>G34*F34</f>
        <v>0</v>
      </c>
      <c r="I34" s="40"/>
      <c r="J34" s="50"/>
      <c r="K34" s="38">
        <f t="shared" si="5"/>
        <v>100</v>
      </c>
      <c r="L34" s="39">
        <f>K34*J34</f>
        <v>0</v>
      </c>
      <c r="M34" s="40"/>
      <c r="N34" s="43">
        <f>L34-H34</f>
        <v>0</v>
      </c>
      <c r="O34" s="44" t="str">
        <f>IF((H34)=0,"",(N34/H34))</f>
        <v/>
      </c>
    </row>
    <row r="35" spans="1:15">
      <c r="A35" s="45"/>
      <c r="B35" s="47"/>
      <c r="C35" s="35"/>
      <c r="D35" s="36"/>
      <c r="E35" s="35"/>
      <c r="F35" s="46"/>
      <c r="G35" s="38">
        <f t="shared" si="4"/>
        <v>100</v>
      </c>
      <c r="H35" s="39">
        <f t="shared" si="0"/>
        <v>0</v>
      </c>
      <c r="I35" s="40"/>
      <c r="J35" s="50"/>
      <c r="K35" s="38">
        <f t="shared" si="5"/>
        <v>100</v>
      </c>
      <c r="L35" s="39">
        <f t="shared" si="1"/>
        <v>0</v>
      </c>
      <c r="M35" s="40"/>
      <c r="N35" s="43">
        <f t="shared" si="2"/>
        <v>0</v>
      </c>
      <c r="O35" s="44" t="str">
        <f t="shared" si="3"/>
        <v/>
      </c>
    </row>
    <row r="36" spans="1:15">
      <c r="A36" s="45"/>
      <c r="B36" s="47"/>
      <c r="C36" s="35"/>
      <c r="D36" s="36"/>
      <c r="E36" s="35"/>
      <c r="F36" s="46"/>
      <c r="G36" s="38">
        <f t="shared" si="4"/>
        <v>100</v>
      </c>
      <c r="H36" s="39">
        <f t="shared" si="0"/>
        <v>0</v>
      </c>
      <c r="I36" s="40"/>
      <c r="J36" s="50"/>
      <c r="K36" s="38">
        <f t="shared" si="5"/>
        <v>100</v>
      </c>
      <c r="L36" s="39">
        <f t="shared" si="1"/>
        <v>0</v>
      </c>
      <c r="M36" s="40"/>
      <c r="N36" s="43">
        <f t="shared" si="2"/>
        <v>0</v>
      </c>
      <c r="O36" s="44" t="str">
        <f t="shared" si="3"/>
        <v/>
      </c>
    </row>
    <row r="37" spans="1:15">
      <c r="A37" s="45"/>
      <c r="B37" s="47"/>
      <c r="C37" s="35"/>
      <c r="D37" s="36"/>
      <c r="E37" s="35"/>
      <c r="F37" s="46"/>
      <c r="G37" s="38">
        <f t="shared" si="4"/>
        <v>100</v>
      </c>
      <c r="H37" s="39">
        <f t="shared" si="0"/>
        <v>0</v>
      </c>
      <c r="I37" s="40"/>
      <c r="J37" s="50"/>
      <c r="K37" s="38">
        <f t="shared" si="5"/>
        <v>100</v>
      </c>
      <c r="L37" s="39">
        <f t="shared" si="1"/>
        <v>0</v>
      </c>
      <c r="M37" s="40"/>
      <c r="N37" s="43">
        <f t="shared" si="2"/>
        <v>0</v>
      </c>
      <c r="O37" s="44" t="str">
        <f t="shared" si="3"/>
        <v/>
      </c>
    </row>
    <row r="38" spans="1:15">
      <c r="A38" s="45"/>
      <c r="B38" s="47"/>
      <c r="C38" s="35"/>
      <c r="D38" s="36"/>
      <c r="E38" s="35"/>
      <c r="F38" s="46"/>
      <c r="G38" s="38">
        <f t="shared" si="4"/>
        <v>100</v>
      </c>
      <c r="H38" s="39">
        <f t="shared" si="0"/>
        <v>0</v>
      </c>
      <c r="I38" s="40"/>
      <c r="J38" s="50"/>
      <c r="K38" s="38">
        <f t="shared" si="5"/>
        <v>100</v>
      </c>
      <c r="L38" s="39">
        <f t="shared" si="1"/>
        <v>0</v>
      </c>
      <c r="M38" s="40"/>
      <c r="N38" s="43">
        <f t="shared" si="2"/>
        <v>0</v>
      </c>
      <c r="O38" s="44" t="str">
        <f t="shared" si="3"/>
        <v/>
      </c>
    </row>
    <row r="39" spans="1:15">
      <c r="A39" s="45"/>
      <c r="B39" s="51" t="s">
        <v>26</v>
      </c>
      <c r="C39" s="52"/>
      <c r="D39" s="53"/>
      <c r="E39" s="52"/>
      <c r="F39" s="54"/>
      <c r="G39" s="55"/>
      <c r="H39" s="56">
        <f>SUM(H23:H38)</f>
        <v>443.61</v>
      </c>
      <c r="I39" s="57"/>
      <c r="J39" s="58"/>
      <c r="K39" s="59"/>
      <c r="L39" s="56">
        <f>SUM(L23:L38)</f>
        <v>466.30633386425274</v>
      </c>
      <c r="M39" s="57"/>
      <c r="N39" s="60">
        <f t="shared" si="2"/>
        <v>22.696333864252722</v>
      </c>
      <c r="O39" s="61">
        <f t="shared" si="3"/>
        <v>5.1162809369159221E-2</v>
      </c>
    </row>
    <row r="40" spans="1:15" ht="51">
      <c r="A40" s="62"/>
      <c r="B40" s="47" t="str">
        <f>'[1]J. DVA'!$B$16</f>
        <v>Rate Rider Calculation for Deferral / Variance Accounts Balances (excluding Global Adj.)</v>
      </c>
      <c r="C40" s="35"/>
      <c r="D40" s="36" t="s">
        <v>65</v>
      </c>
      <c r="E40" s="35"/>
      <c r="F40" s="64"/>
      <c r="G40" s="65">
        <f>$F$18</f>
        <v>100</v>
      </c>
      <c r="H40" s="66">
        <f t="shared" ref="H40:H48" si="6">G40*F40</f>
        <v>0</v>
      </c>
      <c r="I40" s="67"/>
      <c r="J40" s="64">
        <f>'[1]J. DVA'!F22</f>
        <v>-0.2881086467416501</v>
      </c>
      <c r="K40" s="65">
        <f t="shared" ref="K40:K46" si="7">$F$18</f>
        <v>100</v>
      </c>
      <c r="L40" s="66">
        <f>K40*J40</f>
        <v>-28.810864674165011</v>
      </c>
      <c r="M40" s="67"/>
      <c r="N40" s="68">
        <f>L40-H40</f>
        <v>-28.810864674165011</v>
      </c>
      <c r="O40" s="71" t="str">
        <f>IF((H40)=0,"",(N40/H40))</f>
        <v/>
      </c>
    </row>
    <row r="41" spans="1:15" ht="51">
      <c r="A41" s="70"/>
      <c r="B41" s="47" t="str">
        <f>'[1]J. DVA'!$B$42</f>
        <v>Rate Rider Calculation for Deferral / Variance Accounts Balances (excluding Global Adj.) - NON-WMP</v>
      </c>
      <c r="C41" s="35"/>
      <c r="D41" s="36" t="s">
        <v>65</v>
      </c>
      <c r="E41" s="35"/>
      <c r="F41" s="64"/>
      <c r="G41" s="65">
        <f>$F$18</f>
        <v>100</v>
      </c>
      <c r="H41" s="66">
        <f t="shared" si="6"/>
        <v>0</v>
      </c>
      <c r="I41" s="67"/>
      <c r="J41" s="64">
        <f>'[1]J. DVA'!F48</f>
        <v>-0.92990514331638319</v>
      </c>
      <c r="K41" s="65">
        <f t="shared" si="7"/>
        <v>100</v>
      </c>
      <c r="L41" s="66">
        <f>K41*J41</f>
        <v>-92.990514331638323</v>
      </c>
      <c r="M41" s="67"/>
      <c r="N41" s="68">
        <f>L41-H41</f>
        <v>-92.990514331638323</v>
      </c>
      <c r="O41" s="71" t="str">
        <f>IF((H41)=0,"",(N41/H41))</f>
        <v/>
      </c>
    </row>
    <row r="42" spans="1:15" ht="38.25">
      <c r="A42" s="70"/>
      <c r="B42" s="47" t="str">
        <f>'[1]J. DVA'!$B$68</f>
        <v>Rate Rider Calculation for RSVA - Power - Global Adjustment</v>
      </c>
      <c r="C42" s="35"/>
      <c r="D42" s="36" t="s">
        <v>24</v>
      </c>
      <c r="E42" s="35"/>
      <c r="F42" s="64"/>
      <c r="G42" s="65">
        <f t="shared" ref="G42:G43" si="8">$F$18</f>
        <v>100</v>
      </c>
      <c r="H42" s="66"/>
      <c r="I42" s="67"/>
      <c r="J42" s="64">
        <f>'[1]J. DVA'!F74</f>
        <v>1.716429835341269</v>
      </c>
      <c r="K42" s="65">
        <f t="shared" si="7"/>
        <v>100</v>
      </c>
      <c r="L42" s="66">
        <f t="shared" ref="L42:L45" si="9">K42*J42</f>
        <v>171.6429835341269</v>
      </c>
      <c r="M42" s="67"/>
      <c r="N42" s="68">
        <f t="shared" ref="N42:N45" si="10">L42-H42</f>
        <v>171.6429835341269</v>
      </c>
      <c r="O42" s="71" t="str">
        <f t="shared" ref="O42:O45" si="11">IF((H42)=0,"",(N42/H42))</f>
        <v/>
      </c>
    </row>
    <row r="43" spans="1:15" ht="25.5">
      <c r="A43" s="70"/>
      <c r="B43" s="47" t="str">
        <f>'[1]J. DVA'!$B$121</f>
        <v>Rate Rider Calculation for Group 2 Accounts</v>
      </c>
      <c r="C43" s="35"/>
      <c r="D43" s="36" t="s">
        <v>24</v>
      </c>
      <c r="E43" s="35"/>
      <c r="F43" s="64"/>
      <c r="G43" s="65">
        <f t="shared" si="8"/>
        <v>100</v>
      </c>
      <c r="H43" s="66"/>
      <c r="I43" s="67"/>
      <c r="J43" s="64">
        <f>'[1]J. DVA'!F127</f>
        <v>2.8213276444467111E-2</v>
      </c>
      <c r="K43" s="65">
        <f t="shared" si="7"/>
        <v>100</v>
      </c>
      <c r="L43" s="66">
        <f t="shared" si="9"/>
        <v>2.8213276444467112</v>
      </c>
      <c r="M43" s="67"/>
      <c r="N43" s="68">
        <f t="shared" si="10"/>
        <v>2.8213276444467112</v>
      </c>
      <c r="O43" s="71" t="str">
        <f t="shared" si="11"/>
        <v/>
      </c>
    </row>
    <row r="44" spans="1:15" ht="25.5">
      <c r="A44" s="62"/>
      <c r="B44" s="47" t="str">
        <f>'[1]J. DVA'!$B$147</f>
        <v>Rate Rider Calculation for Accounts 1575 and 1576</v>
      </c>
      <c r="C44" s="35"/>
      <c r="D44" s="36" t="s">
        <v>65</v>
      </c>
      <c r="E44" s="35"/>
      <c r="F44" s="64"/>
      <c r="G44" s="65">
        <f>$F$18</f>
        <v>100</v>
      </c>
      <c r="H44" s="66">
        <f t="shared" si="6"/>
        <v>0</v>
      </c>
      <c r="I44" s="67"/>
      <c r="J44" s="64">
        <f>'[1]J. DVA'!F155</f>
        <v>8.240452368404183E-2</v>
      </c>
      <c r="K44" s="65">
        <f t="shared" si="7"/>
        <v>100</v>
      </c>
      <c r="L44" s="66">
        <f t="shared" si="9"/>
        <v>8.240452368404183</v>
      </c>
      <c r="M44" s="67"/>
      <c r="N44" s="68">
        <f t="shared" si="10"/>
        <v>8.240452368404183</v>
      </c>
      <c r="O44" s="71" t="str">
        <f t="shared" si="11"/>
        <v/>
      </c>
    </row>
    <row r="45" spans="1:15" ht="25.5">
      <c r="A45" s="62"/>
      <c r="B45" s="47" t="str">
        <f>'[1]J. DVA'!$B$175</f>
        <v>Rate Rider Calculation for Accounts 1568</v>
      </c>
      <c r="C45" s="35"/>
      <c r="D45" s="36" t="s">
        <v>65</v>
      </c>
      <c r="E45" s="35"/>
      <c r="F45" s="64"/>
      <c r="G45" s="65">
        <f>$F$18</f>
        <v>100</v>
      </c>
      <c r="H45" s="66">
        <f t="shared" si="6"/>
        <v>0</v>
      </c>
      <c r="I45" s="67"/>
      <c r="J45" s="64">
        <f>'[1]J. DVA'!F183</f>
        <v>5.684378315786414E-2</v>
      </c>
      <c r="K45" s="65">
        <f t="shared" si="7"/>
        <v>100</v>
      </c>
      <c r="L45" s="66">
        <f t="shared" si="9"/>
        <v>5.6843783157864136</v>
      </c>
      <c r="M45" s="67"/>
      <c r="N45" s="68">
        <f t="shared" si="10"/>
        <v>5.6843783157864136</v>
      </c>
      <c r="O45" s="71" t="str">
        <f t="shared" si="11"/>
        <v/>
      </c>
    </row>
    <row r="46" spans="1:15">
      <c r="A46" s="62"/>
      <c r="B46" s="47" t="s">
        <v>27</v>
      </c>
      <c r="C46" s="35"/>
      <c r="D46" s="36" t="s">
        <v>65</v>
      </c>
      <c r="E46" s="35"/>
      <c r="F46" s="64">
        <v>0.39539999999999997</v>
      </c>
      <c r="G46" s="65">
        <f>$F$18</f>
        <v>100</v>
      </c>
      <c r="H46" s="66">
        <f t="shared" si="6"/>
        <v>39.54</v>
      </c>
      <c r="I46" s="67"/>
      <c r="J46" s="64">
        <f>'[2]4.12 PowerSupplExp'!$I$173</f>
        <v>0.28739999999999999</v>
      </c>
      <c r="K46" s="65">
        <f t="shared" si="7"/>
        <v>100</v>
      </c>
      <c r="L46" s="66">
        <f>K46*J46</f>
        <v>28.74</v>
      </c>
      <c r="M46" s="67"/>
      <c r="N46" s="68">
        <f>L46-H46</f>
        <v>-10.8</v>
      </c>
      <c r="O46" s="71">
        <f>IF((H46)=0,"",(N46/H46))</f>
        <v>-0.27314112291350534</v>
      </c>
    </row>
    <row r="47" spans="1:15">
      <c r="A47" s="45"/>
      <c r="B47" s="34" t="s">
        <v>28</v>
      </c>
      <c r="C47" s="35"/>
      <c r="D47" s="36" t="s">
        <v>65</v>
      </c>
      <c r="E47" s="35"/>
      <c r="F47" s="72">
        <f>IF(ISBLANK(D16)=1, 0, IF(D16="TOU", 0.64*$F$57+0.18*$F$58+0.18*$F$59, IF(AND(D16="non-TOU", G61&gt;0), F61,F60)))</f>
        <v>9.5000000000000001E-2</v>
      </c>
      <c r="G47" s="73">
        <f>$F$18*(1+$F$76)-$F$18</f>
        <v>3.8999999999999915</v>
      </c>
      <c r="H47" s="66">
        <f t="shared" si="6"/>
        <v>0.37049999999999922</v>
      </c>
      <c r="I47" s="67"/>
      <c r="J47" s="72">
        <f>0.64*$F$57+0.18*$F$58+0.18*$F$59</f>
        <v>9.5000000000000001E-2</v>
      </c>
      <c r="K47" s="73">
        <f>$F$18*(1+$J$76)-$F$18</f>
        <v>4.5700000000000074</v>
      </c>
      <c r="L47" s="66">
        <f t="shared" ref="L47:L48" si="12">K47*J47</f>
        <v>0.4341500000000007</v>
      </c>
      <c r="M47" s="67"/>
      <c r="N47" s="68">
        <f t="shared" si="2"/>
        <v>6.3650000000001483E-2</v>
      </c>
      <c r="O47" s="71">
        <f t="shared" si="3"/>
        <v>0.17179487179487615</v>
      </c>
    </row>
    <row r="48" spans="1:15">
      <c r="A48" s="45"/>
      <c r="B48" s="34" t="s">
        <v>29</v>
      </c>
      <c r="C48" s="35"/>
      <c r="D48" s="36" t="s">
        <v>65</v>
      </c>
      <c r="E48" s="35"/>
      <c r="F48" s="72">
        <v>0.79</v>
      </c>
      <c r="G48" s="65">
        <v>1</v>
      </c>
      <c r="H48" s="66">
        <f t="shared" si="6"/>
        <v>0.79</v>
      </c>
      <c r="I48" s="67"/>
      <c r="J48" s="72">
        <v>0.79</v>
      </c>
      <c r="K48" s="65">
        <v>1</v>
      </c>
      <c r="L48" s="66">
        <f t="shared" si="12"/>
        <v>0.79</v>
      </c>
      <c r="M48" s="67"/>
      <c r="N48" s="68">
        <f t="shared" si="2"/>
        <v>0</v>
      </c>
      <c r="O48" s="71"/>
    </row>
    <row r="49" spans="1:18" ht="25.5">
      <c r="B49" s="78" t="s">
        <v>30</v>
      </c>
      <c r="C49" s="79"/>
      <c r="D49" s="79"/>
      <c r="E49" s="79"/>
      <c r="F49" s="80"/>
      <c r="G49" s="81"/>
      <c r="H49" s="82">
        <f>SUM(H40:H48)+H39</f>
        <v>484.31049999999999</v>
      </c>
      <c r="I49" s="57"/>
      <c r="J49" s="81"/>
      <c r="K49" s="83"/>
      <c r="L49" s="82">
        <f>SUM(L40:L48)+L39</f>
        <v>562.85824672121362</v>
      </c>
      <c r="M49" s="57"/>
      <c r="N49" s="60">
        <f t="shared" si="2"/>
        <v>78.547746721213628</v>
      </c>
      <c r="O49" s="61">
        <f t="shared" ref="O49:O67" si="13">IF((H49)=0,"",(N49/H49))</f>
        <v>0.16218468672724137</v>
      </c>
    </row>
    <row r="50" spans="1:18">
      <c r="B50" s="84" t="s">
        <v>31</v>
      </c>
      <c r="C50" s="40"/>
      <c r="D50" s="36" t="s">
        <v>65</v>
      </c>
      <c r="E50" s="40"/>
      <c r="F50" s="50">
        <v>2.3683000000000001</v>
      </c>
      <c r="G50" s="86">
        <f>F18*(1+F76)</f>
        <v>103.89999999999999</v>
      </c>
      <c r="H50" s="39">
        <f>G50*F50</f>
        <v>246.06636999999998</v>
      </c>
      <c r="I50" s="40"/>
      <c r="J50" s="50">
        <f>'[2]4.12 PowerSupplExp'!$N$60</f>
        <v>2.2676027838117778</v>
      </c>
      <c r="K50" s="87">
        <f>F18*(1+J76)</f>
        <v>104.57000000000001</v>
      </c>
      <c r="L50" s="39">
        <f>K50*J50</f>
        <v>237.12322310319763</v>
      </c>
      <c r="M50" s="40"/>
      <c r="N50" s="43">
        <f t="shared" si="2"/>
        <v>-8.9431468968023466</v>
      </c>
      <c r="O50" s="44">
        <f t="shared" si="13"/>
        <v>-3.6344450063624488E-2</v>
      </c>
    </row>
    <row r="51" spans="1:18" ht="25.5">
      <c r="B51" s="84" t="s">
        <v>32</v>
      </c>
      <c r="C51" s="40"/>
      <c r="D51" s="36" t="s">
        <v>65</v>
      </c>
      <c r="E51" s="40"/>
      <c r="F51" s="50">
        <v>1.5959000000000001</v>
      </c>
      <c r="G51" s="86">
        <f>G50</f>
        <v>103.89999999999999</v>
      </c>
      <c r="H51" s="39">
        <f>G51*F51</f>
        <v>165.81401</v>
      </c>
      <c r="I51" s="40"/>
      <c r="J51" s="50">
        <f>'[2]4.12 PowerSupplExp'!$N$76</f>
        <v>1.6311900310603258</v>
      </c>
      <c r="K51" s="87">
        <f>K50</f>
        <v>104.57000000000001</v>
      </c>
      <c r="L51" s="39">
        <f>K51*J51</f>
        <v>170.57354154797827</v>
      </c>
      <c r="M51" s="40"/>
      <c r="N51" s="43">
        <f t="shared" si="2"/>
        <v>4.7595315479782698</v>
      </c>
      <c r="O51" s="44">
        <f t="shared" si="13"/>
        <v>2.8704037421073587E-2</v>
      </c>
    </row>
    <row r="52" spans="1:18" ht="25.5">
      <c r="B52" s="78" t="s">
        <v>33</v>
      </c>
      <c r="C52" s="52"/>
      <c r="D52" s="52"/>
      <c r="E52" s="52"/>
      <c r="F52" s="88"/>
      <c r="G52" s="81"/>
      <c r="H52" s="82">
        <f>SUM(H49:H51)</f>
        <v>896.19087999999988</v>
      </c>
      <c r="I52" s="89"/>
      <c r="J52" s="90"/>
      <c r="K52" s="91"/>
      <c r="L52" s="82">
        <f>SUM(L49:L51)</f>
        <v>970.55501137238957</v>
      </c>
      <c r="M52" s="89"/>
      <c r="N52" s="60">
        <f t="shared" si="2"/>
        <v>74.364131372389693</v>
      </c>
      <c r="O52" s="61">
        <f t="shared" si="13"/>
        <v>8.2978005056679113E-2</v>
      </c>
    </row>
    <row r="53" spans="1:18" ht="25.5">
      <c r="B53" s="34" t="s">
        <v>34</v>
      </c>
      <c r="C53" s="35"/>
      <c r="D53" s="92" t="s">
        <v>24</v>
      </c>
      <c r="E53" s="35"/>
      <c r="F53" s="50">
        <v>4.4000000000000003E-3</v>
      </c>
      <c r="G53" s="86">
        <v>5000</v>
      </c>
      <c r="H53" s="39">
        <f t="shared" ref="H53:H59" si="14">G53*F53</f>
        <v>22</v>
      </c>
      <c r="I53" s="40"/>
      <c r="J53" s="50">
        <v>4.4000000000000003E-3</v>
      </c>
      <c r="K53" s="87">
        <v>5000</v>
      </c>
      <c r="L53" s="39">
        <f t="shared" ref="L53:L59" si="15">K53*J53</f>
        <v>22</v>
      </c>
      <c r="M53" s="40"/>
      <c r="N53" s="43">
        <f t="shared" si="2"/>
        <v>0</v>
      </c>
      <c r="O53" s="44">
        <f t="shared" si="13"/>
        <v>0</v>
      </c>
    </row>
    <row r="54" spans="1:18" ht="25.5">
      <c r="B54" s="34" t="s">
        <v>35</v>
      </c>
      <c r="C54" s="35"/>
      <c r="D54" s="92" t="s">
        <v>24</v>
      </c>
      <c r="E54" s="35"/>
      <c r="F54" s="50">
        <v>1.1999999999999999E-3</v>
      </c>
      <c r="G54" s="86">
        <v>5000</v>
      </c>
      <c r="H54" s="39">
        <f t="shared" si="14"/>
        <v>5.9999999999999991</v>
      </c>
      <c r="I54" s="40"/>
      <c r="J54" s="50">
        <v>1.1999999999999999E-3</v>
      </c>
      <c r="K54" s="87">
        <v>5000</v>
      </c>
      <c r="L54" s="39">
        <f t="shared" si="15"/>
        <v>5.9999999999999991</v>
      </c>
      <c r="M54" s="40"/>
      <c r="N54" s="43">
        <f t="shared" si="2"/>
        <v>0</v>
      </c>
      <c r="O54" s="44">
        <f t="shared" si="13"/>
        <v>0</v>
      </c>
    </row>
    <row r="55" spans="1:18" ht="25.5">
      <c r="B55" s="34" t="s">
        <v>36</v>
      </c>
      <c r="C55" s="35"/>
      <c r="D55" s="92" t="s">
        <v>19</v>
      </c>
      <c r="E55" s="35"/>
      <c r="F55" s="50">
        <v>0.25</v>
      </c>
      <c r="G55" s="38">
        <v>1</v>
      </c>
      <c r="H55" s="39">
        <f t="shared" si="14"/>
        <v>0.25</v>
      </c>
      <c r="I55" s="40"/>
      <c r="J55" s="50">
        <v>0.25</v>
      </c>
      <c r="K55" s="42">
        <v>1</v>
      </c>
      <c r="L55" s="39">
        <f t="shared" si="15"/>
        <v>0.25</v>
      </c>
      <c r="M55" s="40"/>
      <c r="N55" s="43">
        <f t="shared" si="2"/>
        <v>0</v>
      </c>
      <c r="O55" s="44">
        <f t="shared" si="13"/>
        <v>0</v>
      </c>
    </row>
    <row r="56" spans="1:18" ht="25.5">
      <c r="B56" s="34" t="s">
        <v>66</v>
      </c>
      <c r="C56" s="35"/>
      <c r="D56" s="92" t="s">
        <v>24</v>
      </c>
      <c r="E56" s="35"/>
      <c r="F56" s="50">
        <v>4.8999999999999998E-3</v>
      </c>
      <c r="G56" s="93">
        <v>5000</v>
      </c>
      <c r="H56" s="39">
        <f t="shared" si="14"/>
        <v>24.5</v>
      </c>
      <c r="I56" s="40"/>
      <c r="J56" s="50">
        <v>4.8999999999999998E-3</v>
      </c>
      <c r="K56" s="94">
        <v>5000</v>
      </c>
      <c r="L56" s="39">
        <f t="shared" si="15"/>
        <v>24.5</v>
      </c>
      <c r="M56" s="40"/>
      <c r="N56" s="43">
        <f t="shared" si="2"/>
        <v>0</v>
      </c>
      <c r="O56" s="44">
        <f t="shared" si="13"/>
        <v>0</v>
      </c>
    </row>
    <row r="57" spans="1:18">
      <c r="B57" s="74" t="s">
        <v>38</v>
      </c>
      <c r="C57" s="35"/>
      <c r="D57" s="92" t="s">
        <v>24</v>
      </c>
      <c r="E57" s="35"/>
      <c r="F57" s="95">
        <v>7.6999999999999999E-2</v>
      </c>
      <c r="G57" s="96">
        <f>0.64*$G$53</f>
        <v>3200</v>
      </c>
      <c r="H57" s="39">
        <f t="shared" si="14"/>
        <v>246.4</v>
      </c>
      <c r="I57" s="40"/>
      <c r="J57" s="50">
        <v>7.6999999999999999E-2</v>
      </c>
      <c r="K57" s="96">
        <f>G57</f>
        <v>3200</v>
      </c>
      <c r="L57" s="39">
        <f t="shared" si="15"/>
        <v>246.4</v>
      </c>
      <c r="M57" s="40"/>
      <c r="N57" s="43">
        <f t="shared" si="2"/>
        <v>0</v>
      </c>
      <c r="O57" s="44">
        <f t="shared" si="13"/>
        <v>0</v>
      </c>
    </row>
    <row r="58" spans="1:18">
      <c r="B58" s="74" t="s">
        <v>39</v>
      </c>
      <c r="C58" s="35"/>
      <c r="D58" s="92" t="s">
        <v>24</v>
      </c>
      <c r="E58" s="35"/>
      <c r="F58" s="95">
        <v>0.114</v>
      </c>
      <c r="G58" s="96">
        <f>0.18*G56</f>
        <v>900</v>
      </c>
      <c r="H58" s="39">
        <f t="shared" si="14"/>
        <v>102.60000000000001</v>
      </c>
      <c r="I58" s="40"/>
      <c r="J58" s="50">
        <v>0.114</v>
      </c>
      <c r="K58" s="96">
        <f>G58</f>
        <v>900</v>
      </c>
      <c r="L58" s="39">
        <f t="shared" si="15"/>
        <v>102.60000000000001</v>
      </c>
      <c r="M58" s="40"/>
      <c r="N58" s="43">
        <f t="shared" si="2"/>
        <v>0</v>
      </c>
      <c r="O58" s="44">
        <f t="shared" si="13"/>
        <v>0</v>
      </c>
    </row>
    <row r="59" spans="1:18">
      <c r="B59" s="20" t="s">
        <v>40</v>
      </c>
      <c r="C59" s="35"/>
      <c r="D59" s="92" t="s">
        <v>24</v>
      </c>
      <c r="E59" s="35"/>
      <c r="F59" s="95">
        <v>0.14000000000000001</v>
      </c>
      <c r="G59" s="96">
        <f>0.18*G54</f>
        <v>900</v>
      </c>
      <c r="H59" s="39">
        <f t="shared" si="14"/>
        <v>126.00000000000001</v>
      </c>
      <c r="I59" s="40"/>
      <c r="J59" s="50">
        <v>0.14000000000000001</v>
      </c>
      <c r="K59" s="96">
        <f>G59</f>
        <v>900</v>
      </c>
      <c r="L59" s="39">
        <f t="shared" si="15"/>
        <v>126.00000000000001</v>
      </c>
      <c r="M59" s="40"/>
      <c r="N59" s="43">
        <f t="shared" si="2"/>
        <v>0</v>
      </c>
      <c r="O59" s="44">
        <f t="shared" si="13"/>
        <v>0</v>
      </c>
    </row>
    <row r="60" spans="1:18">
      <c r="A60" s="98"/>
      <c r="B60" s="99" t="s">
        <v>41</v>
      </c>
      <c r="C60" s="100"/>
      <c r="D60" s="92" t="s">
        <v>24</v>
      </c>
      <c r="E60" s="100"/>
      <c r="F60" s="95">
        <v>8.5999999999999993E-2</v>
      </c>
      <c r="G60" s="101"/>
      <c r="H60" s="39">
        <f>G60*F60</f>
        <v>0</v>
      </c>
      <c r="I60" s="102"/>
      <c r="J60" s="50">
        <v>8.5999999999999993E-2</v>
      </c>
      <c r="K60" s="101">
        <f>G60</f>
        <v>0</v>
      </c>
      <c r="L60" s="39">
        <f>K60*J60</f>
        <v>0</v>
      </c>
      <c r="M60" s="102"/>
      <c r="N60" s="103">
        <f t="shared" si="2"/>
        <v>0</v>
      </c>
      <c r="O60" s="44" t="str">
        <f t="shared" si="13"/>
        <v/>
      </c>
      <c r="P60" s="98"/>
      <c r="Q60" s="98"/>
      <c r="R60" s="98"/>
    </row>
    <row r="61" spans="1:18" ht="15.75" thickBot="1">
      <c r="A61" s="98"/>
      <c r="B61" s="99" t="s">
        <v>42</v>
      </c>
      <c r="C61" s="100"/>
      <c r="D61" s="92" t="s">
        <v>24</v>
      </c>
      <c r="E61" s="100"/>
      <c r="F61" s="95">
        <v>0.10100000000000001</v>
      </c>
      <c r="G61" s="101"/>
      <c r="H61" s="39">
        <f>G61*F61</f>
        <v>0</v>
      </c>
      <c r="I61" s="102"/>
      <c r="J61" s="50">
        <v>0.10100000000000001</v>
      </c>
      <c r="K61" s="101">
        <f>G61</f>
        <v>0</v>
      </c>
      <c r="L61" s="39">
        <f>K61*J61</f>
        <v>0</v>
      </c>
      <c r="M61" s="102"/>
      <c r="N61" s="103">
        <f t="shared" si="2"/>
        <v>0</v>
      </c>
      <c r="O61" s="44" t="str">
        <f t="shared" si="13"/>
        <v/>
      </c>
      <c r="P61" s="98"/>
      <c r="Q61" s="98"/>
      <c r="R61" s="98"/>
    </row>
    <row r="62" spans="1:18" ht="15.75" thickBot="1">
      <c r="B62" s="104"/>
      <c r="C62" s="105"/>
      <c r="D62" s="106"/>
      <c r="E62" s="105"/>
      <c r="F62" s="107"/>
      <c r="G62" s="108"/>
      <c r="H62" s="109"/>
      <c r="I62" s="110"/>
      <c r="J62" s="107"/>
      <c r="K62" s="111"/>
      <c r="L62" s="109"/>
      <c r="M62" s="110"/>
      <c r="N62" s="112"/>
      <c r="O62" s="113"/>
    </row>
    <row r="63" spans="1:18" ht="25.5">
      <c r="B63" s="114" t="s">
        <v>43</v>
      </c>
      <c r="C63" s="35"/>
      <c r="D63" s="35"/>
      <c r="E63" s="35"/>
      <c r="F63" s="115"/>
      <c r="G63" s="116"/>
      <c r="H63" s="117">
        <f>SUM(H53:H59,H52)</f>
        <v>1423.9408799999999</v>
      </c>
      <c r="I63" s="118"/>
      <c r="J63" s="119"/>
      <c r="K63" s="119"/>
      <c r="L63" s="117">
        <f>SUM(L53:L59,L52)</f>
        <v>1498.3050113723896</v>
      </c>
      <c r="M63" s="120"/>
      <c r="N63" s="121">
        <f>L63-H63</f>
        <v>74.364131372389693</v>
      </c>
      <c r="O63" s="122">
        <f>IF((H63)=0,"",(N63/H63))</f>
        <v>5.2224170551511732E-2</v>
      </c>
    </row>
    <row r="64" spans="1:18">
      <c r="B64" s="123" t="s">
        <v>44</v>
      </c>
      <c r="C64" s="35"/>
      <c r="D64" s="35"/>
      <c r="E64" s="35"/>
      <c r="F64" s="124">
        <v>0.13</v>
      </c>
      <c r="G64" s="40"/>
      <c r="H64" s="125">
        <f>H63*F64</f>
        <v>185.1123144</v>
      </c>
      <c r="I64" s="126"/>
      <c r="J64" s="127">
        <v>0.13</v>
      </c>
      <c r="K64" s="126"/>
      <c r="L64" s="128">
        <f>L63*J64</f>
        <v>194.77965147841064</v>
      </c>
      <c r="M64" s="129"/>
      <c r="N64" s="130">
        <f t="shared" si="2"/>
        <v>9.6673370784106396</v>
      </c>
      <c r="O64" s="44">
        <f t="shared" si="13"/>
        <v>5.2224170551511614E-2</v>
      </c>
    </row>
    <row r="65" spans="1:18">
      <c r="B65" s="131" t="s">
        <v>45</v>
      </c>
      <c r="C65" s="35"/>
      <c r="D65" s="35"/>
      <c r="E65" s="35"/>
      <c r="F65" s="132"/>
      <c r="G65" s="40"/>
      <c r="H65" s="125">
        <f>H63+H64</f>
        <v>1609.0531943999999</v>
      </c>
      <c r="I65" s="126"/>
      <c r="J65" s="126"/>
      <c r="K65" s="126"/>
      <c r="L65" s="128">
        <f>L63+L64</f>
        <v>1693.0846628508002</v>
      </c>
      <c r="M65" s="129"/>
      <c r="N65" s="130">
        <f t="shared" si="2"/>
        <v>84.031468450800276</v>
      </c>
      <c r="O65" s="44">
        <f t="shared" si="13"/>
        <v>5.2224170551511677E-2</v>
      </c>
    </row>
    <row r="66" spans="1:18">
      <c r="B66" s="133"/>
      <c r="C66" s="133"/>
      <c r="D66" s="133"/>
      <c r="E66" s="35"/>
      <c r="F66" s="132"/>
      <c r="G66" s="40"/>
      <c r="H66" s="134"/>
      <c r="I66" s="126"/>
      <c r="J66" s="126"/>
      <c r="K66" s="126"/>
      <c r="L66" s="135"/>
      <c r="M66" s="129"/>
      <c r="N66" s="136">
        <f t="shared" si="2"/>
        <v>0</v>
      </c>
      <c r="O66" s="137" t="str">
        <f t="shared" si="13"/>
        <v/>
      </c>
    </row>
    <row r="67" spans="1:18" ht="15.75" thickBot="1">
      <c r="B67" s="138" t="s">
        <v>46</v>
      </c>
      <c r="C67" s="138"/>
      <c r="D67" s="138"/>
      <c r="E67" s="139"/>
      <c r="F67" s="140"/>
      <c r="G67" s="141"/>
      <c r="H67" s="142">
        <f>H65+H66</f>
        <v>1609.0531943999999</v>
      </c>
      <c r="I67" s="143"/>
      <c r="J67" s="143"/>
      <c r="K67" s="143"/>
      <c r="L67" s="144">
        <f>L65+L66</f>
        <v>1693.0846628508002</v>
      </c>
      <c r="M67" s="145"/>
      <c r="N67" s="146">
        <f t="shared" si="2"/>
        <v>84.031468450800276</v>
      </c>
      <c r="O67" s="147">
        <f t="shared" si="13"/>
        <v>5.2224170551511677E-2</v>
      </c>
    </row>
    <row r="68" spans="1:18" ht="15.75" thickBot="1">
      <c r="A68" s="98"/>
      <c r="B68" s="148"/>
      <c r="C68" s="149"/>
      <c r="D68" s="150"/>
      <c r="E68" s="149"/>
      <c r="F68" s="107"/>
      <c r="G68" s="151"/>
      <c r="H68" s="109"/>
      <c r="I68" s="152"/>
      <c r="J68" s="107"/>
      <c r="K68" s="153"/>
      <c r="L68" s="109"/>
      <c r="M68" s="152"/>
      <c r="N68" s="154"/>
      <c r="O68" s="113"/>
      <c r="P68" s="98"/>
      <c r="Q68" s="98"/>
      <c r="R68" s="98"/>
    </row>
    <row r="69" spans="1:18" ht="25.5">
      <c r="A69" s="98"/>
      <c r="B69" s="155" t="s">
        <v>47</v>
      </c>
      <c r="C69" s="100"/>
      <c r="D69" s="100"/>
      <c r="E69" s="100"/>
      <c r="F69" s="156"/>
      <c r="G69" s="157"/>
      <c r="H69" s="158">
        <f>SUM(H60:H61,H52,H53:H56)</f>
        <v>948.94087999999988</v>
      </c>
      <c r="I69" s="159"/>
      <c r="J69" s="160"/>
      <c r="K69" s="160"/>
      <c r="L69" s="158">
        <f>SUM(L60:L61,L52,L53:L56)</f>
        <v>1023.3050113723896</v>
      </c>
      <c r="M69" s="161"/>
      <c r="N69" s="162">
        <f>L69-H69</f>
        <v>74.364131372389693</v>
      </c>
      <c r="O69" s="122">
        <f>IF((H69)=0,"",(N69/H69))</f>
        <v>7.8365399720570272E-2</v>
      </c>
      <c r="P69" s="98"/>
      <c r="Q69" s="98"/>
      <c r="R69" s="98"/>
    </row>
    <row r="70" spans="1:18">
      <c r="A70" s="98"/>
      <c r="B70" s="163" t="s">
        <v>44</v>
      </c>
      <c r="C70" s="100"/>
      <c r="D70" s="100"/>
      <c r="E70" s="100"/>
      <c r="F70" s="164">
        <v>0.13</v>
      </c>
      <c r="G70" s="157"/>
      <c r="H70" s="165">
        <f>H69*F70</f>
        <v>123.36231439999999</v>
      </c>
      <c r="I70" s="166"/>
      <c r="J70" s="164">
        <v>0.13</v>
      </c>
      <c r="K70" s="167"/>
      <c r="L70" s="168">
        <f>L69*J70</f>
        <v>133.02965147841064</v>
      </c>
      <c r="M70" s="102"/>
      <c r="N70" s="103">
        <f>L70-H70</f>
        <v>9.6673370784106538</v>
      </c>
      <c r="O70" s="44">
        <f>IF((H70)=0,"",(N70/H70))</f>
        <v>7.8365399720570217E-2</v>
      </c>
      <c r="P70" s="98"/>
      <c r="Q70" s="98"/>
      <c r="R70" s="98"/>
    </row>
    <row r="71" spans="1:18">
      <c r="A71" s="98"/>
      <c r="B71" s="169" t="s">
        <v>45</v>
      </c>
      <c r="C71" s="100"/>
      <c r="D71" s="100"/>
      <c r="E71" s="100"/>
      <c r="F71" s="170"/>
      <c r="G71" s="102"/>
      <c r="H71" s="165">
        <f>H69+H70</f>
        <v>1072.3031943999999</v>
      </c>
      <c r="I71" s="166"/>
      <c r="J71" s="166"/>
      <c r="K71" s="166"/>
      <c r="L71" s="168">
        <f>L69+L70</f>
        <v>1156.3346628508002</v>
      </c>
      <c r="M71" s="102"/>
      <c r="N71" s="103">
        <f>L71-H71</f>
        <v>84.031468450800276</v>
      </c>
      <c r="O71" s="44">
        <f>IF((H71)=0,"",(N71/H71))</f>
        <v>7.8365399720570189E-2</v>
      </c>
      <c r="P71" s="98"/>
      <c r="Q71" s="98"/>
      <c r="R71" s="98"/>
    </row>
    <row r="72" spans="1:18">
      <c r="A72" s="98"/>
      <c r="B72" s="171"/>
      <c r="C72" s="171"/>
      <c r="D72" s="171"/>
      <c r="E72" s="100"/>
      <c r="F72" s="170"/>
      <c r="G72" s="102"/>
      <c r="H72" s="172"/>
      <c r="I72" s="166"/>
      <c r="J72" s="166"/>
      <c r="K72" s="166"/>
      <c r="L72" s="173"/>
      <c r="M72" s="102"/>
      <c r="N72" s="174">
        <f>L72-H72</f>
        <v>0</v>
      </c>
      <c r="O72" s="137" t="str">
        <f>IF((H72)=0,"",(N72/H72))</f>
        <v/>
      </c>
      <c r="P72" s="98"/>
      <c r="Q72" s="98"/>
      <c r="R72" s="98"/>
    </row>
    <row r="73" spans="1:18" ht="15.75" thickBot="1">
      <c r="A73" s="98"/>
      <c r="B73" s="175" t="s">
        <v>48</v>
      </c>
      <c r="C73" s="175"/>
      <c r="D73" s="175"/>
      <c r="E73" s="176"/>
      <c r="F73" s="177"/>
      <c r="G73" s="178"/>
      <c r="H73" s="179">
        <f>SUM(H71:H72)</f>
        <v>1072.3031943999999</v>
      </c>
      <c r="I73" s="180"/>
      <c r="J73" s="180"/>
      <c r="K73" s="180"/>
      <c r="L73" s="181">
        <f>SUM(L71:L72)</f>
        <v>1156.3346628508002</v>
      </c>
      <c r="M73" s="182"/>
      <c r="N73" s="183">
        <f>L73-H73</f>
        <v>84.031468450800276</v>
      </c>
      <c r="O73" s="184">
        <f>IF((H73)=0,"",(N73/H73))</f>
        <v>7.8365399720570189E-2</v>
      </c>
      <c r="P73" s="98"/>
      <c r="Q73" s="98"/>
      <c r="R73" s="98"/>
    </row>
    <row r="74" spans="1:18" ht="15.75" thickBot="1">
      <c r="A74" s="98"/>
      <c r="B74" s="148"/>
      <c r="C74" s="149"/>
      <c r="D74" s="150"/>
      <c r="E74" s="149"/>
      <c r="F74" s="185"/>
      <c r="G74" s="186"/>
      <c r="H74" s="187"/>
      <c r="I74" s="188"/>
      <c r="J74" s="185"/>
      <c r="K74" s="151"/>
      <c r="L74" s="189"/>
      <c r="M74" s="152"/>
      <c r="N74" s="190"/>
      <c r="O74" s="113"/>
      <c r="P74" s="98"/>
      <c r="Q74" s="98"/>
      <c r="R74" s="98"/>
    </row>
    <row r="75" spans="1:18">
      <c r="L75" s="97"/>
    </row>
    <row r="76" spans="1:18">
      <c r="B76" s="191" t="s">
        <v>49</v>
      </c>
      <c r="F76" s="192">
        <v>3.9E-2</v>
      </c>
      <c r="J76" s="192">
        <v>4.5699999999999998E-2</v>
      </c>
    </row>
    <row r="78" spans="1:18">
      <c r="A78" s="193" t="s">
        <v>50</v>
      </c>
    </row>
    <row r="80" spans="1:18">
      <c r="A80" s="2" t="s">
        <v>51</v>
      </c>
    </row>
    <row r="81" spans="1:2">
      <c r="A81" s="2" t="s">
        <v>52</v>
      </c>
    </row>
    <row r="83" spans="1:2">
      <c r="A83" s="194" t="s">
        <v>53</v>
      </c>
    </row>
    <row r="84" spans="1:2">
      <c r="A84" s="194" t="s">
        <v>54</v>
      </c>
    </row>
    <row r="86" spans="1:2">
      <c r="A86" s="2" t="s">
        <v>55</v>
      </c>
    </row>
    <row r="87" spans="1:2">
      <c r="A87" s="2" t="s">
        <v>56</v>
      </c>
    </row>
    <row r="88" spans="1:2">
      <c r="A88" s="2" t="s">
        <v>57</v>
      </c>
    </row>
    <row r="89" spans="1:2">
      <c r="A89" s="2" t="s">
        <v>58</v>
      </c>
    </row>
    <row r="90" spans="1:2">
      <c r="A90" s="2" t="s">
        <v>59</v>
      </c>
    </row>
    <row r="92" spans="1:2" ht="51.75">
      <c r="A92" s="195"/>
      <c r="B92" s="9" t="s">
        <v>60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opLeftCell="A57" workbookViewId="0">
      <selection activeCell="L77" sqref="L77"/>
    </sheetView>
  </sheetViews>
  <sheetFormatPr defaultRowHeight="15"/>
  <cols>
    <col min="1" max="1" width="11.28515625" style="2" customWidth="1"/>
    <col min="2" max="2" width="26.5703125" style="9" customWidth="1"/>
    <col min="3" max="3" width="1.28515625" style="2" customWidth="1"/>
    <col min="4" max="4" width="11.28515625" style="2" customWidth="1"/>
    <col min="5" max="5" width="1.28515625" style="2" customWidth="1"/>
    <col min="6" max="6" width="12.28515625" style="2" customWidth="1"/>
    <col min="7" max="7" width="8.5703125" style="217" customWidth="1"/>
    <col min="8" max="8" width="11.140625" style="2" customWidth="1"/>
    <col min="9" max="9" width="2.85546875" style="2" customWidth="1"/>
    <col min="10" max="10" width="12.7109375" style="2" customWidth="1"/>
    <col min="11" max="11" width="9.85546875" style="218" customWidth="1"/>
    <col min="12" max="12" width="11.5703125" style="2" customWidth="1"/>
    <col min="13" max="13" width="2.85546875" style="2" customWidth="1"/>
    <col min="14" max="14" width="12.7109375" style="2" customWidth="1"/>
    <col min="15" max="15" width="10.85546875" style="2" customWidth="1"/>
    <col min="16" max="16" width="3.85546875" style="2" customWidth="1"/>
    <col min="17" max="20" width="9.140625" style="2"/>
  </cols>
  <sheetData>
    <row r="1" spans="1:20" ht="20.25">
      <c r="A1" s="1"/>
      <c r="B1" s="1"/>
      <c r="C1" s="1"/>
      <c r="D1" s="1"/>
      <c r="E1" s="1"/>
      <c r="F1" s="1"/>
      <c r="G1" s="212"/>
      <c r="H1" s="1"/>
      <c r="I1" s="1"/>
      <c r="J1" s="1"/>
      <c r="K1" s="213"/>
      <c r="N1" s="3"/>
      <c r="O1" s="4"/>
      <c r="T1" s="2">
        <v>1</v>
      </c>
    </row>
    <row r="2" spans="1:20" ht="18">
      <c r="A2" s="5"/>
      <c r="B2" s="6"/>
      <c r="C2" s="5"/>
      <c r="D2" s="5"/>
      <c r="E2" s="5"/>
      <c r="F2" s="5"/>
      <c r="G2" s="214"/>
      <c r="H2" s="5"/>
      <c r="I2" s="5"/>
      <c r="J2" s="5"/>
      <c r="K2" s="215"/>
      <c r="N2" s="3"/>
      <c r="O2" s="4"/>
    </row>
    <row r="3" spans="1:20" ht="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/>
      <c r="O3" s="4"/>
    </row>
    <row r="4" spans="1:20" ht="18">
      <c r="A4" s="5"/>
      <c r="B4" s="6"/>
      <c r="C4" s="5"/>
      <c r="D4" s="5"/>
      <c r="E4" s="5"/>
      <c r="F4" s="5"/>
      <c r="G4" s="214"/>
      <c r="H4" s="5"/>
      <c r="I4" s="8"/>
      <c r="J4" s="8"/>
      <c r="K4" s="216"/>
      <c r="N4" s="3"/>
      <c r="O4" s="4"/>
    </row>
    <row r="5" spans="1:20" ht="15.75">
      <c r="C5" s="10"/>
      <c r="D5" s="10"/>
      <c r="E5" s="10"/>
      <c r="N5" s="3"/>
      <c r="O5" s="4"/>
    </row>
    <row r="6" spans="1:20">
      <c r="N6" s="3"/>
      <c r="O6" s="11"/>
    </row>
    <row r="7" spans="1:20">
      <c r="N7" s="3"/>
      <c r="O7" s="4"/>
    </row>
    <row r="10" spans="1:20" ht="23.25">
      <c r="A10" s="12"/>
      <c r="B10" s="13" t="s"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  <c r="R10" s="12"/>
      <c r="S10" s="12"/>
      <c r="T10" s="12"/>
    </row>
    <row r="11" spans="1:20" ht="18">
      <c r="B11" s="14" t="s">
        <v>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4" spans="1:20" ht="15.75">
      <c r="B14" s="15" t="s">
        <v>2</v>
      </c>
      <c r="D14" s="16" t="s">
        <v>67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20" ht="15.75">
      <c r="B15" s="17"/>
      <c r="D15" s="18"/>
      <c r="E15" s="18"/>
      <c r="F15" s="18"/>
      <c r="G15" s="219"/>
      <c r="H15" s="18"/>
      <c r="I15" s="18"/>
      <c r="J15" s="18"/>
      <c r="K15" s="220"/>
      <c r="L15" s="18"/>
      <c r="M15" s="18"/>
      <c r="N15" s="18"/>
      <c r="O15" s="18"/>
    </row>
    <row r="16" spans="1:20" ht="15.75">
      <c r="B16" s="15" t="s">
        <v>4</v>
      </c>
      <c r="D16" s="19" t="s">
        <v>5</v>
      </c>
      <c r="E16" s="18"/>
      <c r="F16" s="18"/>
      <c r="G16" s="219"/>
      <c r="H16" s="18"/>
      <c r="I16" s="18"/>
      <c r="J16" s="18"/>
      <c r="K16" s="220"/>
      <c r="L16" s="18"/>
      <c r="M16" s="18"/>
      <c r="N16" s="18"/>
      <c r="O16" s="18"/>
    </row>
    <row r="17" spans="1:15" ht="15.75">
      <c r="B17" s="17"/>
      <c r="D17" s="18"/>
      <c r="E17" s="18"/>
      <c r="F17" s="18"/>
      <c r="G17" s="219"/>
      <c r="H17" s="18"/>
      <c r="I17" s="18"/>
      <c r="J17" s="18"/>
      <c r="K17" s="220"/>
      <c r="L17" s="18"/>
      <c r="M17" s="18"/>
      <c r="N17" s="18"/>
      <c r="O17" s="18"/>
    </row>
    <row r="18" spans="1:15">
      <c r="B18" s="20"/>
      <c r="D18" s="21" t="s">
        <v>6</v>
      </c>
      <c r="E18" s="21"/>
      <c r="F18" s="22">
        <v>1</v>
      </c>
      <c r="G18" s="221" t="s">
        <v>68</v>
      </c>
    </row>
    <row r="19" spans="1:15">
      <c r="B19" s="20"/>
    </row>
    <row r="20" spans="1:15">
      <c r="B20" s="20"/>
      <c r="D20" s="23"/>
      <c r="E20" s="23"/>
      <c r="F20" s="24" t="s">
        <v>8</v>
      </c>
      <c r="G20" s="24"/>
      <c r="H20" s="24"/>
      <c r="J20" s="24" t="s">
        <v>9</v>
      </c>
      <c r="K20" s="24"/>
      <c r="L20" s="24"/>
      <c r="N20" s="24" t="s">
        <v>10</v>
      </c>
      <c r="O20" s="24"/>
    </row>
    <row r="21" spans="1:15" ht="15" customHeight="1">
      <c r="B21" s="20"/>
      <c r="D21" s="25" t="s">
        <v>11</v>
      </c>
      <c r="E21" s="26"/>
      <c r="F21" s="27" t="s">
        <v>12</v>
      </c>
      <c r="G21" s="222" t="s">
        <v>13</v>
      </c>
      <c r="H21" s="28" t="s">
        <v>14</v>
      </c>
      <c r="J21" s="27" t="s">
        <v>12</v>
      </c>
      <c r="K21" s="223" t="s">
        <v>13</v>
      </c>
      <c r="L21" s="28" t="s">
        <v>14</v>
      </c>
      <c r="N21" s="30" t="s">
        <v>15</v>
      </c>
      <c r="O21" s="31" t="s">
        <v>16</v>
      </c>
    </row>
    <row r="22" spans="1:15">
      <c r="B22" s="20"/>
      <c r="D22" s="25"/>
      <c r="E22" s="26"/>
      <c r="F22" s="32" t="s">
        <v>17</v>
      </c>
      <c r="G22" s="224"/>
      <c r="H22" s="33" t="s">
        <v>17</v>
      </c>
      <c r="J22" s="32" t="s">
        <v>17</v>
      </c>
      <c r="K22" s="225"/>
      <c r="L22" s="33" t="s">
        <v>17</v>
      </c>
      <c r="N22" s="30"/>
      <c r="O22" s="31"/>
    </row>
    <row r="23" spans="1:15">
      <c r="B23" s="34" t="s">
        <v>18</v>
      </c>
      <c r="C23" s="35"/>
      <c r="D23" s="36" t="s">
        <v>19</v>
      </c>
      <c r="E23" s="35"/>
      <c r="F23" s="37">
        <f>'[1]B. CurrentTariff'!C95</f>
        <v>2.6</v>
      </c>
      <c r="G23" s="65">
        <v>1</v>
      </c>
      <c r="H23" s="39">
        <f>G23*F23</f>
        <v>2.6</v>
      </c>
      <c r="I23" s="40"/>
      <c r="J23" s="41">
        <f>'[1]G. RateDesign'!B49</f>
        <v>3.58</v>
      </c>
      <c r="K23" s="226">
        <v>1</v>
      </c>
      <c r="L23" s="39">
        <f>K23*J23</f>
        <v>3.58</v>
      </c>
      <c r="M23" s="40"/>
      <c r="N23" s="43">
        <f>L23-H23</f>
        <v>0.98</v>
      </c>
      <c r="O23" s="44">
        <f>IF((H23)=0,"",(N23/H23))</f>
        <v>0.37692307692307692</v>
      </c>
    </row>
    <row r="24" spans="1:15">
      <c r="A24" s="45"/>
      <c r="B24" s="34" t="s">
        <v>20</v>
      </c>
      <c r="C24" s="35"/>
      <c r="D24" s="36"/>
      <c r="E24" s="35"/>
      <c r="F24" s="46"/>
      <c r="G24" s="65">
        <v>1</v>
      </c>
      <c r="H24" s="39">
        <f t="shared" ref="H24:H38" si="0">G24*F24</f>
        <v>0</v>
      </c>
      <c r="I24" s="40"/>
      <c r="J24" s="50"/>
      <c r="K24" s="226">
        <v>1</v>
      </c>
      <c r="L24" s="39">
        <f>K24*J24</f>
        <v>0</v>
      </c>
      <c r="M24" s="40"/>
      <c r="N24" s="43">
        <f>L24-H24</f>
        <v>0</v>
      </c>
      <c r="O24" s="44" t="str">
        <f>IF((H24)=0,"",(N24/H24))</f>
        <v/>
      </c>
    </row>
    <row r="25" spans="1:15">
      <c r="A25" s="45"/>
      <c r="B25" s="49"/>
      <c r="C25" s="35"/>
      <c r="D25" s="36"/>
      <c r="E25" s="35"/>
      <c r="F25" s="46"/>
      <c r="G25" s="65">
        <v>1</v>
      </c>
      <c r="H25" s="39">
        <f t="shared" si="0"/>
        <v>0</v>
      </c>
      <c r="I25" s="40"/>
      <c r="J25" s="50"/>
      <c r="K25" s="226">
        <v>1</v>
      </c>
      <c r="L25" s="39">
        <f t="shared" ref="L25:L38" si="1">K25*J25</f>
        <v>0</v>
      </c>
      <c r="M25" s="40"/>
      <c r="N25" s="43">
        <f t="shared" ref="N25:N67" si="2">L25-H25</f>
        <v>0</v>
      </c>
      <c r="O25" s="44" t="str">
        <f t="shared" ref="O25:O47" si="3">IF((H25)=0,"",(N25/H25))</f>
        <v/>
      </c>
    </row>
    <row r="26" spans="1:15">
      <c r="A26" s="45"/>
      <c r="B26" s="49"/>
      <c r="C26" s="35"/>
      <c r="D26" s="36"/>
      <c r="E26" s="35"/>
      <c r="F26" s="46"/>
      <c r="G26" s="65">
        <v>1</v>
      </c>
      <c r="H26" s="39">
        <f t="shared" si="0"/>
        <v>0</v>
      </c>
      <c r="I26" s="40"/>
      <c r="J26" s="50"/>
      <c r="K26" s="226">
        <v>1</v>
      </c>
      <c r="L26" s="39">
        <f t="shared" si="1"/>
        <v>0</v>
      </c>
      <c r="M26" s="40"/>
      <c r="N26" s="43">
        <f t="shared" si="2"/>
        <v>0</v>
      </c>
      <c r="O26" s="44" t="str">
        <f t="shared" si="3"/>
        <v/>
      </c>
    </row>
    <row r="27" spans="1:15">
      <c r="A27" s="45"/>
      <c r="B27" s="49"/>
      <c r="C27" s="35"/>
      <c r="D27" s="36"/>
      <c r="E27" s="35"/>
      <c r="F27" s="46"/>
      <c r="G27" s="65">
        <v>1</v>
      </c>
      <c r="H27" s="39">
        <f t="shared" si="0"/>
        <v>0</v>
      </c>
      <c r="I27" s="40"/>
      <c r="J27" s="50"/>
      <c r="K27" s="226">
        <v>1</v>
      </c>
      <c r="L27" s="39">
        <f t="shared" si="1"/>
        <v>0</v>
      </c>
      <c r="M27" s="40"/>
      <c r="N27" s="43">
        <f t="shared" si="2"/>
        <v>0</v>
      </c>
      <c r="O27" s="44" t="str">
        <f t="shared" si="3"/>
        <v/>
      </c>
    </row>
    <row r="28" spans="1:15">
      <c r="A28" s="45"/>
      <c r="B28" s="49"/>
      <c r="C28" s="35"/>
      <c r="D28" s="36"/>
      <c r="E28" s="35"/>
      <c r="F28" s="46"/>
      <c r="G28" s="65">
        <v>1</v>
      </c>
      <c r="H28" s="39">
        <f t="shared" si="0"/>
        <v>0</v>
      </c>
      <c r="I28" s="40"/>
      <c r="J28" s="50"/>
      <c r="K28" s="226">
        <v>1</v>
      </c>
      <c r="L28" s="39">
        <f t="shared" si="1"/>
        <v>0</v>
      </c>
      <c r="M28" s="40"/>
      <c r="N28" s="43">
        <f t="shared" si="2"/>
        <v>0</v>
      </c>
      <c r="O28" s="44" t="str">
        <f t="shared" si="3"/>
        <v/>
      </c>
    </row>
    <row r="29" spans="1:15">
      <c r="A29" s="45"/>
      <c r="B29" s="34" t="s">
        <v>23</v>
      </c>
      <c r="C29" s="35"/>
      <c r="D29" s="36" t="s">
        <v>65</v>
      </c>
      <c r="E29" s="35"/>
      <c r="F29" s="46">
        <f>'[1]B. CurrentTariff'!C96</f>
        <v>7.8817000000000004</v>
      </c>
      <c r="G29" s="65">
        <f t="shared" ref="G29:G38" si="4">$F$18</f>
        <v>1</v>
      </c>
      <c r="H29" s="39">
        <f t="shared" si="0"/>
        <v>7.8817000000000004</v>
      </c>
      <c r="I29" s="40"/>
      <c r="J29" s="41">
        <f>'[1]G. RateDesign'!G49</f>
        <v>9.0251276561028053</v>
      </c>
      <c r="K29" s="227">
        <f>$F$18</f>
        <v>1</v>
      </c>
      <c r="L29" s="39">
        <f t="shared" si="1"/>
        <v>9.0251276561028053</v>
      </c>
      <c r="M29" s="40"/>
      <c r="N29" s="43">
        <f t="shared" si="2"/>
        <v>1.1434276561028049</v>
      </c>
      <c r="O29" s="44">
        <f t="shared" si="3"/>
        <v>0.14507373486719932</v>
      </c>
    </row>
    <row r="30" spans="1:15">
      <c r="A30" s="45"/>
      <c r="B30" s="34" t="s">
        <v>22</v>
      </c>
      <c r="C30" s="35"/>
      <c r="D30" s="36" t="s">
        <v>65</v>
      </c>
      <c r="E30" s="35"/>
      <c r="F30" s="46"/>
      <c r="G30" s="65">
        <f t="shared" si="4"/>
        <v>1</v>
      </c>
      <c r="H30" s="39">
        <f t="shared" si="0"/>
        <v>0</v>
      </c>
      <c r="I30" s="40"/>
      <c r="J30" s="50"/>
      <c r="K30" s="227">
        <f t="shared" ref="K30:K38" si="5">$F$18</f>
        <v>1</v>
      </c>
      <c r="L30" s="39">
        <f t="shared" si="1"/>
        <v>0</v>
      </c>
      <c r="M30" s="40"/>
      <c r="N30" s="43">
        <f t="shared" si="2"/>
        <v>0</v>
      </c>
      <c r="O30" s="44" t="str">
        <f t="shared" si="3"/>
        <v/>
      </c>
    </row>
    <row r="31" spans="1:15">
      <c r="A31" s="45"/>
      <c r="B31" s="34" t="s">
        <v>25</v>
      </c>
      <c r="C31" s="35"/>
      <c r="D31" s="36" t="s">
        <v>65</v>
      </c>
      <c r="E31" s="35"/>
      <c r="F31" s="46"/>
      <c r="G31" s="65">
        <f t="shared" si="4"/>
        <v>1</v>
      </c>
      <c r="H31" s="39">
        <f t="shared" si="0"/>
        <v>0</v>
      </c>
      <c r="I31" s="40"/>
      <c r="J31" s="50"/>
      <c r="K31" s="227">
        <f t="shared" si="5"/>
        <v>1</v>
      </c>
      <c r="L31" s="39">
        <f t="shared" si="1"/>
        <v>0</v>
      </c>
      <c r="M31" s="40"/>
      <c r="N31" s="43">
        <f t="shared" si="2"/>
        <v>0</v>
      </c>
      <c r="O31" s="44" t="str">
        <f t="shared" si="3"/>
        <v/>
      </c>
    </row>
    <row r="32" spans="1:15">
      <c r="A32" s="45"/>
      <c r="B32" s="47" t="s">
        <v>21</v>
      </c>
      <c r="C32" s="35"/>
      <c r="D32" s="36"/>
      <c r="E32" s="35"/>
      <c r="F32" s="46"/>
      <c r="G32" s="65">
        <f t="shared" si="4"/>
        <v>1</v>
      </c>
      <c r="H32" s="39">
        <f>G32*F32</f>
        <v>0</v>
      </c>
      <c r="I32" s="40"/>
      <c r="J32" s="50"/>
      <c r="K32" s="227">
        <f t="shared" si="5"/>
        <v>1</v>
      </c>
      <c r="L32" s="39">
        <f>K32*J32</f>
        <v>0</v>
      </c>
      <c r="M32" s="40"/>
      <c r="N32" s="43">
        <f>L32-H32</f>
        <v>0</v>
      </c>
      <c r="O32" s="44" t="str">
        <f>IF((H32)=0,"",(N32/H32))</f>
        <v/>
      </c>
    </row>
    <row r="33" spans="1:15">
      <c r="A33" s="45"/>
      <c r="B33" s="47"/>
      <c r="C33" s="35"/>
      <c r="D33" s="36"/>
      <c r="E33" s="35"/>
      <c r="F33" s="46"/>
      <c r="G33" s="65">
        <f t="shared" si="4"/>
        <v>1</v>
      </c>
      <c r="H33" s="39">
        <f>G33*F33</f>
        <v>0</v>
      </c>
      <c r="I33" s="40"/>
      <c r="J33" s="50"/>
      <c r="K33" s="227">
        <f t="shared" si="5"/>
        <v>1</v>
      </c>
      <c r="L33" s="39">
        <f>K33*J33</f>
        <v>0</v>
      </c>
      <c r="M33" s="40"/>
      <c r="N33" s="43">
        <f>L33-H33</f>
        <v>0</v>
      </c>
      <c r="O33" s="44" t="str">
        <f>IF((H33)=0,"",(N33/H33))</f>
        <v/>
      </c>
    </row>
    <row r="34" spans="1:15">
      <c r="A34" s="45"/>
      <c r="B34" s="47"/>
      <c r="C34" s="35"/>
      <c r="D34" s="36"/>
      <c r="E34" s="35"/>
      <c r="F34" s="46"/>
      <c r="G34" s="65">
        <f t="shared" si="4"/>
        <v>1</v>
      </c>
      <c r="H34" s="39">
        <f>G34*F34</f>
        <v>0</v>
      </c>
      <c r="I34" s="40"/>
      <c r="J34" s="50"/>
      <c r="K34" s="227">
        <f t="shared" si="5"/>
        <v>1</v>
      </c>
      <c r="L34" s="39">
        <f>K34*J34</f>
        <v>0</v>
      </c>
      <c r="M34" s="40"/>
      <c r="N34" s="43">
        <f>L34-H34</f>
        <v>0</v>
      </c>
      <c r="O34" s="44" t="str">
        <f>IF((H34)=0,"",(N34/H34))</f>
        <v/>
      </c>
    </row>
    <row r="35" spans="1:15">
      <c r="A35" s="45"/>
      <c r="B35" s="47"/>
      <c r="C35" s="35"/>
      <c r="D35" s="36"/>
      <c r="E35" s="35"/>
      <c r="F35" s="46"/>
      <c r="G35" s="65">
        <f t="shared" si="4"/>
        <v>1</v>
      </c>
      <c r="H35" s="39">
        <f t="shared" si="0"/>
        <v>0</v>
      </c>
      <c r="I35" s="40"/>
      <c r="J35" s="50"/>
      <c r="K35" s="227">
        <f t="shared" si="5"/>
        <v>1</v>
      </c>
      <c r="L35" s="39">
        <f t="shared" si="1"/>
        <v>0</v>
      </c>
      <c r="M35" s="40"/>
      <c r="N35" s="43">
        <f t="shared" si="2"/>
        <v>0</v>
      </c>
      <c r="O35" s="44" t="str">
        <f t="shared" si="3"/>
        <v/>
      </c>
    </row>
    <row r="36" spans="1:15">
      <c r="A36" s="45"/>
      <c r="B36" s="47"/>
      <c r="C36" s="35"/>
      <c r="D36" s="36"/>
      <c r="E36" s="35"/>
      <c r="F36" s="46"/>
      <c r="G36" s="65">
        <f t="shared" si="4"/>
        <v>1</v>
      </c>
      <c r="H36" s="39">
        <f t="shared" si="0"/>
        <v>0</v>
      </c>
      <c r="I36" s="40"/>
      <c r="J36" s="50"/>
      <c r="K36" s="227">
        <f t="shared" si="5"/>
        <v>1</v>
      </c>
      <c r="L36" s="39">
        <f t="shared" si="1"/>
        <v>0</v>
      </c>
      <c r="M36" s="40"/>
      <c r="N36" s="43">
        <f t="shared" si="2"/>
        <v>0</v>
      </c>
      <c r="O36" s="44" t="str">
        <f t="shared" si="3"/>
        <v/>
      </c>
    </row>
    <row r="37" spans="1:15">
      <c r="A37" s="45"/>
      <c r="B37" s="47"/>
      <c r="C37" s="35"/>
      <c r="D37" s="36"/>
      <c r="E37" s="35"/>
      <c r="F37" s="46"/>
      <c r="G37" s="65">
        <f t="shared" si="4"/>
        <v>1</v>
      </c>
      <c r="H37" s="39">
        <f t="shared" si="0"/>
        <v>0</v>
      </c>
      <c r="I37" s="40"/>
      <c r="J37" s="50"/>
      <c r="K37" s="227">
        <f t="shared" si="5"/>
        <v>1</v>
      </c>
      <c r="L37" s="39">
        <f t="shared" si="1"/>
        <v>0</v>
      </c>
      <c r="M37" s="40"/>
      <c r="N37" s="43">
        <f t="shared" si="2"/>
        <v>0</v>
      </c>
      <c r="O37" s="44" t="str">
        <f t="shared" si="3"/>
        <v/>
      </c>
    </row>
    <row r="38" spans="1:15">
      <c r="A38" s="45"/>
      <c r="B38" s="47"/>
      <c r="C38" s="35"/>
      <c r="D38" s="36"/>
      <c r="E38" s="35"/>
      <c r="F38" s="46"/>
      <c r="G38" s="65">
        <f t="shared" si="4"/>
        <v>1</v>
      </c>
      <c r="H38" s="39">
        <f t="shared" si="0"/>
        <v>0</v>
      </c>
      <c r="I38" s="40"/>
      <c r="J38" s="50"/>
      <c r="K38" s="227">
        <f t="shared" si="5"/>
        <v>1</v>
      </c>
      <c r="L38" s="39">
        <f t="shared" si="1"/>
        <v>0</v>
      </c>
      <c r="M38" s="40"/>
      <c r="N38" s="43">
        <f t="shared" si="2"/>
        <v>0</v>
      </c>
      <c r="O38" s="44" t="str">
        <f t="shared" si="3"/>
        <v/>
      </c>
    </row>
    <row r="39" spans="1:15">
      <c r="A39" s="45"/>
      <c r="B39" s="51" t="s">
        <v>26</v>
      </c>
      <c r="C39" s="52"/>
      <c r="D39" s="53"/>
      <c r="E39" s="52"/>
      <c r="F39" s="54"/>
      <c r="G39" s="228"/>
      <c r="H39" s="56">
        <f>SUM(H23:H38)</f>
        <v>10.4817</v>
      </c>
      <c r="I39" s="57"/>
      <c r="J39" s="58"/>
      <c r="K39" s="229"/>
      <c r="L39" s="56">
        <f>SUM(L23:L38)</f>
        <v>12.605127656102805</v>
      </c>
      <c r="M39" s="57"/>
      <c r="N39" s="60">
        <f t="shared" si="2"/>
        <v>2.1234276561028054</v>
      </c>
      <c r="O39" s="61">
        <f t="shared" si="3"/>
        <v>0.20258428080395408</v>
      </c>
    </row>
    <row r="40" spans="1:15" ht="51">
      <c r="A40" s="62"/>
      <c r="B40" s="47" t="str">
        <f>'[1]J. DVA'!$B$16</f>
        <v>Rate Rider Calculation for Deferral / Variance Accounts Balances (excluding Global Adj.)</v>
      </c>
      <c r="C40" s="35"/>
      <c r="D40" s="36" t="s">
        <v>65</v>
      </c>
      <c r="E40" s="35"/>
      <c r="F40" s="64"/>
      <c r="G40" s="65">
        <f>$F$18</f>
        <v>1</v>
      </c>
      <c r="H40" s="66">
        <f t="shared" ref="H40:H48" si="6">G40*F40</f>
        <v>0</v>
      </c>
      <c r="I40" s="67"/>
      <c r="J40" s="64">
        <f>'[1]J. DVA'!F24</f>
        <v>-0.29442055101947512</v>
      </c>
      <c r="K40" s="227">
        <f t="shared" ref="K40:K46" si="7">$F$18</f>
        <v>1</v>
      </c>
      <c r="L40" s="66">
        <f>K40*J40</f>
        <v>-0.29442055101947512</v>
      </c>
      <c r="M40" s="67"/>
      <c r="N40" s="68">
        <f>L40-H40</f>
        <v>-0.29442055101947512</v>
      </c>
      <c r="O40" s="71" t="str">
        <f>IF((H40)=0,"",(N40/H40))</f>
        <v/>
      </c>
    </row>
    <row r="41" spans="1:15" ht="51">
      <c r="A41" s="70"/>
      <c r="B41" s="47" t="str">
        <f>'[1]J. DVA'!$B$42</f>
        <v>Rate Rider Calculation for Deferral / Variance Accounts Balances (excluding Global Adj.) - NON-WMP</v>
      </c>
      <c r="C41" s="35"/>
      <c r="D41" s="36" t="s">
        <v>65</v>
      </c>
      <c r="E41" s="35"/>
      <c r="F41" s="64"/>
      <c r="G41" s="65">
        <f t="shared" ref="G41:G44" si="8">$F$18</f>
        <v>1</v>
      </c>
      <c r="H41" s="66">
        <f t="shared" si="6"/>
        <v>0</v>
      </c>
      <c r="I41" s="67"/>
      <c r="J41" s="64">
        <f>'[1]J. DVA'!F50</f>
        <v>-0.95027756989382417</v>
      </c>
      <c r="K41" s="227">
        <f t="shared" si="7"/>
        <v>1</v>
      </c>
      <c r="L41" s="66">
        <f t="shared" ref="L41:L44" si="9">K41*J41</f>
        <v>-0.95027756989382417</v>
      </c>
      <c r="M41" s="67"/>
      <c r="N41" s="68">
        <f t="shared" ref="N41:N44" si="10">L41-H41</f>
        <v>-0.95027756989382417</v>
      </c>
      <c r="O41" s="71" t="str">
        <f>IF((H41)=0,"",(N41/H41))</f>
        <v/>
      </c>
    </row>
    <row r="42" spans="1:15" ht="38.25">
      <c r="A42" s="70"/>
      <c r="B42" s="47" t="str">
        <f>'[1]J. DVA'!$B$68</f>
        <v>Rate Rider Calculation for RSVA - Power - Global Adjustment</v>
      </c>
      <c r="C42" s="35"/>
      <c r="D42" s="36" t="s">
        <v>65</v>
      </c>
      <c r="E42" s="35"/>
      <c r="F42" s="64"/>
      <c r="G42" s="65">
        <f t="shared" si="8"/>
        <v>1</v>
      </c>
      <c r="H42" s="66"/>
      <c r="I42" s="67"/>
      <c r="J42" s="230">
        <v>0</v>
      </c>
      <c r="K42" s="227">
        <f t="shared" si="7"/>
        <v>1</v>
      </c>
      <c r="L42" s="66">
        <f t="shared" si="9"/>
        <v>0</v>
      </c>
      <c r="M42" s="67"/>
      <c r="N42" s="68">
        <f t="shared" si="10"/>
        <v>0</v>
      </c>
      <c r="O42" s="71"/>
    </row>
    <row r="43" spans="1:15" ht="25.5">
      <c r="A43" s="70"/>
      <c r="B43" s="47" t="str">
        <f>'[1]J. DVA'!$B$121</f>
        <v>Rate Rider Calculation for Group 2 Accounts</v>
      </c>
      <c r="C43" s="35"/>
      <c r="D43" s="36" t="s">
        <v>65</v>
      </c>
      <c r="E43" s="35"/>
      <c r="F43" s="64"/>
      <c r="G43" s="65">
        <f t="shared" si="8"/>
        <v>1</v>
      </c>
      <c r="H43" s="66"/>
      <c r="I43" s="67"/>
      <c r="J43" s="64">
        <f>'[1]J. DVA'!F129</f>
        <v>2.8831374867736497E-2</v>
      </c>
      <c r="K43" s="227">
        <f t="shared" si="7"/>
        <v>1</v>
      </c>
      <c r="L43" s="66">
        <f t="shared" si="9"/>
        <v>2.8831374867736497E-2</v>
      </c>
      <c r="M43" s="67"/>
      <c r="N43" s="68">
        <f t="shared" si="10"/>
        <v>2.8831374867736497E-2</v>
      </c>
      <c r="O43" s="71"/>
    </row>
    <row r="44" spans="1:15" ht="25.5">
      <c r="A44" s="62"/>
      <c r="B44" s="47" t="str">
        <f>'[1]J. DVA'!$B$147</f>
        <v>Rate Rider Calculation for Accounts 1575 and 1576</v>
      </c>
      <c r="C44" s="35"/>
      <c r="D44" s="36" t="s">
        <v>65</v>
      </c>
      <c r="E44" s="35"/>
      <c r="F44" s="64"/>
      <c r="G44" s="65">
        <f t="shared" si="8"/>
        <v>1</v>
      </c>
      <c r="H44" s="66">
        <f t="shared" si="6"/>
        <v>0</v>
      </c>
      <c r="I44" s="67"/>
      <c r="J44" s="64">
        <f>'[1]J. DVA'!F157</f>
        <v>8.4209847722163611E-2</v>
      </c>
      <c r="K44" s="227">
        <f t="shared" si="7"/>
        <v>1</v>
      </c>
      <c r="L44" s="66">
        <f t="shared" si="9"/>
        <v>8.4209847722163611E-2</v>
      </c>
      <c r="M44" s="67"/>
      <c r="N44" s="68">
        <f t="shared" si="10"/>
        <v>8.4209847722163611E-2</v>
      </c>
      <c r="O44" s="71" t="str">
        <f>IF((H44)=0,"",(N44/H44))</f>
        <v/>
      </c>
    </row>
    <row r="45" spans="1:15" ht="25.5">
      <c r="A45" s="62"/>
      <c r="B45" s="47" t="str">
        <f>'[1]J. DVA'!$B$175</f>
        <v>Rate Rider Calculation for Accounts 1568</v>
      </c>
      <c r="C45" s="35"/>
      <c r="D45" s="36" t="s">
        <v>65</v>
      </c>
      <c r="E45" s="35"/>
      <c r="F45" s="64"/>
      <c r="G45" s="65">
        <f>$F$18</f>
        <v>1</v>
      </c>
      <c r="H45" s="66">
        <f t="shared" si="6"/>
        <v>0</v>
      </c>
      <c r="I45" s="67"/>
      <c r="J45" s="64">
        <f>'[1]J. DVA'!F185</f>
        <v>0</v>
      </c>
      <c r="K45" s="227">
        <f t="shared" si="7"/>
        <v>1</v>
      </c>
      <c r="L45" s="66">
        <f>K45*J45</f>
        <v>0</v>
      </c>
      <c r="M45" s="67"/>
      <c r="N45" s="68">
        <f>L45-H45</f>
        <v>0</v>
      </c>
      <c r="O45" s="71" t="str">
        <f>IF((H45)=0,"",(N45/H45))</f>
        <v/>
      </c>
    </row>
    <row r="46" spans="1:15">
      <c r="A46" s="62"/>
      <c r="B46" s="47" t="s">
        <v>27</v>
      </c>
      <c r="C46" s="35"/>
      <c r="D46" s="36" t="s">
        <v>65</v>
      </c>
      <c r="E46" s="35"/>
      <c r="F46" s="64">
        <v>0.31209999999999999</v>
      </c>
      <c r="G46" s="65">
        <f>$F$18</f>
        <v>1</v>
      </c>
      <c r="H46" s="66">
        <f t="shared" si="6"/>
        <v>0.31209999999999999</v>
      </c>
      <c r="I46" s="67"/>
      <c r="J46" s="64">
        <f>'[2]4.12 PowerSupplExp'!$I$174</f>
        <v>0.2268</v>
      </c>
      <c r="K46" s="227">
        <f t="shared" si="7"/>
        <v>1</v>
      </c>
      <c r="L46" s="66">
        <f>K46*J46</f>
        <v>0.2268</v>
      </c>
      <c r="M46" s="67"/>
      <c r="N46" s="68">
        <f>L46-H46</f>
        <v>-8.5299999999999987E-2</v>
      </c>
      <c r="O46" s="71">
        <f>IF((H46)=0,"",(N46/H46))</f>
        <v>-0.27330983659083624</v>
      </c>
    </row>
    <row r="47" spans="1:15">
      <c r="A47" s="45"/>
      <c r="B47" s="34" t="s">
        <v>28</v>
      </c>
      <c r="C47" s="35"/>
      <c r="D47" s="36" t="s">
        <v>65</v>
      </c>
      <c r="E47" s="35"/>
      <c r="F47" s="72">
        <f>IF(ISBLANK(D16)=1, 0, IF(D16="TOU", 0.64*$F$57+0.18*$F$58+0.18*$F$59, IF(AND(D16="non-TOU", G61&gt;0), F61,F60)))</f>
        <v>9.5000000000000001E-2</v>
      </c>
      <c r="G47" s="267">
        <f>+G53*F76</f>
        <v>3.9</v>
      </c>
      <c r="H47" s="66">
        <f t="shared" si="6"/>
        <v>0.3705</v>
      </c>
      <c r="I47" s="67"/>
      <c r="J47" s="72">
        <f>0.64*$F$57+0.18*$F$58+0.18*$F$59</f>
        <v>9.5000000000000001E-2</v>
      </c>
      <c r="K47" s="268">
        <f>+K53*J76</f>
        <v>4.5699999999999994</v>
      </c>
      <c r="L47" s="66">
        <f t="shared" ref="L47:L48" si="11">K47*J47</f>
        <v>0.43414999999999992</v>
      </c>
      <c r="M47" s="67"/>
      <c r="N47" s="68">
        <f t="shared" si="2"/>
        <v>6.3649999999999929E-2</v>
      </c>
      <c r="O47" s="71">
        <f t="shared" si="3"/>
        <v>0.1717948717948716</v>
      </c>
    </row>
    <row r="48" spans="1:15">
      <c r="A48" s="45"/>
      <c r="B48" s="34" t="s">
        <v>29</v>
      </c>
      <c r="C48" s="35"/>
      <c r="D48" s="36" t="s">
        <v>65</v>
      </c>
      <c r="E48" s="35"/>
      <c r="F48" s="72">
        <v>0.79</v>
      </c>
      <c r="G48" s="65">
        <v>1</v>
      </c>
      <c r="H48" s="66">
        <f t="shared" si="6"/>
        <v>0.79</v>
      </c>
      <c r="I48" s="67"/>
      <c r="J48" s="72">
        <v>0.79</v>
      </c>
      <c r="K48" s="227">
        <v>1</v>
      </c>
      <c r="L48" s="66">
        <f t="shared" si="11"/>
        <v>0.79</v>
      </c>
      <c r="M48" s="67"/>
      <c r="N48" s="68">
        <f t="shared" si="2"/>
        <v>0</v>
      </c>
      <c r="O48" s="71"/>
    </row>
    <row r="49" spans="1:20" ht="25.5">
      <c r="B49" s="78" t="s">
        <v>30</v>
      </c>
      <c r="C49" s="79"/>
      <c r="D49" s="79"/>
      <c r="E49" s="79"/>
      <c r="F49" s="80"/>
      <c r="G49" s="231"/>
      <c r="H49" s="82">
        <f>SUM(H40:H48)+H39</f>
        <v>11.9543</v>
      </c>
      <c r="I49" s="57"/>
      <c r="J49" s="81"/>
      <c r="K49" s="232"/>
      <c r="L49" s="82">
        <f>SUM(L40:L48)+L39</f>
        <v>12.924420757779407</v>
      </c>
      <c r="M49" s="57"/>
      <c r="N49" s="60">
        <f t="shared" si="2"/>
        <v>0.97012075777940687</v>
      </c>
      <c r="O49" s="61">
        <f t="shared" ref="O49:O67" si="12">IF((H49)=0,"",(N49/H49))</f>
        <v>8.1152452069916836E-2</v>
      </c>
    </row>
    <row r="50" spans="1:20">
      <c r="B50" s="84" t="s">
        <v>31</v>
      </c>
      <c r="C50" s="40"/>
      <c r="D50" s="36" t="s">
        <v>65</v>
      </c>
      <c r="E50" s="40"/>
      <c r="F50" s="50">
        <v>1.7950999999999999</v>
      </c>
      <c r="G50" s="233">
        <f>F18*(1+F76)</f>
        <v>1.0389999999999999</v>
      </c>
      <c r="H50" s="39">
        <f>G50*F50</f>
        <v>1.8651088999999998</v>
      </c>
      <c r="I50" s="40"/>
      <c r="J50" s="50">
        <f>'[2]4.12 PowerSupplExp'!$N$61</f>
        <v>1.718771417466135</v>
      </c>
      <c r="K50" s="234">
        <f>F18*(1+J76)</f>
        <v>1.0457000000000001</v>
      </c>
      <c r="L50" s="39">
        <f>K50*J50</f>
        <v>1.7973192712443375</v>
      </c>
      <c r="M50" s="40"/>
      <c r="N50" s="43">
        <f t="shared" si="2"/>
        <v>-6.7789628755662301E-2</v>
      </c>
      <c r="O50" s="44">
        <f t="shared" si="12"/>
        <v>-3.6346204104040415E-2</v>
      </c>
    </row>
    <row r="51" spans="1:20" ht="25.5">
      <c r="B51" s="84" t="s">
        <v>32</v>
      </c>
      <c r="C51" s="40"/>
      <c r="D51" s="36" t="s">
        <v>65</v>
      </c>
      <c r="E51" s="40"/>
      <c r="F51" s="50">
        <v>1.2596000000000001</v>
      </c>
      <c r="G51" s="233">
        <f>G50</f>
        <v>1.0389999999999999</v>
      </c>
      <c r="H51" s="39">
        <f>G51*F51</f>
        <v>1.3087244</v>
      </c>
      <c r="I51" s="40"/>
      <c r="J51" s="50">
        <f>'[2]4.12 PowerSupplExp'!$N$77</f>
        <v>1.2874571475255887</v>
      </c>
      <c r="K51" s="234">
        <f>K50</f>
        <v>1.0457000000000001</v>
      </c>
      <c r="L51" s="39">
        <f>K51*J51</f>
        <v>1.3462939391675082</v>
      </c>
      <c r="M51" s="40"/>
      <c r="N51" s="43">
        <f t="shared" si="2"/>
        <v>3.7569539167508159E-2</v>
      </c>
      <c r="O51" s="44">
        <f t="shared" si="12"/>
        <v>2.8706990690712392E-2</v>
      </c>
    </row>
    <row r="52" spans="1:20" ht="25.5">
      <c r="B52" s="78" t="s">
        <v>33</v>
      </c>
      <c r="C52" s="52"/>
      <c r="D52" s="52"/>
      <c r="E52" s="52"/>
      <c r="F52" s="88"/>
      <c r="G52" s="231"/>
      <c r="H52" s="82">
        <f>SUM(H49:H51)</f>
        <v>15.128133299999998</v>
      </c>
      <c r="I52" s="89"/>
      <c r="J52" s="90"/>
      <c r="K52" s="235"/>
      <c r="L52" s="82">
        <f>SUM(L49:L51)</f>
        <v>16.068033968191251</v>
      </c>
      <c r="M52" s="89"/>
      <c r="N52" s="60">
        <f t="shared" si="2"/>
        <v>0.93990066819125317</v>
      </c>
      <c r="O52" s="61">
        <f t="shared" si="12"/>
        <v>6.2129322207337592E-2</v>
      </c>
    </row>
    <row r="53" spans="1:20" ht="25.5">
      <c r="B53" s="34" t="s">
        <v>34</v>
      </c>
      <c r="C53" s="35"/>
      <c r="D53" s="92" t="s">
        <v>24</v>
      </c>
      <c r="E53" s="35"/>
      <c r="F53" s="236">
        <v>4.4000000000000003E-3</v>
      </c>
      <c r="G53" s="233">
        <v>100</v>
      </c>
      <c r="H53" s="237">
        <f t="shared" ref="H53:H59" si="13">G53*F53</f>
        <v>0.44</v>
      </c>
      <c r="I53" s="45"/>
      <c r="J53" s="236">
        <v>4.4000000000000003E-3</v>
      </c>
      <c r="K53" s="234">
        <v>100</v>
      </c>
      <c r="L53" s="238">
        <f>K53*J53</f>
        <v>0.44</v>
      </c>
      <c r="M53" s="40"/>
      <c r="N53" s="239">
        <f t="shared" si="2"/>
        <v>0</v>
      </c>
      <c r="O53" s="44">
        <f>IF((H53)=0,"",(N53/H53))</f>
        <v>0</v>
      </c>
    </row>
    <row r="54" spans="1:20" ht="25.5">
      <c r="B54" s="34" t="s">
        <v>35</v>
      </c>
      <c r="C54" s="35"/>
      <c r="D54" s="92" t="s">
        <v>24</v>
      </c>
      <c r="E54" s="35"/>
      <c r="F54" s="236">
        <v>1.1999999999999999E-3</v>
      </c>
      <c r="G54" s="233">
        <v>100</v>
      </c>
      <c r="H54" s="240">
        <f t="shared" si="13"/>
        <v>0.12</v>
      </c>
      <c r="I54" s="45"/>
      <c r="J54" s="236">
        <v>1.1999999999999999E-3</v>
      </c>
      <c r="K54" s="234">
        <v>100</v>
      </c>
      <c r="L54" s="39">
        <f t="shared" ref="L54:L59" si="14">K54*J54</f>
        <v>0.12</v>
      </c>
      <c r="M54" s="40"/>
      <c r="N54" s="43">
        <f t="shared" si="2"/>
        <v>0</v>
      </c>
      <c r="O54" s="44">
        <f t="shared" si="12"/>
        <v>0</v>
      </c>
    </row>
    <row r="55" spans="1:20" ht="25.5">
      <c r="B55" s="34" t="s">
        <v>36</v>
      </c>
      <c r="C55" s="35"/>
      <c r="D55" s="92" t="s">
        <v>19</v>
      </c>
      <c r="E55" s="35"/>
      <c r="F55" s="236">
        <v>0.25</v>
      </c>
      <c r="G55" s="65">
        <v>1</v>
      </c>
      <c r="H55" s="240">
        <f t="shared" si="13"/>
        <v>0.25</v>
      </c>
      <c r="I55" s="45"/>
      <c r="J55" s="236">
        <v>0.25</v>
      </c>
      <c r="K55" s="226">
        <v>1</v>
      </c>
      <c r="L55" s="39">
        <f t="shared" si="14"/>
        <v>0.25</v>
      </c>
      <c r="M55" s="40"/>
      <c r="N55" s="43">
        <f t="shared" si="2"/>
        <v>0</v>
      </c>
      <c r="O55" s="44">
        <f t="shared" si="12"/>
        <v>0</v>
      </c>
    </row>
    <row r="56" spans="1:20" ht="25.5">
      <c r="B56" s="34" t="s">
        <v>66</v>
      </c>
      <c r="C56" s="35"/>
      <c r="D56" s="92" t="s">
        <v>24</v>
      </c>
      <c r="E56" s="35"/>
      <c r="F56" s="50">
        <v>4.8999999999999998E-3</v>
      </c>
      <c r="G56" s="241">
        <f>F18</f>
        <v>1</v>
      </c>
      <c r="H56" s="240">
        <f t="shared" si="13"/>
        <v>4.8999999999999998E-3</v>
      </c>
      <c r="I56" s="45"/>
      <c r="J56" s="50">
        <v>4.8999999999999998E-3</v>
      </c>
      <c r="K56" s="242">
        <f>F18</f>
        <v>1</v>
      </c>
      <c r="L56" s="39">
        <f t="shared" si="14"/>
        <v>4.8999999999999998E-3</v>
      </c>
      <c r="M56" s="40"/>
      <c r="N56" s="43">
        <f t="shared" si="2"/>
        <v>0</v>
      </c>
      <c r="O56" s="44">
        <f t="shared" si="12"/>
        <v>0</v>
      </c>
    </row>
    <row r="57" spans="1:20">
      <c r="B57" s="74" t="s">
        <v>38</v>
      </c>
      <c r="C57" s="35"/>
      <c r="D57" s="92" t="s">
        <v>24</v>
      </c>
      <c r="E57" s="35"/>
      <c r="F57" s="243">
        <v>7.6999999999999999E-2</v>
      </c>
      <c r="G57" s="244">
        <f>0.64*100</f>
        <v>64</v>
      </c>
      <c r="H57" s="240">
        <f t="shared" si="13"/>
        <v>4.9279999999999999</v>
      </c>
      <c r="I57" s="45"/>
      <c r="J57" s="236">
        <v>7.6999999999999999E-2</v>
      </c>
      <c r="K57" s="245">
        <f>G57</f>
        <v>64</v>
      </c>
      <c r="L57" s="39">
        <f t="shared" si="14"/>
        <v>4.9279999999999999</v>
      </c>
      <c r="M57" s="40"/>
      <c r="N57" s="43">
        <f t="shared" si="2"/>
        <v>0</v>
      </c>
      <c r="O57" s="44">
        <f t="shared" si="12"/>
        <v>0</v>
      </c>
      <c r="S57" s="97"/>
    </row>
    <row r="58" spans="1:20">
      <c r="B58" s="74" t="s">
        <v>39</v>
      </c>
      <c r="C58" s="35"/>
      <c r="D58" s="92" t="s">
        <v>24</v>
      </c>
      <c r="E58" s="35"/>
      <c r="F58" s="243">
        <v>0.114</v>
      </c>
      <c r="G58" s="244">
        <f>0.18*100</f>
        <v>18</v>
      </c>
      <c r="H58" s="240">
        <f t="shared" si="13"/>
        <v>2.052</v>
      </c>
      <c r="I58" s="45"/>
      <c r="J58" s="236">
        <v>0.114</v>
      </c>
      <c r="K58" s="245">
        <f>G58</f>
        <v>18</v>
      </c>
      <c r="L58" s="39">
        <f t="shared" si="14"/>
        <v>2.052</v>
      </c>
      <c r="M58" s="40"/>
      <c r="N58" s="43">
        <f t="shared" si="2"/>
        <v>0</v>
      </c>
      <c r="O58" s="44">
        <f t="shared" si="12"/>
        <v>0</v>
      </c>
      <c r="S58" s="97"/>
    </row>
    <row r="59" spans="1:20">
      <c r="B59" s="20" t="s">
        <v>40</v>
      </c>
      <c r="C59" s="35"/>
      <c r="D59" s="92" t="s">
        <v>24</v>
      </c>
      <c r="E59" s="35"/>
      <c r="F59" s="243">
        <v>0.14000000000000001</v>
      </c>
      <c r="G59" s="244">
        <f>0.18*100</f>
        <v>18</v>
      </c>
      <c r="H59" s="240">
        <f t="shared" si="13"/>
        <v>2.5200000000000005</v>
      </c>
      <c r="I59" s="45"/>
      <c r="J59" s="236">
        <v>0.14000000000000001</v>
      </c>
      <c r="K59" s="245">
        <f>G59</f>
        <v>18</v>
      </c>
      <c r="L59" s="39">
        <f t="shared" si="14"/>
        <v>2.5200000000000005</v>
      </c>
      <c r="M59" s="40"/>
      <c r="N59" s="43">
        <f t="shared" si="2"/>
        <v>0</v>
      </c>
      <c r="O59" s="44">
        <f t="shared" si="12"/>
        <v>0</v>
      </c>
      <c r="S59" s="97"/>
    </row>
    <row r="60" spans="1:20">
      <c r="A60" s="98"/>
      <c r="B60" s="99" t="s">
        <v>41</v>
      </c>
      <c r="C60" s="100"/>
      <c r="D60" s="92" t="s">
        <v>24</v>
      </c>
      <c r="E60" s="100"/>
      <c r="F60" s="243">
        <v>8.5999999999999993E-2</v>
      </c>
      <c r="G60" s="246"/>
      <c r="H60" s="240">
        <f>G60*F60</f>
        <v>0</v>
      </c>
      <c r="I60" s="247"/>
      <c r="J60" s="236">
        <v>8.5999999999999993E-2</v>
      </c>
      <c r="K60" s="248">
        <f>G60</f>
        <v>0</v>
      </c>
      <c r="L60" s="39">
        <f>K60*J60</f>
        <v>0</v>
      </c>
      <c r="M60" s="102"/>
      <c r="N60" s="103">
        <f t="shared" si="2"/>
        <v>0</v>
      </c>
      <c r="O60" s="44" t="str">
        <f t="shared" si="12"/>
        <v/>
      </c>
      <c r="P60" s="98"/>
      <c r="Q60" s="98"/>
      <c r="R60" s="98"/>
      <c r="S60" s="98"/>
      <c r="T60" s="98"/>
    </row>
    <row r="61" spans="1:20" ht="15.75" thickBot="1">
      <c r="A61" s="98"/>
      <c r="B61" s="99" t="s">
        <v>42</v>
      </c>
      <c r="C61" s="100"/>
      <c r="D61" s="92" t="s">
        <v>24</v>
      </c>
      <c r="E61" s="100"/>
      <c r="F61" s="243">
        <v>0.10100000000000001</v>
      </c>
      <c r="G61" s="246">
        <f>IF(AND($T$1=1, F18&gt;=600), F18-600, IF(AND($T$1=1, AND(F18&lt;600, F18&gt;=0)), 0, IF(AND($T$1=2, F18&gt;=1000), F18-1000, IF(AND($T$1=2, AND(F18&lt;1000, F18&gt;=0)), 0))))</f>
        <v>0</v>
      </c>
      <c r="H61" s="240">
        <f>G61*F61</f>
        <v>0</v>
      </c>
      <c r="I61" s="247"/>
      <c r="J61" s="236">
        <v>0.10100000000000001</v>
      </c>
      <c r="K61" s="248">
        <f>G61</f>
        <v>0</v>
      </c>
      <c r="L61" s="39">
        <f>K61*J61</f>
        <v>0</v>
      </c>
      <c r="M61" s="102"/>
      <c r="N61" s="103">
        <f t="shared" si="2"/>
        <v>0</v>
      </c>
      <c r="O61" s="44" t="str">
        <f t="shared" si="12"/>
        <v/>
      </c>
      <c r="P61" s="98"/>
      <c r="Q61" s="98"/>
      <c r="R61" s="98"/>
      <c r="S61" s="98"/>
      <c r="T61" s="98"/>
    </row>
    <row r="62" spans="1:20" ht="15.75" thickBot="1">
      <c r="B62" s="104"/>
      <c r="C62" s="105"/>
      <c r="D62" s="106"/>
      <c r="E62" s="105"/>
      <c r="F62" s="107"/>
      <c r="G62" s="249"/>
      <c r="H62" s="109"/>
      <c r="I62" s="110"/>
      <c r="J62" s="107"/>
      <c r="K62" s="250"/>
      <c r="L62" s="109"/>
      <c r="M62" s="110"/>
      <c r="N62" s="112"/>
      <c r="O62" s="113"/>
    </row>
    <row r="63" spans="1:20" ht="25.5">
      <c r="B63" s="114" t="s">
        <v>43</v>
      </c>
      <c r="C63" s="35"/>
      <c r="D63" s="35"/>
      <c r="E63" s="35"/>
      <c r="F63" s="115"/>
      <c r="G63" s="251"/>
      <c r="H63" s="117">
        <f>SUM(H53:H59,H52)</f>
        <v>25.4430333</v>
      </c>
      <c r="I63" s="118"/>
      <c r="J63" s="119"/>
      <c r="K63" s="252"/>
      <c r="L63" s="117">
        <f>SUM(L53:L59,L52)</f>
        <v>26.382933968191253</v>
      </c>
      <c r="M63" s="120"/>
      <c r="N63" s="121">
        <f>L63-H63</f>
        <v>0.93990066819125317</v>
      </c>
      <c r="O63" s="122">
        <f>IF((H63)=0,"",(N63/H63))</f>
        <v>3.6941376333114069E-2</v>
      </c>
      <c r="S63" s="97"/>
    </row>
    <row r="64" spans="1:20">
      <c r="B64" s="123" t="s">
        <v>44</v>
      </c>
      <c r="C64" s="35"/>
      <c r="D64" s="35"/>
      <c r="E64" s="35"/>
      <c r="F64" s="124">
        <v>0.13</v>
      </c>
      <c r="G64" s="67"/>
      <c r="H64" s="125">
        <f>H63*F64</f>
        <v>3.3075943290000001</v>
      </c>
      <c r="I64" s="126"/>
      <c r="J64" s="127">
        <v>0.13</v>
      </c>
      <c r="K64" s="253"/>
      <c r="L64" s="128">
        <f>L63*J64</f>
        <v>3.4297814158648632</v>
      </c>
      <c r="M64" s="129"/>
      <c r="N64" s="130">
        <f t="shared" si="2"/>
        <v>0.12218708686486313</v>
      </c>
      <c r="O64" s="44">
        <f t="shared" si="12"/>
        <v>3.6941376333114131E-2</v>
      </c>
      <c r="S64" s="97"/>
    </row>
    <row r="65" spans="1:20">
      <c r="B65" s="131" t="s">
        <v>45</v>
      </c>
      <c r="C65" s="35"/>
      <c r="D65" s="35"/>
      <c r="E65" s="35"/>
      <c r="F65" s="132"/>
      <c r="G65" s="67"/>
      <c r="H65" s="125">
        <f>H63+H64</f>
        <v>28.750627629</v>
      </c>
      <c r="I65" s="126"/>
      <c r="J65" s="126"/>
      <c r="K65" s="253"/>
      <c r="L65" s="128">
        <f>L63+L64</f>
        <v>29.812715384056116</v>
      </c>
      <c r="M65" s="129"/>
      <c r="N65" s="130">
        <f t="shared" si="2"/>
        <v>1.0620877550561154</v>
      </c>
      <c r="O65" s="44">
        <f t="shared" si="12"/>
        <v>3.6941376333114048E-2</v>
      </c>
      <c r="S65" s="97"/>
    </row>
    <row r="66" spans="1:20" ht="15" customHeight="1">
      <c r="B66" s="133"/>
      <c r="C66" s="133"/>
      <c r="D66" s="133"/>
      <c r="E66" s="35"/>
      <c r="F66" s="132"/>
      <c r="G66" s="67"/>
      <c r="H66" s="134"/>
      <c r="I66" s="126"/>
      <c r="J66" s="126"/>
      <c r="K66" s="253"/>
      <c r="L66" s="135"/>
      <c r="M66" s="129"/>
      <c r="N66" s="136">
        <f t="shared" si="2"/>
        <v>0</v>
      </c>
      <c r="O66" s="137" t="str">
        <f t="shared" si="12"/>
        <v/>
      </c>
    </row>
    <row r="67" spans="1:20" ht="15.75" customHeight="1" thickBot="1">
      <c r="B67" s="138" t="s">
        <v>46</v>
      </c>
      <c r="C67" s="138"/>
      <c r="D67" s="138"/>
      <c r="E67" s="139"/>
      <c r="F67" s="140"/>
      <c r="G67" s="254"/>
      <c r="H67" s="142">
        <f>H65+H66</f>
        <v>28.750627629</v>
      </c>
      <c r="I67" s="143"/>
      <c r="J67" s="143"/>
      <c r="K67" s="255"/>
      <c r="L67" s="144">
        <f>L65+L66</f>
        <v>29.812715384056116</v>
      </c>
      <c r="M67" s="145"/>
      <c r="N67" s="146">
        <f t="shared" si="2"/>
        <v>1.0620877550561154</v>
      </c>
      <c r="O67" s="147">
        <f t="shared" si="12"/>
        <v>3.6941376333114048E-2</v>
      </c>
    </row>
    <row r="68" spans="1:20" ht="15.75" thickBot="1">
      <c r="A68" s="98"/>
      <c r="B68" s="148"/>
      <c r="C68" s="149"/>
      <c r="D68" s="150"/>
      <c r="E68" s="149"/>
      <c r="F68" s="107"/>
      <c r="G68" s="256"/>
      <c r="H68" s="109"/>
      <c r="I68" s="152"/>
      <c r="J68" s="107"/>
      <c r="K68" s="257"/>
      <c r="L68" s="109"/>
      <c r="M68" s="152"/>
      <c r="N68" s="154"/>
      <c r="O68" s="113"/>
      <c r="P68" s="98"/>
      <c r="Q68" s="98"/>
      <c r="R68" s="98"/>
      <c r="S68" s="98"/>
      <c r="T68" s="98"/>
    </row>
    <row r="69" spans="1:20" ht="25.5">
      <c r="A69" s="98"/>
      <c r="B69" s="155" t="s">
        <v>47</v>
      </c>
      <c r="C69" s="100"/>
      <c r="D69" s="100"/>
      <c r="E69" s="100"/>
      <c r="F69" s="156"/>
      <c r="G69" s="258"/>
      <c r="H69" s="158">
        <f>SUM(H60:H61,H52,H53:H56)</f>
        <v>15.943033299999996</v>
      </c>
      <c r="I69" s="159"/>
      <c r="J69" s="160"/>
      <c r="K69" s="259"/>
      <c r="L69" s="158">
        <f>SUM(L60:L61,L52,L53:L56)</f>
        <v>16.882933968191253</v>
      </c>
      <c r="M69" s="161"/>
      <c r="N69" s="162">
        <f>L69-H69</f>
        <v>0.93990066819125673</v>
      </c>
      <c r="O69" s="122">
        <f>IF((H69)=0,"",(N69/H69))</f>
        <v>5.8953691590875427E-2</v>
      </c>
      <c r="P69" s="98"/>
      <c r="Q69" s="98"/>
      <c r="R69" s="98"/>
      <c r="S69" s="98"/>
      <c r="T69" s="98"/>
    </row>
    <row r="70" spans="1:20">
      <c r="A70" s="98"/>
      <c r="B70" s="163" t="s">
        <v>44</v>
      </c>
      <c r="C70" s="100"/>
      <c r="D70" s="100"/>
      <c r="E70" s="100"/>
      <c r="F70" s="164">
        <v>0.13</v>
      </c>
      <c r="G70" s="258"/>
      <c r="H70" s="165">
        <f>H69*F70</f>
        <v>2.0725943289999997</v>
      </c>
      <c r="I70" s="166"/>
      <c r="J70" s="164">
        <v>0.13</v>
      </c>
      <c r="K70" s="260"/>
      <c r="L70" s="168">
        <f>L69*J70</f>
        <v>2.1947814158648629</v>
      </c>
      <c r="M70" s="102"/>
      <c r="N70" s="103">
        <f>L70-H70</f>
        <v>0.12218708686486313</v>
      </c>
      <c r="O70" s="44">
        <f>IF((H70)=0,"",(N70/H70))</f>
        <v>5.8953691590875303E-2</v>
      </c>
      <c r="P70" s="98"/>
      <c r="Q70" s="98"/>
      <c r="R70" s="98"/>
      <c r="S70" s="98"/>
      <c r="T70" s="98"/>
    </row>
    <row r="71" spans="1:20">
      <c r="A71" s="98"/>
      <c r="B71" s="169" t="s">
        <v>45</v>
      </c>
      <c r="C71" s="100"/>
      <c r="D71" s="100"/>
      <c r="E71" s="100"/>
      <c r="F71" s="170"/>
      <c r="G71" s="261"/>
      <c r="H71" s="165">
        <f>H69+H70</f>
        <v>18.015627628999997</v>
      </c>
      <c r="I71" s="166"/>
      <c r="J71" s="166"/>
      <c r="K71" s="262"/>
      <c r="L71" s="168">
        <f>L69+L70</f>
        <v>19.077715384056116</v>
      </c>
      <c r="M71" s="102"/>
      <c r="N71" s="103">
        <f>L71-H71</f>
        <v>1.062087755056119</v>
      </c>
      <c r="O71" s="44">
        <f>IF((H71)=0,"",(N71/H71))</f>
        <v>5.8953691590875358E-2</v>
      </c>
      <c r="P71" s="98"/>
      <c r="Q71" s="98"/>
      <c r="R71" s="98"/>
      <c r="S71" s="98"/>
      <c r="T71" s="98"/>
    </row>
    <row r="72" spans="1:20" ht="15" customHeight="1">
      <c r="A72" s="98"/>
      <c r="B72" s="171"/>
      <c r="C72" s="171"/>
      <c r="D72" s="171"/>
      <c r="E72" s="100"/>
      <c r="F72" s="170"/>
      <c r="G72" s="261"/>
      <c r="H72" s="172"/>
      <c r="I72" s="166"/>
      <c r="J72" s="166"/>
      <c r="K72" s="262"/>
      <c r="L72" s="173"/>
      <c r="M72" s="102"/>
      <c r="N72" s="174">
        <f>L72-H72</f>
        <v>0</v>
      </c>
      <c r="O72" s="137" t="str">
        <f>IF((H72)=0,"",(N72/H72))</f>
        <v/>
      </c>
      <c r="P72" s="98"/>
      <c r="Q72" s="98"/>
      <c r="R72" s="98"/>
      <c r="S72" s="98"/>
      <c r="T72" s="98"/>
    </row>
    <row r="73" spans="1:20" ht="15.75" customHeight="1" thickBot="1">
      <c r="A73" s="98"/>
      <c r="B73" s="175" t="s">
        <v>48</v>
      </c>
      <c r="C73" s="175"/>
      <c r="D73" s="175"/>
      <c r="E73" s="176"/>
      <c r="F73" s="177"/>
      <c r="G73" s="263"/>
      <c r="H73" s="179">
        <f>SUM(H71:H72)</f>
        <v>18.015627628999997</v>
      </c>
      <c r="I73" s="180"/>
      <c r="J73" s="180"/>
      <c r="K73" s="264"/>
      <c r="L73" s="181">
        <f>SUM(L71:L72)</f>
        <v>19.077715384056116</v>
      </c>
      <c r="M73" s="182"/>
      <c r="N73" s="183">
        <f>L73-H73</f>
        <v>1.062087755056119</v>
      </c>
      <c r="O73" s="184">
        <f>IF((H73)=0,"",(N73/H73))</f>
        <v>5.8953691590875358E-2</v>
      </c>
      <c r="P73" s="98"/>
      <c r="Q73" s="98"/>
      <c r="R73" s="98"/>
      <c r="S73" s="98"/>
      <c r="T73" s="98"/>
    </row>
    <row r="74" spans="1:20" ht="15.75" thickBot="1">
      <c r="A74" s="98"/>
      <c r="B74" s="148"/>
      <c r="C74" s="149"/>
      <c r="D74" s="150"/>
      <c r="E74" s="149"/>
      <c r="F74" s="185"/>
      <c r="G74" s="265"/>
      <c r="H74" s="187"/>
      <c r="I74" s="188"/>
      <c r="J74" s="185"/>
      <c r="K74" s="266"/>
      <c r="L74" s="189"/>
      <c r="M74" s="152"/>
      <c r="N74" s="190"/>
      <c r="O74" s="113"/>
      <c r="P74" s="98"/>
      <c r="Q74" s="98"/>
      <c r="R74" s="98"/>
      <c r="S74" s="98"/>
      <c r="T74" s="98"/>
    </row>
    <row r="75" spans="1:20">
      <c r="L75" s="97"/>
    </row>
    <row r="76" spans="1:20">
      <c r="B76" s="191" t="s">
        <v>49</v>
      </c>
      <c r="F76" s="192">
        <v>3.9E-2</v>
      </c>
      <c r="J76" s="192">
        <v>4.5699999999999998E-2</v>
      </c>
    </row>
    <row r="78" spans="1:20">
      <c r="A78" s="193" t="s">
        <v>50</v>
      </c>
    </row>
    <row r="80" spans="1:20">
      <c r="A80" s="2" t="s">
        <v>51</v>
      </c>
    </row>
    <row r="81" spans="1:2">
      <c r="A81" s="2" t="s">
        <v>52</v>
      </c>
    </row>
    <row r="83" spans="1:2">
      <c r="A83" s="194" t="s">
        <v>53</v>
      </c>
    </row>
    <row r="84" spans="1:2">
      <c r="A84" s="194" t="s">
        <v>54</v>
      </c>
    </row>
    <row r="86" spans="1:2">
      <c r="A86" s="2" t="s">
        <v>55</v>
      </c>
    </row>
    <row r="87" spans="1:2">
      <c r="A87" s="2" t="s">
        <v>56</v>
      </c>
    </row>
    <row r="88" spans="1:2">
      <c r="A88" s="2" t="s">
        <v>57</v>
      </c>
    </row>
    <row r="89" spans="1:2">
      <c r="A89" s="2" t="s">
        <v>58</v>
      </c>
    </row>
    <row r="90" spans="1:2">
      <c r="A90" s="2" t="s">
        <v>59</v>
      </c>
    </row>
    <row r="92" spans="1:2" ht="51.75">
      <c r="A92" s="195"/>
      <c r="B92" s="9" t="s">
        <v>60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opLeftCell="A61" workbookViewId="0">
      <selection activeCell="G61" sqref="G61"/>
    </sheetView>
  </sheetViews>
  <sheetFormatPr defaultRowHeight="15"/>
  <cols>
    <col min="1" max="1" width="11.28515625" style="2" customWidth="1"/>
    <col min="2" max="2" width="26.5703125" style="9" customWidth="1"/>
    <col min="3" max="3" width="1.28515625" style="2" customWidth="1"/>
    <col min="4" max="4" width="11.28515625" style="2" customWidth="1"/>
    <col min="5" max="5" width="1.28515625" style="2" customWidth="1"/>
    <col min="6" max="6" width="12.28515625" style="2" customWidth="1"/>
    <col min="7" max="7" width="8.5703125" style="217" customWidth="1"/>
    <col min="8" max="8" width="11.140625" style="2" customWidth="1"/>
    <col min="9" max="9" width="2.85546875" style="2" customWidth="1"/>
    <col min="10" max="10" width="12.140625" style="2" customWidth="1"/>
    <col min="11" max="11" width="8.5703125" style="217" customWidth="1"/>
    <col min="12" max="12" width="11.28515625" style="2" bestFit="1" customWidth="1"/>
    <col min="13" max="13" width="2.85546875" style="2" customWidth="1"/>
    <col min="14" max="14" width="12.7109375" style="2" customWidth="1"/>
    <col min="15" max="15" width="10.85546875" style="2" customWidth="1"/>
    <col min="16" max="16" width="3.85546875" style="2" customWidth="1"/>
    <col min="17" max="17" width="9.140625" style="2"/>
  </cols>
  <sheetData>
    <row r="1" spans="1:17" ht="20.25">
      <c r="A1" s="1"/>
      <c r="B1" s="1"/>
      <c r="C1" s="1"/>
      <c r="D1" s="1"/>
      <c r="E1" s="1"/>
      <c r="F1" s="1"/>
      <c r="G1" s="212"/>
      <c r="H1" s="1"/>
      <c r="I1" s="1"/>
      <c r="J1" s="1"/>
      <c r="K1" s="212"/>
      <c r="N1" s="3"/>
      <c r="O1" s="4"/>
    </row>
    <row r="2" spans="1:17" ht="18">
      <c r="A2" s="5"/>
      <c r="B2" s="6"/>
      <c r="C2" s="5"/>
      <c r="D2" s="5"/>
      <c r="E2" s="5"/>
      <c r="F2" s="5"/>
      <c r="G2" s="214"/>
      <c r="H2" s="5"/>
      <c r="I2" s="5"/>
      <c r="J2" s="5"/>
      <c r="K2" s="214"/>
      <c r="N2" s="3"/>
      <c r="O2" s="4"/>
    </row>
    <row r="3" spans="1:17" ht="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/>
      <c r="O3" s="4"/>
    </row>
    <row r="4" spans="1:17" ht="18">
      <c r="A4" s="5"/>
      <c r="B4" s="6"/>
      <c r="C4" s="5"/>
      <c r="D4" s="5"/>
      <c r="E4" s="5"/>
      <c r="F4" s="5"/>
      <c r="G4" s="214"/>
      <c r="H4" s="5"/>
      <c r="I4" s="8"/>
      <c r="J4" s="8"/>
      <c r="K4" s="218"/>
      <c r="N4" s="3"/>
      <c r="O4" s="4"/>
    </row>
    <row r="5" spans="1:17" ht="15.75">
      <c r="C5" s="10"/>
      <c r="D5" s="10"/>
      <c r="E5" s="10"/>
      <c r="N5" s="3"/>
      <c r="O5" s="4"/>
    </row>
    <row r="6" spans="1:17">
      <c r="N6" s="3"/>
      <c r="O6" s="11"/>
    </row>
    <row r="7" spans="1:17">
      <c r="N7" s="3"/>
      <c r="O7" s="4"/>
    </row>
    <row r="10" spans="1:17" ht="23.25">
      <c r="A10" s="12"/>
      <c r="B10" s="13" t="s"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</row>
    <row r="11" spans="1:17" ht="18">
      <c r="B11" s="14" t="s">
        <v>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4" spans="1:17" ht="15.75">
      <c r="B14" s="15" t="s">
        <v>2</v>
      </c>
      <c r="D14" s="16" t="s">
        <v>70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7" ht="15.75">
      <c r="B15" s="17"/>
      <c r="D15" s="18"/>
      <c r="E15" s="18"/>
      <c r="F15" s="18"/>
      <c r="G15" s="219"/>
      <c r="H15" s="18"/>
      <c r="I15" s="18"/>
      <c r="J15" s="18"/>
      <c r="K15" s="219"/>
      <c r="L15" s="18"/>
      <c r="M15" s="18"/>
      <c r="N15" s="18"/>
      <c r="O15" s="18"/>
    </row>
    <row r="16" spans="1:17" ht="15.75">
      <c r="B16" s="15" t="s">
        <v>4</v>
      </c>
      <c r="D16" s="19" t="s">
        <v>5</v>
      </c>
      <c r="E16" s="18"/>
      <c r="F16" s="18"/>
      <c r="G16" s="219"/>
      <c r="H16" s="18"/>
      <c r="I16" s="18"/>
      <c r="J16" s="18"/>
      <c r="K16" s="219"/>
      <c r="L16" s="18"/>
      <c r="M16" s="18"/>
      <c r="N16" s="18"/>
      <c r="O16" s="18"/>
    </row>
    <row r="17" spans="1:15" ht="15.75">
      <c r="B17" s="17"/>
      <c r="D17" s="18"/>
      <c r="E17" s="18"/>
      <c r="F17" s="18"/>
      <c r="G17" s="219"/>
      <c r="H17" s="18"/>
      <c r="I17" s="18"/>
      <c r="J17" s="18"/>
      <c r="K17" s="219"/>
      <c r="L17" s="18"/>
      <c r="M17" s="18"/>
      <c r="N17" s="18"/>
      <c r="O17" s="18"/>
    </row>
    <row r="18" spans="1:15">
      <c r="B18" s="20"/>
      <c r="D18" s="21" t="s">
        <v>6</v>
      </c>
      <c r="E18" s="21"/>
      <c r="F18" s="22">
        <v>400</v>
      </c>
      <c r="G18" s="221" t="s">
        <v>68</v>
      </c>
    </row>
    <row r="19" spans="1:15">
      <c r="B19" s="20"/>
    </row>
    <row r="20" spans="1:15">
      <c r="B20" s="20"/>
      <c r="D20" s="23"/>
      <c r="E20" s="23"/>
      <c r="F20" s="24" t="s">
        <v>8</v>
      </c>
      <c r="G20" s="24"/>
      <c r="H20" s="24"/>
      <c r="J20" s="24" t="s">
        <v>9</v>
      </c>
      <c r="K20" s="24"/>
      <c r="L20" s="24"/>
      <c r="N20" s="24" t="s">
        <v>10</v>
      </c>
      <c r="O20" s="24"/>
    </row>
    <row r="21" spans="1:15">
      <c r="B21" s="20"/>
      <c r="D21" s="25" t="s">
        <v>11</v>
      </c>
      <c r="E21" s="26"/>
      <c r="F21" s="27" t="s">
        <v>12</v>
      </c>
      <c r="G21" s="222" t="s">
        <v>13</v>
      </c>
      <c r="H21" s="28" t="s">
        <v>14</v>
      </c>
      <c r="J21" s="27" t="s">
        <v>12</v>
      </c>
      <c r="K21" s="269" t="s">
        <v>13</v>
      </c>
      <c r="L21" s="28" t="s">
        <v>14</v>
      </c>
      <c r="N21" s="30" t="s">
        <v>15</v>
      </c>
      <c r="O21" s="31" t="s">
        <v>16</v>
      </c>
    </row>
    <row r="22" spans="1:15">
      <c r="B22" s="20"/>
      <c r="D22" s="25"/>
      <c r="E22" s="26"/>
      <c r="F22" s="32" t="s">
        <v>17</v>
      </c>
      <c r="G22" s="224"/>
      <c r="H22" s="33" t="s">
        <v>17</v>
      </c>
      <c r="J22" s="32" t="s">
        <v>17</v>
      </c>
      <c r="K22" s="270"/>
      <c r="L22" s="33" t="s">
        <v>17</v>
      </c>
      <c r="N22" s="30"/>
      <c r="O22" s="31"/>
    </row>
    <row r="23" spans="1:15">
      <c r="B23" s="34" t="s">
        <v>18</v>
      </c>
      <c r="C23" s="35"/>
      <c r="D23" s="36" t="s">
        <v>19</v>
      </c>
      <c r="E23" s="35"/>
      <c r="F23" s="37">
        <f>'[1]B. CurrentTariff'!C116</f>
        <v>2.2200000000000002</v>
      </c>
      <c r="G23" s="65">
        <v>2300</v>
      </c>
      <c r="H23" s="39">
        <f>G23*F23</f>
        <v>5106</v>
      </c>
      <c r="I23" s="40"/>
      <c r="J23" s="41">
        <f>'[1]G. RateDesign'!B50</f>
        <v>2.61</v>
      </c>
      <c r="K23" s="271">
        <v>2300</v>
      </c>
      <c r="L23" s="39">
        <f>K23*J23</f>
        <v>6003</v>
      </c>
      <c r="M23" s="40"/>
      <c r="N23" s="43">
        <f>L23-H23</f>
        <v>897</v>
      </c>
      <c r="O23" s="44">
        <f>IF((H23)=0,"",(N23/H23))</f>
        <v>0.17567567567567569</v>
      </c>
    </row>
    <row r="24" spans="1:15">
      <c r="A24" s="45"/>
      <c r="B24" s="34" t="s">
        <v>20</v>
      </c>
      <c r="C24" s="35"/>
      <c r="D24" s="36"/>
      <c r="E24" s="35"/>
      <c r="F24" s="46"/>
      <c r="G24" s="65">
        <v>1</v>
      </c>
      <c r="H24" s="39">
        <f t="shared" ref="H24:H38" si="0">G24*F24</f>
        <v>0</v>
      </c>
      <c r="I24" s="40"/>
      <c r="J24" s="50"/>
      <c r="K24" s="271">
        <v>1</v>
      </c>
      <c r="L24" s="39">
        <f>K24*J24</f>
        <v>0</v>
      </c>
      <c r="M24" s="40"/>
      <c r="N24" s="43">
        <f>L24-H24</f>
        <v>0</v>
      </c>
      <c r="O24" s="44" t="str">
        <f>IF((H24)=0,"",(N24/H24))</f>
        <v/>
      </c>
    </row>
    <row r="25" spans="1:15">
      <c r="A25" s="45"/>
      <c r="B25" s="49"/>
      <c r="C25" s="35"/>
      <c r="D25" s="36"/>
      <c r="E25" s="35"/>
      <c r="F25" s="46"/>
      <c r="G25" s="65">
        <v>1</v>
      </c>
      <c r="H25" s="39">
        <f t="shared" si="0"/>
        <v>0</v>
      </c>
      <c r="I25" s="40"/>
      <c r="J25" s="50"/>
      <c r="K25" s="271">
        <v>1</v>
      </c>
      <c r="L25" s="39">
        <f t="shared" ref="L25:L38" si="1">K25*J25</f>
        <v>0</v>
      </c>
      <c r="M25" s="40"/>
      <c r="N25" s="43">
        <f t="shared" ref="N25:N67" si="2">L25-H25</f>
        <v>0</v>
      </c>
      <c r="O25" s="44" t="str">
        <f t="shared" ref="O25:O47" si="3">IF((H25)=0,"",(N25/H25))</f>
        <v/>
      </c>
    </row>
    <row r="26" spans="1:15">
      <c r="A26" s="45"/>
      <c r="B26" s="49"/>
      <c r="C26" s="35"/>
      <c r="D26" s="36"/>
      <c r="E26" s="35"/>
      <c r="F26" s="46"/>
      <c r="G26" s="65">
        <v>1</v>
      </c>
      <c r="H26" s="39">
        <f t="shared" si="0"/>
        <v>0</v>
      </c>
      <c r="I26" s="40"/>
      <c r="J26" s="50"/>
      <c r="K26" s="271">
        <v>1</v>
      </c>
      <c r="L26" s="39">
        <f t="shared" si="1"/>
        <v>0</v>
      </c>
      <c r="M26" s="40"/>
      <c r="N26" s="43">
        <f t="shared" si="2"/>
        <v>0</v>
      </c>
      <c r="O26" s="44" t="str">
        <f t="shared" si="3"/>
        <v/>
      </c>
    </row>
    <row r="27" spans="1:15">
      <c r="A27" s="45"/>
      <c r="B27" s="49"/>
      <c r="C27" s="35"/>
      <c r="D27" s="36"/>
      <c r="E27" s="35"/>
      <c r="F27" s="46"/>
      <c r="G27" s="65">
        <v>1</v>
      </c>
      <c r="H27" s="39">
        <f t="shared" si="0"/>
        <v>0</v>
      </c>
      <c r="I27" s="40"/>
      <c r="J27" s="50"/>
      <c r="K27" s="271">
        <v>1</v>
      </c>
      <c r="L27" s="39">
        <f t="shared" si="1"/>
        <v>0</v>
      </c>
      <c r="M27" s="40"/>
      <c r="N27" s="43">
        <f t="shared" si="2"/>
        <v>0</v>
      </c>
      <c r="O27" s="44" t="str">
        <f t="shared" si="3"/>
        <v/>
      </c>
    </row>
    <row r="28" spans="1:15">
      <c r="A28" s="45"/>
      <c r="B28" s="49"/>
      <c r="C28" s="35"/>
      <c r="D28" s="36"/>
      <c r="E28" s="35"/>
      <c r="F28" s="46"/>
      <c r="G28" s="65">
        <v>1</v>
      </c>
      <c r="H28" s="39">
        <f t="shared" si="0"/>
        <v>0</v>
      </c>
      <c r="I28" s="40"/>
      <c r="J28" s="50"/>
      <c r="K28" s="271">
        <v>1</v>
      </c>
      <c r="L28" s="39">
        <f t="shared" si="1"/>
        <v>0</v>
      </c>
      <c r="M28" s="40"/>
      <c r="N28" s="43">
        <f t="shared" si="2"/>
        <v>0</v>
      </c>
      <c r="O28" s="44" t="str">
        <f t="shared" si="3"/>
        <v/>
      </c>
    </row>
    <row r="29" spans="1:15">
      <c r="A29" s="45"/>
      <c r="B29" s="34" t="s">
        <v>23</v>
      </c>
      <c r="C29" s="35"/>
      <c r="D29" s="36" t="s">
        <v>65</v>
      </c>
      <c r="E29" s="35"/>
      <c r="F29" s="46">
        <f>'[1]B. CurrentTariff'!C117</f>
        <v>12.1768</v>
      </c>
      <c r="G29" s="65">
        <f t="shared" ref="G29:G38" si="4">$F$18</f>
        <v>400</v>
      </c>
      <c r="H29" s="39">
        <f t="shared" si="0"/>
        <v>4870.72</v>
      </c>
      <c r="I29" s="40"/>
      <c r="J29" s="41">
        <f>'[1]G. RateDesign'!G50</f>
        <v>14.959282057524991</v>
      </c>
      <c r="K29" s="65">
        <f>$F$18</f>
        <v>400</v>
      </c>
      <c r="L29" s="39">
        <f t="shared" si="1"/>
        <v>5983.7128230099961</v>
      </c>
      <c r="M29" s="40"/>
      <c r="N29" s="43">
        <f t="shared" si="2"/>
        <v>1112.9928230099958</v>
      </c>
      <c r="O29" s="44">
        <f t="shared" si="3"/>
        <v>0.22850683738954319</v>
      </c>
    </row>
    <row r="30" spans="1:15">
      <c r="A30" s="45"/>
      <c r="B30" s="34" t="s">
        <v>22</v>
      </c>
      <c r="C30" s="35"/>
      <c r="D30" s="36" t="s">
        <v>65</v>
      </c>
      <c r="E30" s="35"/>
      <c r="F30" s="46"/>
      <c r="G30" s="65">
        <f t="shared" si="4"/>
        <v>400</v>
      </c>
      <c r="H30" s="39">
        <f t="shared" si="0"/>
        <v>0</v>
      </c>
      <c r="I30" s="40"/>
      <c r="J30" s="50"/>
      <c r="K30" s="65">
        <f t="shared" ref="K30:K38" si="5">$F$18</f>
        <v>400</v>
      </c>
      <c r="L30" s="39">
        <f t="shared" si="1"/>
        <v>0</v>
      </c>
      <c r="M30" s="40"/>
      <c r="N30" s="43">
        <f t="shared" si="2"/>
        <v>0</v>
      </c>
      <c r="O30" s="44" t="str">
        <f t="shared" si="3"/>
        <v/>
      </c>
    </row>
    <row r="31" spans="1:15">
      <c r="A31" s="45"/>
      <c r="B31" s="34" t="s">
        <v>25</v>
      </c>
      <c r="C31" s="35"/>
      <c r="D31" s="36" t="s">
        <v>65</v>
      </c>
      <c r="E31" s="35"/>
      <c r="F31" s="46"/>
      <c r="G31" s="65">
        <f t="shared" si="4"/>
        <v>400</v>
      </c>
      <c r="H31" s="39">
        <f t="shared" si="0"/>
        <v>0</v>
      </c>
      <c r="I31" s="40"/>
      <c r="J31" s="50"/>
      <c r="K31" s="65">
        <f t="shared" si="5"/>
        <v>400</v>
      </c>
      <c r="L31" s="39">
        <f t="shared" si="1"/>
        <v>0</v>
      </c>
      <c r="M31" s="40"/>
      <c r="N31" s="43">
        <f t="shared" si="2"/>
        <v>0</v>
      </c>
      <c r="O31" s="44" t="str">
        <f t="shared" si="3"/>
        <v/>
      </c>
    </row>
    <row r="32" spans="1:15">
      <c r="A32" s="45"/>
      <c r="B32" s="47" t="s">
        <v>21</v>
      </c>
      <c r="C32" s="35"/>
      <c r="D32" s="36"/>
      <c r="E32" s="35"/>
      <c r="F32" s="46"/>
      <c r="G32" s="65">
        <f t="shared" si="4"/>
        <v>400</v>
      </c>
      <c r="H32" s="39">
        <f>G32*F32</f>
        <v>0</v>
      </c>
      <c r="I32" s="40"/>
      <c r="J32" s="50"/>
      <c r="K32" s="65">
        <f t="shared" si="5"/>
        <v>400</v>
      </c>
      <c r="L32" s="39">
        <f>K32*J32</f>
        <v>0</v>
      </c>
      <c r="M32" s="40"/>
      <c r="N32" s="43">
        <f>L32-H32</f>
        <v>0</v>
      </c>
      <c r="O32" s="44" t="str">
        <f>IF((H32)=0,"",(N32/H32))</f>
        <v/>
      </c>
    </row>
    <row r="33" spans="1:15">
      <c r="A33" s="45"/>
      <c r="B33" s="47"/>
      <c r="C33" s="35"/>
      <c r="D33" s="36"/>
      <c r="E33" s="35"/>
      <c r="F33" s="46"/>
      <c r="G33" s="65">
        <f t="shared" si="4"/>
        <v>400</v>
      </c>
      <c r="H33" s="39">
        <f>G33*F33</f>
        <v>0</v>
      </c>
      <c r="I33" s="40"/>
      <c r="J33" s="50"/>
      <c r="K33" s="65">
        <f t="shared" si="5"/>
        <v>400</v>
      </c>
      <c r="L33" s="39">
        <f>K33*J33</f>
        <v>0</v>
      </c>
      <c r="M33" s="40"/>
      <c r="N33" s="43">
        <f>L33-H33</f>
        <v>0</v>
      </c>
      <c r="O33" s="44" t="str">
        <f>IF((H33)=0,"",(N33/H33))</f>
        <v/>
      </c>
    </row>
    <row r="34" spans="1:15">
      <c r="A34" s="45"/>
      <c r="B34" s="47"/>
      <c r="C34" s="35"/>
      <c r="D34" s="36"/>
      <c r="E34" s="35"/>
      <c r="F34" s="46"/>
      <c r="G34" s="65">
        <f t="shared" si="4"/>
        <v>400</v>
      </c>
      <c r="H34" s="39">
        <f>G34*F34</f>
        <v>0</v>
      </c>
      <c r="I34" s="40"/>
      <c r="J34" s="50"/>
      <c r="K34" s="65">
        <f t="shared" si="5"/>
        <v>400</v>
      </c>
      <c r="L34" s="39">
        <f>K34*J34</f>
        <v>0</v>
      </c>
      <c r="M34" s="40"/>
      <c r="N34" s="43">
        <f>L34-H34</f>
        <v>0</v>
      </c>
      <c r="O34" s="44" t="str">
        <f>IF((H34)=0,"",(N34/H34))</f>
        <v/>
      </c>
    </row>
    <row r="35" spans="1:15">
      <c r="A35" s="45"/>
      <c r="B35" s="47"/>
      <c r="C35" s="35"/>
      <c r="D35" s="36"/>
      <c r="E35" s="35"/>
      <c r="F35" s="46"/>
      <c r="G35" s="65">
        <f t="shared" si="4"/>
        <v>400</v>
      </c>
      <c r="H35" s="39">
        <f t="shared" si="0"/>
        <v>0</v>
      </c>
      <c r="I35" s="40"/>
      <c r="J35" s="50"/>
      <c r="K35" s="65">
        <f t="shared" si="5"/>
        <v>400</v>
      </c>
      <c r="L35" s="39">
        <f t="shared" si="1"/>
        <v>0</v>
      </c>
      <c r="M35" s="40"/>
      <c r="N35" s="43">
        <f t="shared" si="2"/>
        <v>0</v>
      </c>
      <c r="O35" s="44" t="str">
        <f t="shared" si="3"/>
        <v/>
      </c>
    </row>
    <row r="36" spans="1:15">
      <c r="A36" s="45"/>
      <c r="B36" s="47"/>
      <c r="C36" s="35"/>
      <c r="D36" s="36"/>
      <c r="E36" s="35"/>
      <c r="F36" s="46"/>
      <c r="G36" s="65">
        <f t="shared" si="4"/>
        <v>400</v>
      </c>
      <c r="H36" s="39">
        <f t="shared" si="0"/>
        <v>0</v>
      </c>
      <c r="I36" s="40"/>
      <c r="J36" s="50"/>
      <c r="K36" s="65">
        <f t="shared" si="5"/>
        <v>400</v>
      </c>
      <c r="L36" s="39">
        <f t="shared" si="1"/>
        <v>0</v>
      </c>
      <c r="M36" s="40"/>
      <c r="N36" s="43">
        <f t="shared" si="2"/>
        <v>0</v>
      </c>
      <c r="O36" s="44" t="str">
        <f t="shared" si="3"/>
        <v/>
      </c>
    </row>
    <row r="37" spans="1:15">
      <c r="A37" s="45"/>
      <c r="B37" s="47"/>
      <c r="C37" s="35"/>
      <c r="D37" s="36"/>
      <c r="E37" s="35"/>
      <c r="F37" s="46"/>
      <c r="G37" s="65">
        <f t="shared" si="4"/>
        <v>400</v>
      </c>
      <c r="H37" s="39">
        <f t="shared" si="0"/>
        <v>0</v>
      </c>
      <c r="I37" s="40"/>
      <c r="J37" s="50"/>
      <c r="K37" s="65">
        <f t="shared" si="5"/>
        <v>400</v>
      </c>
      <c r="L37" s="39">
        <f t="shared" si="1"/>
        <v>0</v>
      </c>
      <c r="M37" s="40"/>
      <c r="N37" s="43">
        <f t="shared" si="2"/>
        <v>0</v>
      </c>
      <c r="O37" s="44" t="str">
        <f t="shared" si="3"/>
        <v/>
      </c>
    </row>
    <row r="38" spans="1:15">
      <c r="A38" s="45"/>
      <c r="B38" s="47"/>
      <c r="C38" s="35"/>
      <c r="D38" s="36"/>
      <c r="E38" s="35"/>
      <c r="F38" s="46"/>
      <c r="G38" s="65">
        <f t="shared" si="4"/>
        <v>400</v>
      </c>
      <c r="H38" s="39">
        <f t="shared" si="0"/>
        <v>0</v>
      </c>
      <c r="I38" s="40"/>
      <c r="J38" s="50"/>
      <c r="K38" s="65">
        <f t="shared" si="5"/>
        <v>400</v>
      </c>
      <c r="L38" s="39">
        <f t="shared" si="1"/>
        <v>0</v>
      </c>
      <c r="M38" s="40"/>
      <c r="N38" s="43">
        <f t="shared" si="2"/>
        <v>0</v>
      </c>
      <c r="O38" s="44" t="str">
        <f t="shared" si="3"/>
        <v/>
      </c>
    </row>
    <row r="39" spans="1:15">
      <c r="A39" s="45"/>
      <c r="B39" s="51" t="s">
        <v>26</v>
      </c>
      <c r="C39" s="52"/>
      <c r="D39" s="53"/>
      <c r="E39" s="52"/>
      <c r="F39" s="54"/>
      <c r="G39" s="228"/>
      <c r="H39" s="56">
        <f>SUM(H23:H38)</f>
        <v>9976.7200000000012</v>
      </c>
      <c r="I39" s="57"/>
      <c r="J39" s="58"/>
      <c r="K39" s="272"/>
      <c r="L39" s="56">
        <f>SUM(L23:L38)</f>
        <v>11986.712823009995</v>
      </c>
      <c r="M39" s="57"/>
      <c r="N39" s="60">
        <f t="shared" si="2"/>
        <v>2009.992823009994</v>
      </c>
      <c r="O39" s="61">
        <f t="shared" si="3"/>
        <v>0.20146830050457404</v>
      </c>
    </row>
    <row r="40" spans="1:15" ht="51">
      <c r="A40" s="62"/>
      <c r="B40" s="47" t="str">
        <f>'[1]J. DVA'!$B$16</f>
        <v>Rate Rider Calculation for Deferral / Variance Accounts Balances (excluding Global Adj.)</v>
      </c>
      <c r="C40" s="35"/>
      <c r="D40" s="36" t="s">
        <v>65</v>
      </c>
      <c r="E40" s="35"/>
      <c r="F40" s="273"/>
      <c r="G40" s="65">
        <f>$F$18</f>
        <v>400</v>
      </c>
      <c r="H40" s="76">
        <f t="shared" ref="H40:H48" si="6">G40*F40</f>
        <v>0</v>
      </c>
      <c r="I40" s="67"/>
      <c r="J40" s="273">
        <f>'[1]J. DVA'!F25</f>
        <v>-0.29140561547524468</v>
      </c>
      <c r="K40" s="65">
        <f t="shared" ref="K40:K46" si="7">$F$18</f>
        <v>400</v>
      </c>
      <c r="L40" s="76">
        <f>K40*J40</f>
        <v>-116.56224619009788</v>
      </c>
      <c r="M40" s="67"/>
      <c r="N40" s="68">
        <f>L40-H40</f>
        <v>-116.56224619009788</v>
      </c>
      <c r="O40" s="77" t="str">
        <f>IF((H40)=0,"",(N40/H40))</f>
        <v/>
      </c>
    </row>
    <row r="41" spans="1:15" ht="51">
      <c r="A41" s="70"/>
      <c r="B41" s="47" t="str">
        <f>'[1]J. DVA'!$B$42</f>
        <v>Rate Rider Calculation for Deferral / Variance Accounts Balances (excluding Global Adj.) - NON-WMP</v>
      </c>
      <c r="C41" s="35"/>
      <c r="D41" s="36" t="s">
        <v>65</v>
      </c>
      <c r="E41" s="35"/>
      <c r="F41" s="64"/>
      <c r="G41" s="65">
        <f t="shared" ref="G41:G43" si="8">$F$18</f>
        <v>400</v>
      </c>
      <c r="H41" s="66">
        <f t="shared" si="6"/>
        <v>0</v>
      </c>
      <c r="I41" s="67"/>
      <c r="J41" s="64">
        <f>'[1]J. DVA'!F51</f>
        <v>-0.9405465045438095</v>
      </c>
      <c r="K41" s="65">
        <f t="shared" si="7"/>
        <v>400</v>
      </c>
      <c r="L41" s="66">
        <f>K41*J41</f>
        <v>-376.21860181752379</v>
      </c>
      <c r="M41" s="67"/>
      <c r="N41" s="68">
        <f>L41-H41</f>
        <v>-376.21860181752379</v>
      </c>
      <c r="O41" s="71" t="str">
        <f>IF((H41)=0,"",(N41/H41))</f>
        <v/>
      </c>
    </row>
    <row r="42" spans="1:15" ht="38.25">
      <c r="A42" s="70"/>
      <c r="B42" s="47" t="str">
        <f>'[1]J. DVA'!$B$68</f>
        <v>Rate Rider Calculation for RSVA - Power - Global Adjustment</v>
      </c>
      <c r="C42" s="35"/>
      <c r="D42" s="36" t="s">
        <v>65</v>
      </c>
      <c r="E42" s="35"/>
      <c r="F42" s="64"/>
      <c r="G42" s="65">
        <f t="shared" si="8"/>
        <v>400</v>
      </c>
      <c r="H42" s="66"/>
      <c r="I42" s="67"/>
      <c r="J42" s="64">
        <f>'[1]J. DVA'!F77</f>
        <v>1.7360717848784646</v>
      </c>
      <c r="K42" s="65">
        <f t="shared" si="7"/>
        <v>400</v>
      </c>
      <c r="L42" s="66">
        <f t="shared" ref="L42:L45" si="9">K42*J42</f>
        <v>694.42871395138582</v>
      </c>
      <c r="M42" s="67"/>
      <c r="N42" s="68">
        <f t="shared" ref="N42:N45" si="10">L42-H42</f>
        <v>694.42871395138582</v>
      </c>
      <c r="O42" s="71" t="str">
        <f t="shared" ref="O42:O45" si="11">IF((H42)=0,"",(N42/H42))</f>
        <v/>
      </c>
    </row>
    <row r="43" spans="1:15" ht="25.5">
      <c r="A43" s="70"/>
      <c r="B43" s="47" t="str">
        <f>'[1]J. DVA'!$B$121</f>
        <v>Rate Rider Calculation for Group 2 Accounts</v>
      </c>
      <c r="C43" s="35"/>
      <c r="D43" s="36" t="s">
        <v>65</v>
      </c>
      <c r="E43" s="35"/>
      <c r="F43" s="64"/>
      <c r="G43" s="65">
        <f t="shared" si="8"/>
        <v>400</v>
      </c>
      <c r="H43" s="66"/>
      <c r="I43" s="67"/>
      <c r="J43" s="64">
        <f>'[1]J. DVA'!F130</f>
        <v>2.8536134822241099E-2</v>
      </c>
      <c r="K43" s="65">
        <f t="shared" si="7"/>
        <v>400</v>
      </c>
      <c r="L43" s="66">
        <f t="shared" si="9"/>
        <v>11.414453928896439</v>
      </c>
      <c r="M43" s="67"/>
      <c r="N43" s="68">
        <f t="shared" si="10"/>
        <v>11.414453928896439</v>
      </c>
      <c r="O43" s="71" t="str">
        <f t="shared" si="11"/>
        <v/>
      </c>
    </row>
    <row r="44" spans="1:15" ht="25.5">
      <c r="A44" s="62"/>
      <c r="B44" s="47" t="str">
        <f>'[1]J. DVA'!$B$147</f>
        <v>Rate Rider Calculation for Accounts 1575 and 1576</v>
      </c>
      <c r="C44" s="35"/>
      <c r="D44" s="36" t="s">
        <v>65</v>
      </c>
      <c r="E44" s="35"/>
      <c r="F44" s="64"/>
      <c r="G44" s="65">
        <f>$F$18</f>
        <v>400</v>
      </c>
      <c r="H44" s="66">
        <f t="shared" si="6"/>
        <v>0</v>
      </c>
      <c r="I44" s="67"/>
      <c r="J44" s="64">
        <f>'[1]J. DVA'!F158</f>
        <v>8.3347519117069085E-2</v>
      </c>
      <c r="K44" s="65">
        <f t="shared" si="7"/>
        <v>400</v>
      </c>
      <c r="L44" s="66">
        <f t="shared" si="9"/>
        <v>33.339007646827632</v>
      </c>
      <c r="M44" s="67"/>
      <c r="N44" s="68">
        <f t="shared" si="10"/>
        <v>33.339007646827632</v>
      </c>
      <c r="O44" s="71" t="str">
        <f t="shared" si="11"/>
        <v/>
      </c>
    </row>
    <row r="45" spans="1:15" ht="25.5">
      <c r="A45" s="62"/>
      <c r="B45" s="47" t="str">
        <f>'[1]J. DVA'!$B$175</f>
        <v>Rate Rider Calculation for Accounts 1568</v>
      </c>
      <c r="C45" s="35"/>
      <c r="D45" s="36" t="s">
        <v>65</v>
      </c>
      <c r="E45" s="35"/>
      <c r="F45" s="273"/>
      <c r="G45" s="65">
        <f>$F$18</f>
        <v>400</v>
      </c>
      <c r="H45" s="76">
        <f t="shared" si="6"/>
        <v>0</v>
      </c>
      <c r="I45" s="67"/>
      <c r="J45" s="273">
        <f>'[1]J. DVA'!F186</f>
        <v>0</v>
      </c>
      <c r="K45" s="65">
        <f t="shared" si="7"/>
        <v>400</v>
      </c>
      <c r="L45" s="66">
        <f t="shared" si="9"/>
        <v>0</v>
      </c>
      <c r="M45" s="67"/>
      <c r="N45" s="68">
        <f t="shared" si="10"/>
        <v>0</v>
      </c>
      <c r="O45" s="71" t="str">
        <f t="shared" si="11"/>
        <v/>
      </c>
    </row>
    <row r="46" spans="1:15">
      <c r="A46" s="62" t="s">
        <v>62</v>
      </c>
      <c r="B46" s="47" t="s">
        <v>27</v>
      </c>
      <c r="C46" s="35"/>
      <c r="D46" s="36" t="s">
        <v>65</v>
      </c>
      <c r="E46" s="35"/>
      <c r="F46" s="273">
        <v>0.30570000000000003</v>
      </c>
      <c r="G46" s="65">
        <f>$F$18</f>
        <v>400</v>
      </c>
      <c r="H46" s="76">
        <f t="shared" si="6"/>
        <v>122.28000000000002</v>
      </c>
      <c r="I46" s="67"/>
      <c r="J46" s="273">
        <f>'[2]4.12 PowerSupplExp'!$I$174</f>
        <v>0.2268</v>
      </c>
      <c r="K46" s="65">
        <f t="shared" si="7"/>
        <v>400</v>
      </c>
      <c r="L46" s="76">
        <f>K46*J46</f>
        <v>90.72</v>
      </c>
      <c r="M46" s="67"/>
      <c r="N46" s="68">
        <f>L46-H46</f>
        <v>-31.560000000000016</v>
      </c>
      <c r="O46" s="77">
        <f>IF((H46)=0,"",(N46/H46))</f>
        <v>-0.25809617271835145</v>
      </c>
    </row>
    <row r="47" spans="1:15">
      <c r="A47" s="45"/>
      <c r="B47" s="74" t="s">
        <v>28</v>
      </c>
      <c r="C47" s="35"/>
      <c r="D47" s="36" t="s">
        <v>65</v>
      </c>
      <c r="E47" s="35"/>
      <c r="F47" s="75">
        <f>IF(ISBLANK(D16)=1, 0, IF(D16="TOU", 0.64*$F$57+0.18*$F$58+0.18*$F$59, IF(AND(D16="non-TOU", G61&gt;0), F61,F60)))</f>
        <v>9.5000000000000001E-2</v>
      </c>
      <c r="G47" s="73">
        <f>+G53*F76</f>
        <v>5850</v>
      </c>
      <c r="H47" s="76">
        <f t="shared" si="6"/>
        <v>555.75</v>
      </c>
      <c r="I47" s="67"/>
      <c r="J47" s="75">
        <f>0.64*$F$57+0.18*$F$58+0.18*$F$59</f>
        <v>9.5000000000000001E-2</v>
      </c>
      <c r="K47" s="73">
        <f>+K53*J76</f>
        <v>6855</v>
      </c>
      <c r="L47" s="76">
        <f t="shared" ref="L47:L48" si="12">K47*J47</f>
        <v>651.22500000000002</v>
      </c>
      <c r="M47" s="67"/>
      <c r="N47" s="68">
        <f t="shared" si="2"/>
        <v>95.475000000000023</v>
      </c>
      <c r="O47" s="77">
        <f t="shared" si="3"/>
        <v>0.17179487179487182</v>
      </c>
    </row>
    <row r="48" spans="1:15">
      <c r="A48" s="45"/>
      <c r="B48" s="74" t="s">
        <v>29</v>
      </c>
      <c r="C48" s="35"/>
      <c r="D48" s="36" t="s">
        <v>65</v>
      </c>
      <c r="E48" s="35"/>
      <c r="F48" s="75">
        <v>0.79</v>
      </c>
      <c r="G48" s="65">
        <v>1</v>
      </c>
      <c r="H48" s="76">
        <f t="shared" si="6"/>
        <v>0.79</v>
      </c>
      <c r="I48" s="67"/>
      <c r="J48" s="75">
        <v>0.79</v>
      </c>
      <c r="K48" s="65">
        <v>1</v>
      </c>
      <c r="L48" s="76">
        <f t="shared" si="12"/>
        <v>0.79</v>
      </c>
      <c r="M48" s="67"/>
      <c r="N48" s="68">
        <f t="shared" si="2"/>
        <v>0</v>
      </c>
      <c r="O48" s="77"/>
    </row>
    <row r="49" spans="1:17" ht="25.5">
      <c r="B49" s="78" t="s">
        <v>30</v>
      </c>
      <c r="C49" s="79"/>
      <c r="D49" s="79"/>
      <c r="E49" s="79"/>
      <c r="F49" s="80"/>
      <c r="G49" s="231"/>
      <c r="H49" s="82">
        <f>SUM(H40:H48)+H39</f>
        <v>10655.54</v>
      </c>
      <c r="I49" s="57"/>
      <c r="J49" s="81"/>
      <c r="K49" s="274"/>
      <c r="L49" s="82">
        <f>SUM(L40:L48)+L39</f>
        <v>12975.849150529484</v>
      </c>
      <c r="M49" s="57"/>
      <c r="N49" s="60">
        <f t="shared" si="2"/>
        <v>2320.3091505294833</v>
      </c>
      <c r="O49" s="61">
        <f t="shared" ref="O49:O67" si="13">IF((H49)=0,"",(N49/H49))</f>
        <v>0.21775612972495839</v>
      </c>
    </row>
    <row r="50" spans="1:17">
      <c r="B50" s="84" t="s">
        <v>31</v>
      </c>
      <c r="C50" s="40"/>
      <c r="D50" s="36" t="s">
        <v>65</v>
      </c>
      <c r="E50" s="40"/>
      <c r="F50" s="50">
        <v>1.786</v>
      </c>
      <c r="G50" s="233">
        <f>F18*(1+F76)</f>
        <v>415.59999999999997</v>
      </c>
      <c r="H50" s="39">
        <f>G50*F50</f>
        <v>742.26159999999993</v>
      </c>
      <c r="I50" s="40"/>
      <c r="J50" s="50">
        <f>'[2]4.12 PowerSupplExp'!$N$62</f>
        <v>1.7100626163905326</v>
      </c>
      <c r="K50" s="275">
        <v>119</v>
      </c>
      <c r="L50" s="39">
        <f>K50*J50</f>
        <v>203.49745135047337</v>
      </c>
      <c r="M50" s="40"/>
      <c r="N50" s="43">
        <f t="shared" si="2"/>
        <v>-538.76414864952653</v>
      </c>
      <c r="O50" s="44">
        <f t="shared" si="13"/>
        <v>-0.72584133228706238</v>
      </c>
    </row>
    <row r="51" spans="1:17" ht="25.5">
      <c r="B51" s="84" t="s">
        <v>32</v>
      </c>
      <c r="C51" s="40"/>
      <c r="D51" s="36" t="s">
        <v>65</v>
      </c>
      <c r="E51" s="40"/>
      <c r="F51" s="50">
        <v>1.2338</v>
      </c>
      <c r="G51" s="233">
        <f>G50</f>
        <v>415.59999999999997</v>
      </c>
      <c r="H51" s="39">
        <f>G51*F51</f>
        <v>512.76727999999991</v>
      </c>
      <c r="I51" s="40"/>
      <c r="J51" s="50">
        <f>'[2]4.12 PowerSupplExp'!$N$78</f>
        <v>1.2610821484702732</v>
      </c>
      <c r="K51" s="275">
        <v>119</v>
      </c>
      <c r="L51" s="39">
        <f>K51*J51</f>
        <v>150.06877566796251</v>
      </c>
      <c r="M51" s="40"/>
      <c r="N51" s="43">
        <f t="shared" si="2"/>
        <v>-362.69850433203737</v>
      </c>
      <c r="O51" s="44">
        <f t="shared" si="13"/>
        <v>-0.70733550770251452</v>
      </c>
    </row>
    <row r="52" spans="1:17" ht="25.5">
      <c r="B52" s="78" t="s">
        <v>33</v>
      </c>
      <c r="C52" s="52"/>
      <c r="D52" s="52"/>
      <c r="E52" s="52"/>
      <c r="F52" s="88"/>
      <c r="G52" s="231"/>
      <c r="H52" s="82">
        <f>SUM(H49:H51)</f>
        <v>11910.568880000001</v>
      </c>
      <c r="I52" s="89"/>
      <c r="J52" s="90"/>
      <c r="K52" s="276"/>
      <c r="L52" s="82">
        <f>SUM(L49:L51)</f>
        <v>13329.415377547919</v>
      </c>
      <c r="M52" s="89"/>
      <c r="N52" s="60">
        <f t="shared" si="2"/>
        <v>1418.8464975479183</v>
      </c>
      <c r="O52" s="61">
        <f t="shared" si="13"/>
        <v>0.11912499829713576</v>
      </c>
    </row>
    <row r="53" spans="1:17" ht="25.5">
      <c r="B53" s="34" t="s">
        <v>34</v>
      </c>
      <c r="C53" s="35"/>
      <c r="D53" s="92" t="s">
        <v>24</v>
      </c>
      <c r="E53" s="35"/>
      <c r="F53" s="236">
        <v>4.4000000000000003E-3</v>
      </c>
      <c r="G53" s="233">
        <v>150000</v>
      </c>
      <c r="H53" s="240">
        <f t="shared" ref="H53:H59" si="14">G53*F53</f>
        <v>660</v>
      </c>
      <c r="I53" s="45"/>
      <c r="J53" s="236">
        <v>4.4000000000000003E-3</v>
      </c>
      <c r="K53" s="275">
        <f>+G53</f>
        <v>150000</v>
      </c>
      <c r="L53" s="39">
        <f t="shared" ref="L53:L59" si="15">K53*J53</f>
        <v>660</v>
      </c>
      <c r="M53" s="40"/>
      <c r="N53" s="43">
        <f t="shared" si="2"/>
        <v>0</v>
      </c>
      <c r="O53" s="44">
        <f t="shared" si="13"/>
        <v>0</v>
      </c>
    </row>
    <row r="54" spans="1:17" ht="25.5">
      <c r="B54" s="34" t="s">
        <v>35</v>
      </c>
      <c r="C54" s="35"/>
      <c r="D54" s="92" t="s">
        <v>24</v>
      </c>
      <c r="E54" s="35"/>
      <c r="F54" s="236">
        <v>1.1999999999999999E-3</v>
      </c>
      <c r="G54" s="233">
        <v>150000</v>
      </c>
      <c r="H54" s="240">
        <f t="shared" si="14"/>
        <v>179.99999999999997</v>
      </c>
      <c r="I54" s="45"/>
      <c r="J54" s="236">
        <v>1.1999999999999999E-3</v>
      </c>
      <c r="K54" s="275">
        <f>+G54</f>
        <v>150000</v>
      </c>
      <c r="L54" s="39">
        <f t="shared" si="15"/>
        <v>179.99999999999997</v>
      </c>
      <c r="M54" s="40"/>
      <c r="N54" s="43">
        <f t="shared" si="2"/>
        <v>0</v>
      </c>
      <c r="O54" s="44">
        <f t="shared" si="13"/>
        <v>0</v>
      </c>
    </row>
    <row r="55" spans="1:17" ht="25.5">
      <c r="B55" s="34" t="s">
        <v>36</v>
      </c>
      <c r="C55" s="35"/>
      <c r="D55" s="92" t="s">
        <v>19</v>
      </c>
      <c r="E55" s="35"/>
      <c r="F55" s="236">
        <v>0.25</v>
      </c>
      <c r="G55" s="65">
        <v>1</v>
      </c>
      <c r="H55" s="240">
        <f t="shared" si="14"/>
        <v>0.25</v>
      </c>
      <c r="I55" s="45"/>
      <c r="J55" s="236">
        <v>0.25</v>
      </c>
      <c r="K55" s="271">
        <v>1</v>
      </c>
      <c r="L55" s="39">
        <f t="shared" si="15"/>
        <v>0.25</v>
      </c>
      <c r="M55" s="40"/>
      <c r="N55" s="43">
        <f t="shared" si="2"/>
        <v>0</v>
      </c>
      <c r="O55" s="44">
        <f t="shared" si="13"/>
        <v>0</v>
      </c>
    </row>
    <row r="56" spans="1:17" ht="25.5">
      <c r="B56" s="34" t="s">
        <v>66</v>
      </c>
      <c r="C56" s="35"/>
      <c r="D56" s="92" t="s">
        <v>24</v>
      </c>
      <c r="E56" s="35"/>
      <c r="F56" s="50">
        <v>4.8999999999999998E-3</v>
      </c>
      <c r="G56" s="241">
        <f>F18</f>
        <v>400</v>
      </c>
      <c r="H56" s="240">
        <f t="shared" si="14"/>
        <v>1.96</v>
      </c>
      <c r="I56" s="45"/>
      <c r="J56" s="50">
        <v>4.8999999999999998E-3</v>
      </c>
      <c r="K56" s="277">
        <f>F18</f>
        <v>400</v>
      </c>
      <c r="L56" s="39">
        <f t="shared" si="15"/>
        <v>1.96</v>
      </c>
      <c r="M56" s="40"/>
      <c r="N56" s="43">
        <f t="shared" si="2"/>
        <v>0</v>
      </c>
      <c r="O56" s="44">
        <f t="shared" si="13"/>
        <v>0</v>
      </c>
    </row>
    <row r="57" spans="1:17">
      <c r="B57" s="74" t="s">
        <v>38</v>
      </c>
      <c r="C57" s="35"/>
      <c r="D57" s="92" t="s">
        <v>24</v>
      </c>
      <c r="E57" s="35"/>
      <c r="F57" s="243">
        <v>7.6999999999999999E-2</v>
      </c>
      <c r="G57" s="244">
        <f>0.64*$F$18</f>
        <v>256</v>
      </c>
      <c r="H57" s="240">
        <f t="shared" si="14"/>
        <v>19.712</v>
      </c>
      <c r="I57" s="45"/>
      <c r="J57" s="236">
        <v>7.6999999999999999E-2</v>
      </c>
      <c r="K57" s="244">
        <f>G57</f>
        <v>256</v>
      </c>
      <c r="L57" s="39">
        <f t="shared" si="15"/>
        <v>19.712</v>
      </c>
      <c r="M57" s="40"/>
      <c r="N57" s="43">
        <f t="shared" si="2"/>
        <v>0</v>
      </c>
      <c r="O57" s="44">
        <f t="shared" si="13"/>
        <v>0</v>
      </c>
    </row>
    <row r="58" spans="1:17">
      <c r="B58" s="74" t="s">
        <v>39</v>
      </c>
      <c r="C58" s="35"/>
      <c r="D58" s="92" t="s">
        <v>24</v>
      </c>
      <c r="E58" s="35"/>
      <c r="F58" s="243">
        <v>0.114</v>
      </c>
      <c r="G58" s="244">
        <f>0.18*$F$18</f>
        <v>72</v>
      </c>
      <c r="H58" s="240">
        <f t="shared" si="14"/>
        <v>8.2080000000000002</v>
      </c>
      <c r="I58" s="45"/>
      <c r="J58" s="236">
        <v>0.114</v>
      </c>
      <c r="K58" s="244">
        <f>G58</f>
        <v>72</v>
      </c>
      <c r="L58" s="39">
        <f t="shared" si="15"/>
        <v>8.2080000000000002</v>
      </c>
      <c r="M58" s="40"/>
      <c r="N58" s="43">
        <f t="shared" si="2"/>
        <v>0</v>
      </c>
      <c r="O58" s="44">
        <f t="shared" si="13"/>
        <v>0</v>
      </c>
    </row>
    <row r="59" spans="1:17">
      <c r="B59" s="20" t="s">
        <v>40</v>
      </c>
      <c r="C59" s="35"/>
      <c r="D59" s="92" t="s">
        <v>24</v>
      </c>
      <c r="E59" s="35"/>
      <c r="F59" s="243">
        <v>0.14000000000000001</v>
      </c>
      <c r="G59" s="244">
        <f>0.18*$F$18</f>
        <v>72</v>
      </c>
      <c r="H59" s="240">
        <f t="shared" si="14"/>
        <v>10.080000000000002</v>
      </c>
      <c r="I59" s="45"/>
      <c r="J59" s="236">
        <v>0.14000000000000001</v>
      </c>
      <c r="K59" s="244">
        <f>G59</f>
        <v>72</v>
      </c>
      <c r="L59" s="39">
        <f t="shared" si="15"/>
        <v>10.080000000000002</v>
      </c>
      <c r="M59" s="40"/>
      <c r="N59" s="43">
        <f t="shared" si="2"/>
        <v>0</v>
      </c>
      <c r="O59" s="44">
        <f t="shared" si="13"/>
        <v>0</v>
      </c>
    </row>
    <row r="60" spans="1:17">
      <c r="A60" s="98"/>
      <c r="B60" s="99" t="s">
        <v>41</v>
      </c>
      <c r="C60" s="100"/>
      <c r="D60" s="92" t="s">
        <v>24</v>
      </c>
      <c r="E60" s="100"/>
      <c r="F60" s="243">
        <v>8.5999999999999993E-2</v>
      </c>
      <c r="G60" s="246"/>
      <c r="H60" s="240">
        <f>G60*F60</f>
        <v>0</v>
      </c>
      <c r="I60" s="247"/>
      <c r="J60" s="236">
        <v>8.5999999999999993E-2</v>
      </c>
      <c r="K60" s="246">
        <f>G60</f>
        <v>0</v>
      </c>
      <c r="L60" s="39">
        <f>K60*J60</f>
        <v>0</v>
      </c>
      <c r="M60" s="102"/>
      <c r="N60" s="103">
        <f t="shared" si="2"/>
        <v>0</v>
      </c>
      <c r="O60" s="44" t="str">
        <f t="shared" si="13"/>
        <v/>
      </c>
      <c r="P60" s="98"/>
      <c r="Q60" s="98"/>
    </row>
    <row r="61" spans="1:17" ht="15.75" thickBot="1">
      <c r="A61" s="98"/>
      <c r="B61" s="99" t="s">
        <v>42</v>
      </c>
      <c r="C61" s="100"/>
      <c r="D61" s="92" t="s">
        <v>24</v>
      </c>
      <c r="E61" s="100"/>
      <c r="F61" s="243">
        <v>0.10100000000000001</v>
      </c>
      <c r="G61" s="246"/>
      <c r="H61" s="240">
        <f>G61*F61</f>
        <v>0</v>
      </c>
      <c r="I61" s="247"/>
      <c r="J61" s="236">
        <v>0.10100000000000001</v>
      </c>
      <c r="K61" s="246">
        <f>G61</f>
        <v>0</v>
      </c>
      <c r="L61" s="39">
        <f>K61*J61</f>
        <v>0</v>
      </c>
      <c r="M61" s="102"/>
      <c r="N61" s="103">
        <f t="shared" si="2"/>
        <v>0</v>
      </c>
      <c r="O61" s="44" t="str">
        <f t="shared" si="13"/>
        <v/>
      </c>
      <c r="P61" s="98"/>
      <c r="Q61" s="98"/>
    </row>
    <row r="62" spans="1:17" ht="15.75" thickBot="1">
      <c r="B62" s="104"/>
      <c r="C62" s="105"/>
      <c r="D62" s="106"/>
      <c r="E62" s="105"/>
      <c r="F62" s="107"/>
      <c r="G62" s="249"/>
      <c r="H62" s="109"/>
      <c r="I62" s="110"/>
      <c r="J62" s="107"/>
      <c r="K62" s="278"/>
      <c r="L62" s="109"/>
      <c r="M62" s="110"/>
      <c r="N62" s="112"/>
      <c r="O62" s="113"/>
    </row>
    <row r="63" spans="1:17" ht="25.5">
      <c r="B63" s="114" t="s">
        <v>43</v>
      </c>
      <c r="C63" s="35"/>
      <c r="D63" s="35"/>
      <c r="E63" s="35"/>
      <c r="F63" s="115"/>
      <c r="G63" s="251"/>
      <c r="H63" s="117">
        <f>SUM(H53:H59,H52)</f>
        <v>12790.778880000002</v>
      </c>
      <c r="I63" s="118"/>
      <c r="J63" s="119"/>
      <c r="K63" s="279"/>
      <c r="L63" s="117">
        <f>SUM(L53:L59,L52)</f>
        <v>14209.62537754792</v>
      </c>
      <c r="M63" s="120"/>
      <c r="N63" s="121">
        <f>L63-H63</f>
        <v>1418.8464975479183</v>
      </c>
      <c r="O63" s="122">
        <f>IF((H63)=0,"",(N63/H63))</f>
        <v>0.11092729464399263</v>
      </c>
    </row>
    <row r="64" spans="1:17">
      <c r="B64" s="123" t="s">
        <v>44</v>
      </c>
      <c r="C64" s="35"/>
      <c r="D64" s="35"/>
      <c r="E64" s="35"/>
      <c r="F64" s="124">
        <v>0.13</v>
      </c>
      <c r="G64" s="67"/>
      <c r="H64" s="125">
        <f>H63*F64</f>
        <v>1662.8012544000003</v>
      </c>
      <c r="I64" s="126"/>
      <c r="J64" s="127">
        <v>0.13</v>
      </c>
      <c r="K64" s="280"/>
      <c r="L64" s="128">
        <f>L63*J64</f>
        <v>1847.2512990812297</v>
      </c>
      <c r="M64" s="129"/>
      <c r="N64" s="130">
        <f t="shared" si="2"/>
        <v>184.45004468122943</v>
      </c>
      <c r="O64" s="44">
        <f t="shared" si="13"/>
        <v>0.11092729464399266</v>
      </c>
    </row>
    <row r="65" spans="1:17">
      <c r="B65" s="131" t="s">
        <v>45</v>
      </c>
      <c r="C65" s="35"/>
      <c r="D65" s="35"/>
      <c r="E65" s="35"/>
      <c r="F65" s="132"/>
      <c r="G65" s="67"/>
      <c r="H65" s="125">
        <f>H63+H64</f>
        <v>14453.580134400003</v>
      </c>
      <c r="I65" s="126"/>
      <c r="J65" s="126"/>
      <c r="K65" s="280"/>
      <c r="L65" s="128">
        <f>L63+L64</f>
        <v>16056.87667662915</v>
      </c>
      <c r="M65" s="129"/>
      <c r="N65" s="130">
        <f t="shared" si="2"/>
        <v>1603.2965422291472</v>
      </c>
      <c r="O65" s="44">
        <f t="shared" si="13"/>
        <v>0.11092729464399259</v>
      </c>
    </row>
    <row r="66" spans="1:17">
      <c r="B66" s="133" t="s">
        <v>69</v>
      </c>
      <c r="C66" s="133"/>
      <c r="D66" s="133"/>
      <c r="E66" s="35"/>
      <c r="F66" s="132"/>
      <c r="G66" s="67"/>
      <c r="H66" s="134"/>
      <c r="I66" s="126"/>
      <c r="J66" s="126"/>
      <c r="K66" s="280"/>
      <c r="L66" s="135"/>
      <c r="M66" s="129"/>
      <c r="N66" s="136">
        <f t="shared" si="2"/>
        <v>0</v>
      </c>
      <c r="O66" s="137" t="str">
        <f t="shared" si="13"/>
        <v/>
      </c>
    </row>
    <row r="67" spans="1:17" ht="15.75" thickBot="1">
      <c r="B67" s="138" t="s">
        <v>46</v>
      </c>
      <c r="C67" s="138"/>
      <c r="D67" s="138"/>
      <c r="E67" s="139"/>
      <c r="F67" s="140"/>
      <c r="G67" s="254"/>
      <c r="H67" s="142">
        <f>H65+H66</f>
        <v>14453.580134400003</v>
      </c>
      <c r="I67" s="143"/>
      <c r="J67" s="143"/>
      <c r="K67" s="281"/>
      <c r="L67" s="144">
        <f>L65+L66</f>
        <v>16056.87667662915</v>
      </c>
      <c r="M67" s="145"/>
      <c r="N67" s="146">
        <f t="shared" si="2"/>
        <v>1603.2965422291472</v>
      </c>
      <c r="O67" s="147">
        <f t="shared" si="13"/>
        <v>0.11092729464399259</v>
      </c>
    </row>
    <row r="68" spans="1:17" ht="15.75" thickBot="1">
      <c r="A68" s="98"/>
      <c r="B68" s="148"/>
      <c r="C68" s="149"/>
      <c r="D68" s="150"/>
      <c r="E68" s="149"/>
      <c r="F68" s="107"/>
      <c r="G68" s="256"/>
      <c r="H68" s="109"/>
      <c r="I68" s="152"/>
      <c r="J68" s="107"/>
      <c r="K68" s="282"/>
      <c r="L68" s="109"/>
      <c r="M68" s="152"/>
      <c r="N68" s="154"/>
      <c r="O68" s="113"/>
      <c r="P68" s="98"/>
      <c r="Q68" s="98"/>
    </row>
    <row r="69" spans="1:17" ht="25.5">
      <c r="A69" s="98"/>
      <c r="B69" s="155" t="s">
        <v>47</v>
      </c>
      <c r="C69" s="100"/>
      <c r="D69" s="100"/>
      <c r="E69" s="100"/>
      <c r="F69" s="156"/>
      <c r="G69" s="258"/>
      <c r="H69" s="158">
        <f>SUM(H60:H61,H52,H53:H56)</f>
        <v>12752.77888</v>
      </c>
      <c r="I69" s="159"/>
      <c r="J69" s="160"/>
      <c r="K69" s="283"/>
      <c r="L69" s="158">
        <f>SUM(L60:L61,L52,L53:L56)</f>
        <v>14171.625377547918</v>
      </c>
      <c r="M69" s="161"/>
      <c r="N69" s="162">
        <f>L69-H69</f>
        <v>1418.8464975479183</v>
      </c>
      <c r="O69" s="122">
        <f>IF((H69)=0,"",(N69/H69))</f>
        <v>0.11125782944241862</v>
      </c>
      <c r="P69" s="98"/>
      <c r="Q69" s="98"/>
    </row>
    <row r="70" spans="1:17">
      <c r="A70" s="98"/>
      <c r="B70" s="163" t="s">
        <v>44</v>
      </c>
      <c r="C70" s="100"/>
      <c r="D70" s="100"/>
      <c r="E70" s="100"/>
      <c r="F70" s="164">
        <v>0.13</v>
      </c>
      <c r="G70" s="258"/>
      <c r="H70" s="165">
        <f>H69*F70</f>
        <v>1657.8612544</v>
      </c>
      <c r="I70" s="166"/>
      <c r="J70" s="164">
        <v>0.13</v>
      </c>
      <c r="K70" s="284"/>
      <c r="L70" s="168">
        <f>L69*J70</f>
        <v>1842.3112990812294</v>
      </c>
      <c r="M70" s="102"/>
      <c r="N70" s="103">
        <f>L70-H70</f>
        <v>184.45004468122943</v>
      </c>
      <c r="O70" s="44">
        <f>IF((H70)=0,"",(N70/H70))</f>
        <v>0.11125782944241865</v>
      </c>
      <c r="P70" s="98"/>
      <c r="Q70" s="98"/>
    </row>
    <row r="71" spans="1:17">
      <c r="A71" s="98"/>
      <c r="B71" s="169" t="s">
        <v>45</v>
      </c>
      <c r="C71" s="100"/>
      <c r="D71" s="100"/>
      <c r="E71" s="100"/>
      <c r="F71" s="170"/>
      <c r="G71" s="261"/>
      <c r="H71" s="165">
        <f>H69+H70</f>
        <v>14410.640134400001</v>
      </c>
      <c r="I71" s="166"/>
      <c r="J71" s="166"/>
      <c r="K71" s="285"/>
      <c r="L71" s="168">
        <f>L69+L70</f>
        <v>16013.936676629148</v>
      </c>
      <c r="M71" s="102"/>
      <c r="N71" s="103">
        <f>L71-H71</f>
        <v>1603.2965422291472</v>
      </c>
      <c r="O71" s="44">
        <f>IF((H71)=0,"",(N71/H71))</f>
        <v>0.11125782944241858</v>
      </c>
      <c r="P71" s="98"/>
      <c r="Q71" s="98"/>
    </row>
    <row r="72" spans="1:17">
      <c r="A72" s="98"/>
      <c r="B72" s="171" t="s">
        <v>69</v>
      </c>
      <c r="C72" s="171"/>
      <c r="D72" s="171"/>
      <c r="E72" s="100"/>
      <c r="F72" s="170"/>
      <c r="G72" s="261"/>
      <c r="H72" s="172"/>
      <c r="I72" s="166"/>
      <c r="J72" s="166"/>
      <c r="K72" s="285"/>
      <c r="L72" s="173"/>
      <c r="M72" s="102"/>
      <c r="N72" s="174">
        <f>L72-H72</f>
        <v>0</v>
      </c>
      <c r="O72" s="137" t="str">
        <f>IF((H72)=0,"",(N72/H72))</f>
        <v/>
      </c>
      <c r="P72" s="98"/>
      <c r="Q72" s="98"/>
    </row>
    <row r="73" spans="1:17" ht="15.75" thickBot="1">
      <c r="A73" s="98"/>
      <c r="B73" s="175" t="s">
        <v>48</v>
      </c>
      <c r="C73" s="175"/>
      <c r="D73" s="175"/>
      <c r="E73" s="176"/>
      <c r="F73" s="177"/>
      <c r="G73" s="263"/>
      <c r="H73" s="179">
        <f>SUM(H71:H72)</f>
        <v>14410.640134400001</v>
      </c>
      <c r="I73" s="180"/>
      <c r="J73" s="180"/>
      <c r="K73" s="286"/>
      <c r="L73" s="181">
        <f>SUM(L71:L72)</f>
        <v>16013.936676629148</v>
      </c>
      <c r="M73" s="182"/>
      <c r="N73" s="183">
        <f>L73-H73</f>
        <v>1603.2965422291472</v>
      </c>
      <c r="O73" s="184">
        <f>IF((H73)=0,"",(N73/H73))</f>
        <v>0.11125782944241858</v>
      </c>
      <c r="P73" s="98"/>
      <c r="Q73" s="98"/>
    </row>
    <row r="74" spans="1:17" ht="15.75" thickBot="1">
      <c r="A74" s="98"/>
      <c r="B74" s="148"/>
      <c r="C74" s="149"/>
      <c r="D74" s="150"/>
      <c r="E74" s="149"/>
      <c r="F74" s="185"/>
      <c r="G74" s="265"/>
      <c r="H74" s="187"/>
      <c r="I74" s="188"/>
      <c r="J74" s="185"/>
      <c r="K74" s="256"/>
      <c r="L74" s="189"/>
      <c r="M74" s="152"/>
      <c r="N74" s="190"/>
      <c r="O74" s="113"/>
      <c r="P74" s="98"/>
      <c r="Q74" s="98"/>
    </row>
    <row r="75" spans="1:17">
      <c r="L75" s="97"/>
    </row>
    <row r="76" spans="1:17">
      <c r="B76" s="191" t="s">
        <v>49</v>
      </c>
      <c r="F76" s="192">
        <v>3.9E-2</v>
      </c>
      <c r="J76" s="192">
        <v>4.5699999999999998E-2</v>
      </c>
    </row>
    <row r="78" spans="1:17">
      <c r="A78" s="193" t="s">
        <v>50</v>
      </c>
    </row>
    <row r="80" spans="1:17">
      <c r="A80" s="2" t="s">
        <v>51</v>
      </c>
    </row>
    <row r="81" spans="1:2">
      <c r="A81" s="2" t="s">
        <v>52</v>
      </c>
    </row>
    <row r="83" spans="1:2">
      <c r="A83" s="194" t="s">
        <v>53</v>
      </c>
    </row>
    <row r="84" spans="1:2">
      <c r="A84" s="194" t="s">
        <v>54</v>
      </c>
    </row>
    <row r="86" spans="1:2">
      <c r="A86" s="2" t="s">
        <v>55</v>
      </c>
    </row>
    <row r="87" spans="1:2">
      <c r="A87" s="2" t="s">
        <v>56</v>
      </c>
    </row>
    <row r="88" spans="1:2">
      <c r="A88" s="2" t="s">
        <v>57</v>
      </c>
    </row>
    <row r="89" spans="1:2">
      <c r="A89" s="2" t="s">
        <v>58</v>
      </c>
    </row>
    <row r="90" spans="1:2">
      <c r="A90" s="2" t="s">
        <v>59</v>
      </c>
    </row>
    <row r="92" spans="1:2" ht="51.75">
      <c r="A92" s="195"/>
      <c r="B92" s="9" t="s">
        <v>60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opLeftCell="A61" workbookViewId="0">
      <selection activeCell="G61" sqref="G61"/>
    </sheetView>
  </sheetViews>
  <sheetFormatPr defaultRowHeight="15"/>
  <cols>
    <col min="1" max="1" width="11.28515625" style="2" customWidth="1"/>
    <col min="2" max="2" width="26.5703125" style="9" customWidth="1"/>
    <col min="3" max="3" width="1.28515625" style="2" customWidth="1"/>
    <col min="4" max="4" width="11.28515625" style="2" customWidth="1"/>
    <col min="5" max="5" width="1.28515625" style="2" customWidth="1"/>
    <col min="6" max="6" width="12.28515625" style="2" customWidth="1"/>
    <col min="7" max="7" width="8.5703125" style="217" customWidth="1"/>
    <col min="8" max="8" width="11.140625" style="2" customWidth="1"/>
    <col min="9" max="9" width="2.85546875" style="2" customWidth="1"/>
    <col min="10" max="10" width="12.140625" style="2" customWidth="1"/>
    <col min="11" max="11" width="8.5703125" style="217" customWidth="1"/>
    <col min="12" max="12" width="13.140625" style="2" customWidth="1"/>
    <col min="13" max="13" width="2.85546875" style="2" customWidth="1"/>
    <col min="14" max="14" width="12.85546875" style="2" customWidth="1"/>
    <col min="15" max="15" width="10.85546875" style="2" customWidth="1"/>
    <col min="16" max="16" width="3.85546875" style="2" customWidth="1"/>
    <col min="17" max="17" width="9.140625" style="2"/>
  </cols>
  <sheetData>
    <row r="1" spans="1:17" ht="20.25">
      <c r="A1" s="1"/>
      <c r="B1" s="1"/>
      <c r="C1" s="1"/>
      <c r="D1" s="1"/>
      <c r="E1" s="1"/>
      <c r="F1" s="1"/>
      <c r="G1" s="212"/>
      <c r="H1" s="1"/>
      <c r="I1" s="1"/>
      <c r="J1" s="1"/>
      <c r="K1" s="287"/>
      <c r="N1" s="3"/>
      <c r="O1" s="4"/>
    </row>
    <row r="2" spans="1:17" ht="18">
      <c r="A2" s="5"/>
      <c r="B2" s="6"/>
      <c r="C2" s="5"/>
      <c r="D2" s="5"/>
      <c r="E2" s="5"/>
      <c r="F2" s="5"/>
      <c r="G2" s="214"/>
      <c r="H2" s="5"/>
      <c r="I2" s="5"/>
      <c r="J2" s="5"/>
      <c r="K2" s="214"/>
      <c r="N2" s="3"/>
      <c r="O2" s="4"/>
    </row>
    <row r="3" spans="1:17" ht="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/>
      <c r="O3" s="4"/>
    </row>
    <row r="4" spans="1:17" ht="18">
      <c r="A4" s="5"/>
      <c r="B4" s="6"/>
      <c r="C4" s="5"/>
      <c r="D4" s="5"/>
      <c r="E4" s="5"/>
      <c r="F4" s="5"/>
      <c r="G4" s="214"/>
      <c r="H4" s="5"/>
      <c r="I4" s="8"/>
      <c r="J4" s="8"/>
      <c r="N4" s="3"/>
      <c r="O4" s="4"/>
    </row>
    <row r="5" spans="1:17" ht="15.75">
      <c r="C5" s="10"/>
      <c r="D5" s="10"/>
      <c r="E5" s="10"/>
      <c r="N5" s="3"/>
      <c r="O5" s="4"/>
    </row>
    <row r="6" spans="1:17">
      <c r="N6" s="3"/>
      <c r="O6" s="11"/>
    </row>
    <row r="7" spans="1:17">
      <c r="N7" s="3"/>
      <c r="O7" s="4"/>
    </row>
    <row r="10" spans="1:17" ht="23.25">
      <c r="A10" s="12"/>
      <c r="B10" s="13" t="s"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</row>
    <row r="11" spans="1:17" ht="18">
      <c r="B11" s="14" t="s">
        <v>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4" spans="1:17" ht="15.75">
      <c r="B14" s="15" t="s">
        <v>2</v>
      </c>
      <c r="D14" s="16" t="s">
        <v>71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7" ht="15.75">
      <c r="B15" s="17"/>
      <c r="D15" s="18"/>
      <c r="E15" s="18"/>
      <c r="F15" s="18"/>
      <c r="G15" s="219"/>
      <c r="H15" s="18"/>
      <c r="I15" s="18"/>
      <c r="J15" s="18"/>
      <c r="K15" s="219"/>
      <c r="L15" s="18"/>
      <c r="M15" s="18"/>
      <c r="N15" s="18"/>
      <c r="O15" s="18"/>
    </row>
    <row r="16" spans="1:17" ht="15.75">
      <c r="B16" s="15" t="s">
        <v>4</v>
      </c>
      <c r="D16" s="19" t="s">
        <v>5</v>
      </c>
      <c r="E16" s="18"/>
      <c r="F16" s="18"/>
      <c r="G16" s="219"/>
      <c r="H16" s="18"/>
      <c r="I16" s="18"/>
      <c r="J16" s="18"/>
      <c r="K16" s="219"/>
      <c r="L16" s="18"/>
      <c r="M16" s="18"/>
      <c r="N16" s="18"/>
      <c r="O16" s="18"/>
    </row>
    <row r="17" spans="1:15" ht="15.75">
      <c r="B17" s="17"/>
      <c r="D17" s="18"/>
      <c r="E17" s="18"/>
      <c r="F17" s="18"/>
      <c r="G17" s="219"/>
      <c r="H17" s="18"/>
      <c r="I17" s="18"/>
      <c r="J17" s="18"/>
      <c r="K17" s="219"/>
      <c r="L17" s="18"/>
      <c r="M17" s="18"/>
      <c r="N17" s="18"/>
      <c r="O17" s="18"/>
    </row>
    <row r="18" spans="1:15">
      <c r="B18" s="20"/>
      <c r="D18" s="21" t="s">
        <v>6</v>
      </c>
      <c r="E18" s="21"/>
      <c r="F18" s="22">
        <v>1800</v>
      </c>
      <c r="G18" s="221" t="s">
        <v>72</v>
      </c>
    </row>
    <row r="19" spans="1:15">
      <c r="B19" s="20"/>
    </row>
    <row r="20" spans="1:15">
      <c r="B20" s="20"/>
      <c r="D20" s="23"/>
      <c r="E20" s="23"/>
      <c r="F20" s="24" t="s">
        <v>8</v>
      </c>
      <c r="G20" s="24"/>
      <c r="H20" s="24"/>
      <c r="J20" s="24" t="s">
        <v>9</v>
      </c>
      <c r="K20" s="24"/>
      <c r="L20" s="24"/>
      <c r="N20" s="24" t="s">
        <v>10</v>
      </c>
      <c r="O20" s="24"/>
    </row>
    <row r="21" spans="1:15">
      <c r="B21" s="20"/>
      <c r="D21" s="25" t="s">
        <v>11</v>
      </c>
      <c r="E21" s="26"/>
      <c r="F21" s="27" t="s">
        <v>12</v>
      </c>
      <c r="G21" s="222" t="s">
        <v>13</v>
      </c>
      <c r="H21" s="28" t="s">
        <v>14</v>
      </c>
      <c r="J21" s="27" t="s">
        <v>12</v>
      </c>
      <c r="K21" s="269" t="s">
        <v>13</v>
      </c>
      <c r="L21" s="28" t="s">
        <v>14</v>
      </c>
      <c r="N21" s="30" t="s">
        <v>15</v>
      </c>
      <c r="O21" s="31" t="s">
        <v>16</v>
      </c>
    </row>
    <row r="22" spans="1:15">
      <c r="B22" s="20"/>
      <c r="D22" s="25"/>
      <c r="E22" s="26"/>
      <c r="F22" s="32" t="s">
        <v>17</v>
      </c>
      <c r="G22" s="224"/>
      <c r="H22" s="33" t="s">
        <v>17</v>
      </c>
      <c r="J22" s="32" t="s">
        <v>17</v>
      </c>
      <c r="K22" s="270"/>
      <c r="L22" s="33" t="s">
        <v>17</v>
      </c>
      <c r="N22" s="30"/>
      <c r="O22" s="31"/>
    </row>
    <row r="23" spans="1:15">
      <c r="B23" s="34" t="s">
        <v>18</v>
      </c>
      <c r="C23" s="35"/>
      <c r="D23" s="36" t="s">
        <v>19</v>
      </c>
      <c r="E23" s="35"/>
      <c r="F23" s="37">
        <f>'[1]B. CurrentTariff'!C137</f>
        <v>6.25</v>
      </c>
      <c r="G23" s="65">
        <v>1</v>
      </c>
      <c r="H23" s="39">
        <f>G23*F23</f>
        <v>6.25</v>
      </c>
      <c r="I23" s="40"/>
      <c r="J23" s="41">
        <f>'[1]G. RateDesign'!B51</f>
        <v>6.2</v>
      </c>
      <c r="K23" s="288">
        <v>1</v>
      </c>
      <c r="L23" s="39">
        <f>K23*J23</f>
        <v>6.2</v>
      </c>
      <c r="M23" s="40"/>
      <c r="N23" s="43">
        <f>L23-H23</f>
        <v>-4.9999999999999822E-2</v>
      </c>
      <c r="O23" s="44">
        <f>IF((H23)=0,"",(N23/H23))</f>
        <v>-7.9999999999999724E-3</v>
      </c>
    </row>
    <row r="24" spans="1:15">
      <c r="A24" s="45"/>
      <c r="B24" s="34" t="s">
        <v>20</v>
      </c>
      <c r="C24" s="35"/>
      <c r="D24" s="36"/>
      <c r="E24" s="35"/>
      <c r="F24" s="46"/>
      <c r="G24" s="65">
        <v>1</v>
      </c>
      <c r="H24" s="39">
        <f t="shared" ref="H24:H38" si="0">G24*F24</f>
        <v>0</v>
      </c>
      <c r="I24" s="40"/>
      <c r="J24" s="50"/>
      <c r="K24" s="288">
        <v>1</v>
      </c>
      <c r="L24" s="39">
        <f>K24*J24</f>
        <v>0</v>
      </c>
      <c r="M24" s="40"/>
      <c r="N24" s="43">
        <f>L24-H24</f>
        <v>0</v>
      </c>
      <c r="O24" s="44" t="str">
        <f>IF((H24)=0,"",(N24/H24))</f>
        <v/>
      </c>
    </row>
    <row r="25" spans="1:15">
      <c r="A25" s="45"/>
      <c r="B25" s="49"/>
      <c r="C25" s="35"/>
      <c r="D25" s="36"/>
      <c r="E25" s="35"/>
      <c r="F25" s="46"/>
      <c r="G25" s="65">
        <v>1</v>
      </c>
      <c r="H25" s="39">
        <f t="shared" si="0"/>
        <v>0</v>
      </c>
      <c r="I25" s="40"/>
      <c r="J25" s="50"/>
      <c r="K25" s="288">
        <v>1</v>
      </c>
      <c r="L25" s="39">
        <f t="shared" ref="L25:L38" si="1">K25*J25</f>
        <v>0</v>
      </c>
      <c r="M25" s="40"/>
      <c r="N25" s="43">
        <f t="shared" ref="N25:N67" si="2">L25-H25</f>
        <v>0</v>
      </c>
      <c r="O25" s="44" t="str">
        <f t="shared" ref="O25:O47" si="3">IF((H25)=0,"",(N25/H25))</f>
        <v/>
      </c>
    </row>
    <row r="26" spans="1:15">
      <c r="A26" s="45"/>
      <c r="B26" s="49"/>
      <c r="C26" s="35"/>
      <c r="D26" s="36"/>
      <c r="E26" s="35"/>
      <c r="F26" s="46"/>
      <c r="G26" s="65">
        <v>1</v>
      </c>
      <c r="H26" s="39">
        <f t="shared" si="0"/>
        <v>0</v>
      </c>
      <c r="I26" s="40"/>
      <c r="J26" s="50"/>
      <c r="K26" s="288">
        <v>1</v>
      </c>
      <c r="L26" s="39">
        <f t="shared" si="1"/>
        <v>0</v>
      </c>
      <c r="M26" s="40"/>
      <c r="N26" s="43">
        <f t="shared" si="2"/>
        <v>0</v>
      </c>
      <c r="O26" s="44" t="str">
        <f t="shared" si="3"/>
        <v/>
      </c>
    </row>
    <row r="27" spans="1:15">
      <c r="A27" s="45"/>
      <c r="B27" s="49"/>
      <c r="C27" s="35"/>
      <c r="D27" s="36"/>
      <c r="E27" s="35"/>
      <c r="F27" s="46"/>
      <c r="G27" s="65">
        <v>1</v>
      </c>
      <c r="H27" s="39">
        <f t="shared" si="0"/>
        <v>0</v>
      </c>
      <c r="I27" s="40"/>
      <c r="J27" s="50"/>
      <c r="K27" s="288">
        <v>1</v>
      </c>
      <c r="L27" s="39">
        <f t="shared" si="1"/>
        <v>0</v>
      </c>
      <c r="M27" s="40"/>
      <c r="N27" s="43">
        <f t="shared" si="2"/>
        <v>0</v>
      </c>
      <c r="O27" s="44" t="str">
        <f t="shared" si="3"/>
        <v/>
      </c>
    </row>
    <row r="28" spans="1:15">
      <c r="A28" s="45"/>
      <c r="B28" s="49"/>
      <c r="C28" s="35"/>
      <c r="D28" s="36"/>
      <c r="E28" s="35"/>
      <c r="F28" s="46"/>
      <c r="G28" s="65">
        <v>1</v>
      </c>
      <c r="H28" s="39">
        <f t="shared" si="0"/>
        <v>0</v>
      </c>
      <c r="I28" s="40"/>
      <c r="J28" s="50"/>
      <c r="K28" s="288">
        <v>1</v>
      </c>
      <c r="L28" s="39">
        <f t="shared" si="1"/>
        <v>0</v>
      </c>
      <c r="M28" s="40"/>
      <c r="N28" s="43">
        <f t="shared" si="2"/>
        <v>0</v>
      </c>
      <c r="O28" s="44" t="str">
        <f t="shared" si="3"/>
        <v/>
      </c>
    </row>
    <row r="29" spans="1:15">
      <c r="A29" s="45"/>
      <c r="B29" s="34" t="s">
        <v>23</v>
      </c>
      <c r="C29" s="35"/>
      <c r="D29" s="36" t="s">
        <v>24</v>
      </c>
      <c r="E29" s="35"/>
      <c r="F29" s="46">
        <f>'[1]B. CurrentTariff'!C138</f>
        <v>2E-3</v>
      </c>
      <c r="G29" s="65">
        <f t="shared" ref="G29:G38" si="4">$F$18</f>
        <v>1800</v>
      </c>
      <c r="H29" s="39">
        <f t="shared" si="0"/>
        <v>3.6</v>
      </c>
      <c r="I29" s="40"/>
      <c r="J29" s="50">
        <f>'[1]G. RateDesign'!G51</f>
        <v>6.4622547952107789E-3</v>
      </c>
      <c r="K29" s="289">
        <f>$F$18</f>
        <v>1800</v>
      </c>
      <c r="L29" s="39">
        <f t="shared" si="1"/>
        <v>11.632058631379403</v>
      </c>
      <c r="M29" s="40"/>
      <c r="N29" s="43">
        <f t="shared" si="2"/>
        <v>8.0320586313794031</v>
      </c>
      <c r="O29" s="44">
        <f t="shared" si="3"/>
        <v>2.2311273976053898</v>
      </c>
    </row>
    <row r="30" spans="1:15">
      <c r="A30" s="45"/>
      <c r="B30" s="34" t="s">
        <v>22</v>
      </c>
      <c r="C30" s="35"/>
      <c r="D30" s="36" t="s">
        <v>24</v>
      </c>
      <c r="E30" s="35"/>
      <c r="F30" s="46"/>
      <c r="G30" s="65">
        <f t="shared" si="4"/>
        <v>1800</v>
      </c>
      <c r="H30" s="39">
        <f t="shared" si="0"/>
        <v>0</v>
      </c>
      <c r="I30" s="40"/>
      <c r="J30" s="50"/>
      <c r="K30" s="289">
        <f t="shared" ref="K30:K38" si="5">$F$18</f>
        <v>1800</v>
      </c>
      <c r="L30" s="39">
        <f t="shared" si="1"/>
        <v>0</v>
      </c>
      <c r="M30" s="40"/>
      <c r="N30" s="43">
        <f t="shared" si="2"/>
        <v>0</v>
      </c>
      <c r="O30" s="44" t="str">
        <f t="shared" si="3"/>
        <v/>
      </c>
    </row>
    <row r="31" spans="1:15">
      <c r="A31" s="45"/>
      <c r="B31" s="34" t="s">
        <v>25</v>
      </c>
      <c r="C31" s="35"/>
      <c r="D31" s="36" t="s">
        <v>24</v>
      </c>
      <c r="E31" s="35"/>
      <c r="F31" s="46"/>
      <c r="G31" s="65">
        <f t="shared" si="4"/>
        <v>1800</v>
      </c>
      <c r="H31" s="39">
        <f t="shared" si="0"/>
        <v>0</v>
      </c>
      <c r="I31" s="40"/>
      <c r="J31" s="50"/>
      <c r="K31" s="289">
        <f t="shared" si="5"/>
        <v>1800</v>
      </c>
      <c r="L31" s="39">
        <f t="shared" si="1"/>
        <v>0</v>
      </c>
      <c r="M31" s="40"/>
      <c r="N31" s="43">
        <f t="shared" si="2"/>
        <v>0</v>
      </c>
      <c r="O31" s="44" t="str">
        <f t="shared" si="3"/>
        <v/>
      </c>
    </row>
    <row r="32" spans="1:15">
      <c r="A32" s="45"/>
      <c r="B32" s="47" t="s">
        <v>21</v>
      </c>
      <c r="C32" s="35"/>
      <c r="D32" s="36"/>
      <c r="E32" s="35"/>
      <c r="F32" s="46"/>
      <c r="G32" s="65">
        <f t="shared" si="4"/>
        <v>1800</v>
      </c>
      <c r="H32" s="39">
        <f>G32*F32</f>
        <v>0</v>
      </c>
      <c r="I32" s="40"/>
      <c r="J32" s="50"/>
      <c r="K32" s="289">
        <f t="shared" si="5"/>
        <v>1800</v>
      </c>
      <c r="L32" s="39">
        <f>K32*J32</f>
        <v>0</v>
      </c>
      <c r="M32" s="40"/>
      <c r="N32" s="43">
        <f>L32-H32</f>
        <v>0</v>
      </c>
      <c r="O32" s="44" t="str">
        <f>IF((H32)=0,"",(N32/H32))</f>
        <v/>
      </c>
    </row>
    <row r="33" spans="1:15">
      <c r="A33" s="45"/>
      <c r="B33" s="47"/>
      <c r="C33" s="35"/>
      <c r="D33" s="36"/>
      <c r="E33" s="35"/>
      <c r="F33" s="46"/>
      <c r="G33" s="65">
        <f t="shared" si="4"/>
        <v>1800</v>
      </c>
      <c r="H33" s="39">
        <f>G33*F33</f>
        <v>0</v>
      </c>
      <c r="I33" s="40"/>
      <c r="J33" s="50"/>
      <c r="K33" s="289">
        <f t="shared" si="5"/>
        <v>1800</v>
      </c>
      <c r="L33" s="39">
        <f>K33*J33</f>
        <v>0</v>
      </c>
      <c r="M33" s="40"/>
      <c r="N33" s="43">
        <f>L33-H33</f>
        <v>0</v>
      </c>
      <c r="O33" s="44" t="str">
        <f>IF((H33)=0,"",(N33/H33))</f>
        <v/>
      </c>
    </row>
    <row r="34" spans="1:15">
      <c r="A34" s="45"/>
      <c r="B34" s="47"/>
      <c r="C34" s="35"/>
      <c r="D34" s="36"/>
      <c r="E34" s="35"/>
      <c r="F34" s="46"/>
      <c r="G34" s="65">
        <f t="shared" si="4"/>
        <v>1800</v>
      </c>
      <c r="H34" s="39">
        <f>G34*F34</f>
        <v>0</v>
      </c>
      <c r="I34" s="40"/>
      <c r="J34" s="50"/>
      <c r="K34" s="289">
        <f t="shared" si="5"/>
        <v>1800</v>
      </c>
      <c r="L34" s="39">
        <f>K34*J34</f>
        <v>0</v>
      </c>
      <c r="M34" s="40"/>
      <c r="N34" s="43">
        <f>L34-H34</f>
        <v>0</v>
      </c>
      <c r="O34" s="44" t="str">
        <f>IF((H34)=0,"",(N34/H34))</f>
        <v/>
      </c>
    </row>
    <row r="35" spans="1:15">
      <c r="A35" s="45"/>
      <c r="B35" s="47"/>
      <c r="C35" s="35"/>
      <c r="D35" s="36"/>
      <c r="E35" s="35"/>
      <c r="F35" s="46"/>
      <c r="G35" s="65">
        <f t="shared" si="4"/>
        <v>1800</v>
      </c>
      <c r="H35" s="39">
        <f t="shared" si="0"/>
        <v>0</v>
      </c>
      <c r="I35" s="40"/>
      <c r="J35" s="50"/>
      <c r="K35" s="289">
        <f t="shared" si="5"/>
        <v>1800</v>
      </c>
      <c r="L35" s="39">
        <f t="shared" si="1"/>
        <v>0</v>
      </c>
      <c r="M35" s="40"/>
      <c r="N35" s="43">
        <f t="shared" si="2"/>
        <v>0</v>
      </c>
      <c r="O35" s="44" t="str">
        <f t="shared" si="3"/>
        <v/>
      </c>
    </row>
    <row r="36" spans="1:15">
      <c r="A36" s="45"/>
      <c r="B36" s="47"/>
      <c r="C36" s="35"/>
      <c r="D36" s="36"/>
      <c r="E36" s="35"/>
      <c r="F36" s="46"/>
      <c r="G36" s="65">
        <f t="shared" si="4"/>
        <v>1800</v>
      </c>
      <c r="H36" s="39">
        <f t="shared" si="0"/>
        <v>0</v>
      </c>
      <c r="I36" s="40"/>
      <c r="J36" s="50"/>
      <c r="K36" s="289">
        <f t="shared" si="5"/>
        <v>1800</v>
      </c>
      <c r="L36" s="39">
        <f t="shared" si="1"/>
        <v>0</v>
      </c>
      <c r="M36" s="40"/>
      <c r="N36" s="43">
        <f t="shared" si="2"/>
        <v>0</v>
      </c>
      <c r="O36" s="44" t="str">
        <f t="shared" si="3"/>
        <v/>
      </c>
    </row>
    <row r="37" spans="1:15">
      <c r="A37" s="45"/>
      <c r="B37" s="47"/>
      <c r="C37" s="35"/>
      <c r="D37" s="36"/>
      <c r="E37" s="35"/>
      <c r="F37" s="46"/>
      <c r="G37" s="65">
        <f t="shared" si="4"/>
        <v>1800</v>
      </c>
      <c r="H37" s="39">
        <f t="shared" si="0"/>
        <v>0</v>
      </c>
      <c r="I37" s="40"/>
      <c r="J37" s="50"/>
      <c r="K37" s="289">
        <f t="shared" si="5"/>
        <v>1800</v>
      </c>
      <c r="L37" s="39">
        <f t="shared" si="1"/>
        <v>0</v>
      </c>
      <c r="M37" s="40"/>
      <c r="N37" s="43">
        <f t="shared" si="2"/>
        <v>0</v>
      </c>
      <c r="O37" s="44" t="str">
        <f t="shared" si="3"/>
        <v/>
      </c>
    </row>
    <row r="38" spans="1:15">
      <c r="A38" s="45"/>
      <c r="B38" s="47"/>
      <c r="C38" s="35"/>
      <c r="D38" s="36"/>
      <c r="E38" s="35"/>
      <c r="F38" s="46"/>
      <c r="G38" s="65">
        <f t="shared" si="4"/>
        <v>1800</v>
      </c>
      <c r="H38" s="39">
        <f t="shared" si="0"/>
        <v>0</v>
      </c>
      <c r="I38" s="40"/>
      <c r="J38" s="50"/>
      <c r="K38" s="289">
        <f t="shared" si="5"/>
        <v>1800</v>
      </c>
      <c r="L38" s="39">
        <f t="shared" si="1"/>
        <v>0</v>
      </c>
      <c r="M38" s="40"/>
      <c r="N38" s="43">
        <f t="shared" si="2"/>
        <v>0</v>
      </c>
      <c r="O38" s="44" t="str">
        <f t="shared" si="3"/>
        <v/>
      </c>
    </row>
    <row r="39" spans="1:15">
      <c r="A39" s="45"/>
      <c r="B39" s="51" t="s">
        <v>26</v>
      </c>
      <c r="C39" s="52"/>
      <c r="D39" s="53"/>
      <c r="E39" s="52"/>
      <c r="F39" s="54"/>
      <c r="G39" s="228"/>
      <c r="H39" s="56">
        <f>SUM(H23:H38)</f>
        <v>9.85</v>
      </c>
      <c r="I39" s="57"/>
      <c r="J39" s="58"/>
      <c r="K39" s="290"/>
      <c r="L39" s="56">
        <f>SUM(L23:L38)</f>
        <v>17.832058631379404</v>
      </c>
      <c r="M39" s="57"/>
      <c r="N39" s="60">
        <f t="shared" si="2"/>
        <v>7.9820586313794042</v>
      </c>
      <c r="O39" s="61">
        <f t="shared" si="3"/>
        <v>0.81036128237354366</v>
      </c>
    </row>
    <row r="40" spans="1:15" ht="51">
      <c r="A40" s="62"/>
      <c r="B40" s="47" t="str">
        <f>'[1]J. DVA'!$B$16</f>
        <v>Rate Rider Calculation for Deferral / Variance Accounts Balances (excluding Global Adj.)</v>
      </c>
      <c r="C40" s="35"/>
      <c r="D40" s="36" t="s">
        <v>24</v>
      </c>
      <c r="E40" s="35"/>
      <c r="F40" s="64"/>
      <c r="G40" s="65">
        <f>$F$18</f>
        <v>1800</v>
      </c>
      <c r="H40" s="66">
        <f t="shared" ref="H40:H48" si="6">G40*F40</f>
        <v>0</v>
      </c>
      <c r="I40" s="67"/>
      <c r="J40" s="64">
        <f>'[1]J. DVA'!F23</f>
        <v>-8.200662006650687E-4</v>
      </c>
      <c r="K40" s="289">
        <f t="shared" ref="K40:K46" si="7">$F$18</f>
        <v>1800</v>
      </c>
      <c r="L40" s="66">
        <f>K40*J40</f>
        <v>-1.4761191611971236</v>
      </c>
      <c r="M40" s="67"/>
      <c r="N40" s="68">
        <f>L40-H40</f>
        <v>-1.4761191611971236</v>
      </c>
      <c r="O40" s="77" t="str">
        <f>IF((H40)=0,"",(N40/H40))</f>
        <v/>
      </c>
    </row>
    <row r="41" spans="1:15" ht="51">
      <c r="A41" s="70"/>
      <c r="B41" s="47" t="str">
        <f>'[1]J. DVA'!$B$42</f>
        <v>Rate Rider Calculation for Deferral / Variance Accounts Balances (excluding Global Adj.) - NON-WMP</v>
      </c>
      <c r="C41" s="35"/>
      <c r="D41" s="36" t="s">
        <v>24</v>
      </c>
      <c r="E41" s="35"/>
      <c r="F41" s="64"/>
      <c r="G41" s="65">
        <f t="shared" ref="G41:G44" si="8">$F$18</f>
        <v>1800</v>
      </c>
      <c r="H41" s="66">
        <f t="shared" si="6"/>
        <v>0</v>
      </c>
      <c r="I41" s="67"/>
      <c r="J41" s="64">
        <f>'[1]J. DVA'!F49</f>
        <v>-2.6468618227282474E-3</v>
      </c>
      <c r="K41" s="289">
        <f t="shared" si="7"/>
        <v>1800</v>
      </c>
      <c r="L41" s="66">
        <f>K41*J41</f>
        <v>-4.7643512809108453</v>
      </c>
      <c r="M41" s="67"/>
      <c r="N41" s="68">
        <f>L41-H41</f>
        <v>-4.7643512809108453</v>
      </c>
      <c r="O41" s="71" t="str">
        <f>IF((H41)=0,"",(N41/H41))</f>
        <v/>
      </c>
    </row>
    <row r="42" spans="1:15" ht="38.25">
      <c r="A42" s="70"/>
      <c r="B42" s="47" t="str">
        <f>'[1]J. DVA'!$B$68</f>
        <v>Rate Rider Calculation for RSVA - Power - Global Adjustment</v>
      </c>
      <c r="C42" s="35"/>
      <c r="D42" s="36" t="s">
        <v>24</v>
      </c>
      <c r="E42" s="35"/>
      <c r="F42" s="64"/>
      <c r="G42" s="65">
        <f t="shared" si="8"/>
        <v>1800</v>
      </c>
      <c r="H42" s="66"/>
      <c r="I42" s="67"/>
      <c r="J42" s="64">
        <v>0</v>
      </c>
      <c r="K42" s="289">
        <f t="shared" si="7"/>
        <v>1800</v>
      </c>
      <c r="L42" s="66">
        <f t="shared" ref="L42:L45" si="9">K42*J42</f>
        <v>0</v>
      </c>
      <c r="M42" s="67"/>
      <c r="N42" s="68">
        <f t="shared" ref="N42:N45" si="10">L42-H42</f>
        <v>0</v>
      </c>
      <c r="O42" s="71" t="str">
        <f t="shared" ref="O42:O45" si="11">IF((H42)=0,"",(N42/H42))</f>
        <v/>
      </c>
    </row>
    <row r="43" spans="1:15" ht="25.5">
      <c r="A43" s="70"/>
      <c r="B43" s="47" t="str">
        <f>'[1]J. DVA'!$B$121</f>
        <v>Rate Rider Calculation for Group 2 Accounts</v>
      </c>
      <c r="C43" s="35"/>
      <c r="D43" s="36" t="s">
        <v>24</v>
      </c>
      <c r="E43" s="35"/>
      <c r="F43" s="64"/>
      <c r="G43" s="65">
        <f t="shared" si="8"/>
        <v>1800</v>
      </c>
      <c r="H43" s="66"/>
      <c r="I43" s="67"/>
      <c r="J43" s="64">
        <f>'[1]J. DVA'!F128</f>
        <v>8.0305657896044986E-5</v>
      </c>
      <c r="K43" s="289">
        <f t="shared" si="7"/>
        <v>1800</v>
      </c>
      <c r="L43" s="66">
        <f t="shared" si="9"/>
        <v>0.14455018421288096</v>
      </c>
      <c r="M43" s="67"/>
      <c r="N43" s="68">
        <f t="shared" si="10"/>
        <v>0.14455018421288096</v>
      </c>
      <c r="O43" s="71" t="str">
        <f t="shared" si="11"/>
        <v/>
      </c>
    </row>
    <row r="44" spans="1:15" ht="25.5">
      <c r="A44" s="62"/>
      <c r="B44" s="47" t="str">
        <f>'[1]J. DVA'!$B$147</f>
        <v>Rate Rider Calculation for Accounts 1575 and 1576</v>
      </c>
      <c r="C44" s="35"/>
      <c r="D44" s="36" t="s">
        <v>24</v>
      </c>
      <c r="E44" s="35"/>
      <c r="F44" s="64"/>
      <c r="G44" s="65">
        <f t="shared" si="8"/>
        <v>1800</v>
      </c>
      <c r="H44" s="66">
        <f t="shared" si="6"/>
        <v>0</v>
      </c>
      <c r="I44" s="67"/>
      <c r="J44" s="64">
        <f>'[1]J. DVA'!F156</f>
        <v>2.3455444818976223E-4</v>
      </c>
      <c r="K44" s="289">
        <f t="shared" si="7"/>
        <v>1800</v>
      </c>
      <c r="L44" s="66">
        <f t="shared" si="9"/>
        <v>0.42219800674157204</v>
      </c>
      <c r="M44" s="67"/>
      <c r="N44" s="68">
        <f t="shared" si="10"/>
        <v>0.42219800674157204</v>
      </c>
      <c r="O44" s="71" t="str">
        <f t="shared" si="11"/>
        <v/>
      </c>
    </row>
    <row r="45" spans="1:15" ht="25.5">
      <c r="A45" s="62"/>
      <c r="B45" s="47" t="str">
        <f>'[1]J. DVA'!$B$175</f>
        <v>Rate Rider Calculation for Accounts 1568</v>
      </c>
      <c r="C45" s="35"/>
      <c r="D45" s="36" t="s">
        <v>24</v>
      </c>
      <c r="E45" s="35"/>
      <c r="F45" s="64"/>
      <c r="G45" s="65">
        <f>$F$18</f>
        <v>1800</v>
      </c>
      <c r="H45" s="66">
        <f t="shared" si="6"/>
        <v>0</v>
      </c>
      <c r="I45" s="67"/>
      <c r="J45" s="64">
        <f>'[1]J. DVA'!F184</f>
        <v>0</v>
      </c>
      <c r="K45" s="289">
        <f t="shared" si="7"/>
        <v>1800</v>
      </c>
      <c r="L45" s="66">
        <f t="shared" si="9"/>
        <v>0</v>
      </c>
      <c r="M45" s="67"/>
      <c r="N45" s="68">
        <f t="shared" si="10"/>
        <v>0</v>
      </c>
      <c r="O45" s="71" t="str">
        <f t="shared" si="11"/>
        <v/>
      </c>
    </row>
    <row r="46" spans="1:15">
      <c r="A46" s="62"/>
      <c r="B46" s="47" t="s">
        <v>27</v>
      </c>
      <c r="C46" s="35"/>
      <c r="D46" s="36" t="s">
        <v>24</v>
      </c>
      <c r="E46" s="35"/>
      <c r="F46" s="273">
        <v>1E-3</v>
      </c>
      <c r="G46" s="65">
        <f>$F$18</f>
        <v>1800</v>
      </c>
      <c r="H46" s="76">
        <f t="shared" si="6"/>
        <v>1.8</v>
      </c>
      <c r="I46" s="67"/>
      <c r="J46" s="273">
        <f>'[2]4.12 PowerSupplExp'!$I$176</f>
        <v>6.9999999999999999E-4</v>
      </c>
      <c r="K46" s="289">
        <f t="shared" si="7"/>
        <v>1800</v>
      </c>
      <c r="L46" s="76">
        <f>K46*J46</f>
        <v>1.26</v>
      </c>
      <c r="M46" s="67"/>
      <c r="N46" s="68">
        <f>L46-H46</f>
        <v>-0.54</v>
      </c>
      <c r="O46" s="77">
        <f>IF((H46)=0,"",(N46/H46))</f>
        <v>-0.3</v>
      </c>
    </row>
    <row r="47" spans="1:15">
      <c r="A47" s="45"/>
      <c r="B47" s="74" t="s">
        <v>28</v>
      </c>
      <c r="C47" s="35"/>
      <c r="D47" s="36" t="s">
        <v>24</v>
      </c>
      <c r="E47" s="35"/>
      <c r="F47" s="75">
        <f>IF(ISBLANK(D16)=1, 0, IF(D16="TOU", 0.64*$F$57+0.18*$F$58+0.18*$F$59, IF(AND(D16="non-TOU", G61&gt;0), F61,F60)))</f>
        <v>9.5000000000000001E-2</v>
      </c>
      <c r="G47" s="73">
        <f>$F$18*(1+$F$76)-$F$18</f>
        <v>70.199999999999818</v>
      </c>
      <c r="H47" s="76">
        <f t="shared" si="6"/>
        <v>6.6689999999999827</v>
      </c>
      <c r="I47" s="67"/>
      <c r="J47" s="75">
        <f>0.64*$F$57+0.18*$F$58+0.18*$F$59</f>
        <v>9.5000000000000001E-2</v>
      </c>
      <c r="K47" s="291">
        <f>$F$18*(1+$J$76)-$F$18</f>
        <v>82.260000000000218</v>
      </c>
      <c r="L47" s="76">
        <f t="shared" ref="L47:L48" si="12">K47*J47</f>
        <v>7.8147000000000206</v>
      </c>
      <c r="M47" s="67"/>
      <c r="N47" s="68">
        <f t="shared" si="2"/>
        <v>1.1457000000000379</v>
      </c>
      <c r="O47" s="77">
        <f t="shared" si="3"/>
        <v>0.17179487179487793</v>
      </c>
    </row>
    <row r="48" spans="1:15">
      <c r="A48" s="45"/>
      <c r="B48" s="74" t="s">
        <v>29</v>
      </c>
      <c r="C48" s="35"/>
      <c r="D48" s="36" t="s">
        <v>24</v>
      </c>
      <c r="E48" s="35"/>
      <c r="F48" s="75">
        <v>0.79</v>
      </c>
      <c r="G48" s="65">
        <v>1</v>
      </c>
      <c r="H48" s="76">
        <f t="shared" si="6"/>
        <v>0.79</v>
      </c>
      <c r="I48" s="67"/>
      <c r="J48" s="75">
        <v>0.79</v>
      </c>
      <c r="K48" s="289">
        <v>1</v>
      </c>
      <c r="L48" s="76">
        <f t="shared" si="12"/>
        <v>0.79</v>
      </c>
      <c r="M48" s="67"/>
      <c r="N48" s="68">
        <f t="shared" si="2"/>
        <v>0</v>
      </c>
      <c r="O48" s="77"/>
    </row>
    <row r="49" spans="1:17" ht="25.5">
      <c r="B49" s="78" t="s">
        <v>30</v>
      </c>
      <c r="C49" s="79"/>
      <c r="D49" s="79"/>
      <c r="E49" s="79"/>
      <c r="F49" s="80"/>
      <c r="G49" s="231"/>
      <c r="H49" s="82">
        <f>SUM(H40:H48)+H39</f>
        <v>19.10899999999998</v>
      </c>
      <c r="I49" s="57"/>
      <c r="J49" s="81"/>
      <c r="K49" s="292"/>
      <c r="L49" s="82">
        <f>SUM(L40:L48)+L39</f>
        <v>22.023036380225911</v>
      </c>
      <c r="M49" s="57"/>
      <c r="N49" s="60">
        <f t="shared" si="2"/>
        <v>2.9140363802259301</v>
      </c>
      <c r="O49" s="61">
        <f t="shared" ref="O49:O67" si="13">IF((H49)=0,"",(N49/H49))</f>
        <v>0.15249549323491199</v>
      </c>
    </row>
    <row r="50" spans="1:17">
      <c r="B50" s="84" t="s">
        <v>31</v>
      </c>
      <c r="C50" s="40"/>
      <c r="D50" s="36" t="s">
        <v>24</v>
      </c>
      <c r="E50" s="40"/>
      <c r="F50" s="50">
        <v>5.7999999999999996E-3</v>
      </c>
      <c r="G50" s="233">
        <f>F18*(1+F76)</f>
        <v>1870.1999999999998</v>
      </c>
      <c r="H50" s="39">
        <f>G50*F50</f>
        <v>10.847159999999999</v>
      </c>
      <c r="I50" s="40"/>
      <c r="J50" s="50">
        <f>'[2]4.12 PowerSupplExp'!$N$63</f>
        <v>5.553386925641648E-3</v>
      </c>
      <c r="K50" s="293">
        <f>F18*(1+J76)</f>
        <v>1882.2600000000002</v>
      </c>
      <c r="L50" s="39">
        <f>K50*J50</f>
        <v>10.45291807465825</v>
      </c>
      <c r="M50" s="40"/>
      <c r="N50" s="43">
        <f t="shared" si="2"/>
        <v>-0.39424192534174907</v>
      </c>
      <c r="O50" s="44">
        <f t="shared" si="13"/>
        <v>-3.6345174713173688E-2</v>
      </c>
    </row>
    <row r="51" spans="1:17" ht="25.5">
      <c r="B51" s="84" t="s">
        <v>32</v>
      </c>
      <c r="C51" s="40"/>
      <c r="D51" s="36" t="s">
        <v>24</v>
      </c>
      <c r="E51" s="40"/>
      <c r="F51" s="50">
        <v>4.0000000000000001E-3</v>
      </c>
      <c r="G51" s="233">
        <f>G50</f>
        <v>1870.1999999999998</v>
      </c>
      <c r="H51" s="39">
        <f>G51*F51</f>
        <v>7.4807999999999995</v>
      </c>
      <c r="I51" s="40"/>
      <c r="J51" s="50">
        <f>'[2]4.12 PowerSupplExp'!$N$79</f>
        <v>4.0884455565176761E-3</v>
      </c>
      <c r="K51" s="293">
        <f>K50</f>
        <v>1882.2600000000002</v>
      </c>
      <c r="L51" s="39">
        <f>K51*J51</f>
        <v>7.6955175332109622</v>
      </c>
      <c r="M51" s="40"/>
      <c r="N51" s="43">
        <f t="shared" si="2"/>
        <v>0.21471753321096276</v>
      </c>
      <c r="O51" s="44">
        <f t="shared" si="13"/>
        <v>2.8702482784055551E-2</v>
      </c>
    </row>
    <row r="52" spans="1:17" ht="25.5">
      <c r="B52" s="78" t="s">
        <v>33</v>
      </c>
      <c r="C52" s="52"/>
      <c r="D52" s="52"/>
      <c r="E52" s="52"/>
      <c r="F52" s="88"/>
      <c r="G52" s="231"/>
      <c r="H52" s="82">
        <f>SUM(H49:H51)</f>
        <v>37.436959999999978</v>
      </c>
      <c r="I52" s="89"/>
      <c r="J52" s="90"/>
      <c r="K52" s="294"/>
      <c r="L52" s="82">
        <f>SUM(L49:L51)</f>
        <v>40.171471988095121</v>
      </c>
      <c r="M52" s="89"/>
      <c r="N52" s="60">
        <f t="shared" si="2"/>
        <v>2.734511988095143</v>
      </c>
      <c r="O52" s="61">
        <f t="shared" si="13"/>
        <v>7.3043110020021507E-2</v>
      </c>
    </row>
    <row r="53" spans="1:17" ht="25.5">
      <c r="B53" s="34" t="s">
        <v>34</v>
      </c>
      <c r="C53" s="35"/>
      <c r="D53" s="92" t="s">
        <v>24</v>
      </c>
      <c r="E53" s="35"/>
      <c r="F53" s="236">
        <v>4.4000000000000003E-3</v>
      </c>
      <c r="G53" s="233">
        <f>G51</f>
        <v>1870.1999999999998</v>
      </c>
      <c r="H53" s="240">
        <f t="shared" ref="H53:H59" si="14">G53*F53</f>
        <v>8.2288800000000002</v>
      </c>
      <c r="I53" s="45"/>
      <c r="J53" s="236">
        <v>4.4000000000000003E-3</v>
      </c>
      <c r="K53" s="293">
        <f>K51</f>
        <v>1882.2600000000002</v>
      </c>
      <c r="L53" s="240">
        <f t="shared" ref="L53:L59" si="15">K53*J53</f>
        <v>8.2819440000000011</v>
      </c>
      <c r="M53" s="45"/>
      <c r="N53" s="295">
        <f t="shared" si="2"/>
        <v>5.3064000000000888E-2</v>
      </c>
      <c r="O53" s="296">
        <f t="shared" si="13"/>
        <v>6.4485081809433223E-3</v>
      </c>
    </row>
    <row r="54" spans="1:17" ht="25.5">
      <c r="B54" s="34" t="s">
        <v>35</v>
      </c>
      <c r="C54" s="35"/>
      <c r="D54" s="92" t="s">
        <v>24</v>
      </c>
      <c r="E54" s="35"/>
      <c r="F54" s="236">
        <v>1.1999999999999999E-3</v>
      </c>
      <c r="G54" s="233">
        <f>G51</f>
        <v>1870.1999999999998</v>
      </c>
      <c r="H54" s="240">
        <f t="shared" si="14"/>
        <v>2.2442399999999996</v>
      </c>
      <c r="I54" s="45"/>
      <c r="J54" s="236">
        <v>1.1999999999999999E-3</v>
      </c>
      <c r="K54" s="293">
        <f>K51</f>
        <v>1882.2600000000002</v>
      </c>
      <c r="L54" s="240">
        <f t="shared" si="15"/>
        <v>2.2587120000000001</v>
      </c>
      <c r="M54" s="45"/>
      <c r="N54" s="295">
        <f t="shared" si="2"/>
        <v>1.4472000000000484E-2</v>
      </c>
      <c r="O54" s="296">
        <f t="shared" si="13"/>
        <v>6.4485081809434316E-3</v>
      </c>
    </row>
    <row r="55" spans="1:17" ht="25.5">
      <c r="B55" s="34" t="s">
        <v>36</v>
      </c>
      <c r="C55" s="35"/>
      <c r="D55" s="92" t="s">
        <v>19</v>
      </c>
      <c r="E55" s="35"/>
      <c r="F55" s="236">
        <v>0.25</v>
      </c>
      <c r="G55" s="65">
        <v>1</v>
      </c>
      <c r="H55" s="240">
        <f t="shared" si="14"/>
        <v>0.25</v>
      </c>
      <c r="I55" s="45"/>
      <c r="J55" s="236">
        <v>0.25</v>
      </c>
      <c r="K55" s="288">
        <v>1</v>
      </c>
      <c r="L55" s="240">
        <f t="shared" si="15"/>
        <v>0.25</v>
      </c>
      <c r="M55" s="45"/>
      <c r="N55" s="295">
        <f t="shared" si="2"/>
        <v>0</v>
      </c>
      <c r="O55" s="296">
        <f t="shared" si="13"/>
        <v>0</v>
      </c>
    </row>
    <row r="56" spans="1:17" ht="25.5">
      <c r="B56" s="34" t="s">
        <v>66</v>
      </c>
      <c r="C56" s="35"/>
      <c r="D56" s="92" t="s">
        <v>24</v>
      </c>
      <c r="E56" s="35"/>
      <c r="F56" s="50">
        <v>4.8999999999999998E-3</v>
      </c>
      <c r="G56" s="241">
        <f>F18</f>
        <v>1800</v>
      </c>
      <c r="H56" s="240">
        <f t="shared" si="14"/>
        <v>8.82</v>
      </c>
      <c r="I56" s="45"/>
      <c r="J56" s="50">
        <v>4.8999999999999998E-3</v>
      </c>
      <c r="K56" s="297">
        <f>F18</f>
        <v>1800</v>
      </c>
      <c r="L56" s="240">
        <f t="shared" si="15"/>
        <v>8.82</v>
      </c>
      <c r="M56" s="45"/>
      <c r="N56" s="295">
        <f t="shared" si="2"/>
        <v>0</v>
      </c>
      <c r="O56" s="296">
        <f t="shared" si="13"/>
        <v>0</v>
      </c>
    </row>
    <row r="57" spans="1:17">
      <c r="B57" s="74" t="s">
        <v>38</v>
      </c>
      <c r="C57" s="35"/>
      <c r="D57" s="92" t="s">
        <v>24</v>
      </c>
      <c r="E57" s="35"/>
      <c r="F57" s="243">
        <v>7.6999999999999999E-2</v>
      </c>
      <c r="G57" s="244">
        <f>0.64*$F$18</f>
        <v>1152</v>
      </c>
      <c r="H57" s="240">
        <f t="shared" si="14"/>
        <v>88.703999999999994</v>
      </c>
      <c r="I57" s="45"/>
      <c r="J57" s="236">
        <v>7.6999999999999999E-2</v>
      </c>
      <c r="K57" s="298">
        <f>G57</f>
        <v>1152</v>
      </c>
      <c r="L57" s="240">
        <f t="shared" si="15"/>
        <v>88.703999999999994</v>
      </c>
      <c r="M57" s="45"/>
      <c r="N57" s="295">
        <f t="shared" si="2"/>
        <v>0</v>
      </c>
      <c r="O57" s="296">
        <f t="shared" si="13"/>
        <v>0</v>
      </c>
    </row>
    <row r="58" spans="1:17">
      <c r="B58" s="74" t="s">
        <v>39</v>
      </c>
      <c r="C58" s="35"/>
      <c r="D58" s="92" t="s">
        <v>24</v>
      </c>
      <c r="E58" s="35"/>
      <c r="F58" s="243">
        <v>0.114</v>
      </c>
      <c r="G58" s="244">
        <f>0.18*$F$18</f>
        <v>324</v>
      </c>
      <c r="H58" s="240">
        <f t="shared" si="14"/>
        <v>36.936</v>
      </c>
      <c r="I58" s="45"/>
      <c r="J58" s="236">
        <v>0.114</v>
      </c>
      <c r="K58" s="298">
        <f>G58</f>
        <v>324</v>
      </c>
      <c r="L58" s="240">
        <f t="shared" si="15"/>
        <v>36.936</v>
      </c>
      <c r="M58" s="45"/>
      <c r="N58" s="295">
        <f t="shared" si="2"/>
        <v>0</v>
      </c>
      <c r="O58" s="296">
        <f t="shared" si="13"/>
        <v>0</v>
      </c>
    </row>
    <row r="59" spans="1:17">
      <c r="B59" s="20" t="s">
        <v>40</v>
      </c>
      <c r="C59" s="35"/>
      <c r="D59" s="92" t="s">
        <v>24</v>
      </c>
      <c r="E59" s="35"/>
      <c r="F59" s="243">
        <v>0.14000000000000001</v>
      </c>
      <c r="G59" s="244">
        <f>0.18*$F$18</f>
        <v>324</v>
      </c>
      <c r="H59" s="240">
        <f t="shared" si="14"/>
        <v>45.360000000000007</v>
      </c>
      <c r="I59" s="45"/>
      <c r="J59" s="236">
        <v>0.14000000000000001</v>
      </c>
      <c r="K59" s="298">
        <f>G59</f>
        <v>324</v>
      </c>
      <c r="L59" s="240">
        <f t="shared" si="15"/>
        <v>45.360000000000007</v>
      </c>
      <c r="M59" s="45"/>
      <c r="N59" s="295">
        <f t="shared" si="2"/>
        <v>0</v>
      </c>
      <c r="O59" s="296">
        <f t="shared" si="13"/>
        <v>0</v>
      </c>
    </row>
    <row r="60" spans="1:17">
      <c r="A60" s="98"/>
      <c r="B60" s="99" t="s">
        <v>41</v>
      </c>
      <c r="C60" s="100"/>
      <c r="D60" s="92" t="s">
        <v>24</v>
      </c>
      <c r="E60" s="100"/>
      <c r="F60" s="243">
        <v>8.5999999999999993E-2</v>
      </c>
      <c r="G60" s="246"/>
      <c r="H60" s="240">
        <f>G60*F60</f>
        <v>0</v>
      </c>
      <c r="I60" s="247"/>
      <c r="J60" s="236">
        <v>8.5999999999999993E-2</v>
      </c>
      <c r="K60" s="299">
        <f>G60</f>
        <v>0</v>
      </c>
      <c r="L60" s="240">
        <f>K60*J60</f>
        <v>0</v>
      </c>
      <c r="M60" s="247"/>
      <c r="N60" s="300">
        <f t="shared" si="2"/>
        <v>0</v>
      </c>
      <c r="O60" s="296" t="str">
        <f t="shared" si="13"/>
        <v/>
      </c>
      <c r="P60" s="98"/>
      <c r="Q60" s="98"/>
    </row>
    <row r="61" spans="1:17" ht="15.75" thickBot="1">
      <c r="A61" s="98"/>
      <c r="B61" s="99" t="s">
        <v>42</v>
      </c>
      <c r="C61" s="100"/>
      <c r="D61" s="92" t="s">
        <v>24</v>
      </c>
      <c r="E61" s="100"/>
      <c r="F61" s="243">
        <v>0.10100000000000001</v>
      </c>
      <c r="G61" s="246"/>
      <c r="H61" s="240">
        <f>G61*F61</f>
        <v>0</v>
      </c>
      <c r="I61" s="247"/>
      <c r="J61" s="236">
        <v>0.10100000000000001</v>
      </c>
      <c r="K61" s="299">
        <f>G61</f>
        <v>0</v>
      </c>
      <c r="L61" s="240">
        <f>K61*J61</f>
        <v>0</v>
      </c>
      <c r="M61" s="247"/>
      <c r="N61" s="300">
        <f t="shared" si="2"/>
        <v>0</v>
      </c>
      <c r="O61" s="296" t="str">
        <f t="shared" si="13"/>
        <v/>
      </c>
      <c r="P61" s="98"/>
      <c r="Q61" s="98"/>
    </row>
    <row r="62" spans="1:17" ht="15.75" thickBot="1">
      <c r="B62" s="104"/>
      <c r="C62" s="105"/>
      <c r="D62" s="106"/>
      <c r="E62" s="105"/>
      <c r="F62" s="107"/>
      <c r="G62" s="249"/>
      <c r="H62" s="109"/>
      <c r="I62" s="110"/>
      <c r="J62" s="107"/>
      <c r="K62" s="301"/>
      <c r="L62" s="109"/>
      <c r="M62" s="110"/>
      <c r="N62" s="112"/>
      <c r="O62" s="113"/>
    </row>
    <row r="63" spans="1:17" ht="25.5">
      <c r="B63" s="114" t="s">
        <v>43</v>
      </c>
      <c r="C63" s="35"/>
      <c r="D63" s="35"/>
      <c r="E63" s="35"/>
      <c r="F63" s="115"/>
      <c r="G63" s="251"/>
      <c r="H63" s="117">
        <f>SUM(H53:H59,H52)</f>
        <v>227.98007999999999</v>
      </c>
      <c r="I63" s="118"/>
      <c r="J63" s="119"/>
      <c r="K63" s="302"/>
      <c r="L63" s="117">
        <f>SUM(L53:L59,L52)</f>
        <v>230.78212798809511</v>
      </c>
      <c r="M63" s="120"/>
      <c r="N63" s="121">
        <f>L63-H63</f>
        <v>2.8020479880951257</v>
      </c>
      <c r="O63" s="122">
        <f>IF((H63)=0,"",(N63/H63))</f>
        <v>1.2290757982430421E-2</v>
      </c>
    </row>
    <row r="64" spans="1:17">
      <c r="B64" s="123" t="s">
        <v>44</v>
      </c>
      <c r="C64" s="35"/>
      <c r="D64" s="35"/>
      <c r="E64" s="35"/>
      <c r="F64" s="124">
        <v>0.13</v>
      </c>
      <c r="G64" s="67"/>
      <c r="H64" s="125">
        <f>H63*F64</f>
        <v>29.6374104</v>
      </c>
      <c r="I64" s="126"/>
      <c r="J64" s="127">
        <v>0.13</v>
      </c>
      <c r="K64" s="303"/>
      <c r="L64" s="128">
        <f>L63*J64</f>
        <v>30.001676638452366</v>
      </c>
      <c r="M64" s="129"/>
      <c r="N64" s="130">
        <f t="shared" si="2"/>
        <v>0.36426623845236605</v>
      </c>
      <c r="O64" s="44">
        <f t="shared" si="13"/>
        <v>1.2290757982430411E-2</v>
      </c>
    </row>
    <row r="65" spans="1:17">
      <c r="B65" s="131" t="s">
        <v>45</v>
      </c>
      <c r="C65" s="35"/>
      <c r="D65" s="35"/>
      <c r="E65" s="35"/>
      <c r="F65" s="132"/>
      <c r="G65" s="67"/>
      <c r="H65" s="125">
        <f>H63+H64</f>
        <v>257.61749040000001</v>
      </c>
      <c r="I65" s="126"/>
      <c r="J65" s="126"/>
      <c r="K65" s="303"/>
      <c r="L65" s="128">
        <f>L63+L64</f>
        <v>260.78380462654746</v>
      </c>
      <c r="M65" s="129"/>
      <c r="N65" s="130">
        <f t="shared" si="2"/>
        <v>3.1663142265474562</v>
      </c>
      <c r="O65" s="44">
        <f t="shared" si="13"/>
        <v>1.2290757982430281E-2</v>
      </c>
    </row>
    <row r="66" spans="1:17">
      <c r="B66" s="133" t="s">
        <v>69</v>
      </c>
      <c r="C66" s="133"/>
      <c r="D66" s="133"/>
      <c r="E66" s="35"/>
      <c r="F66" s="132"/>
      <c r="G66" s="67"/>
      <c r="H66" s="134"/>
      <c r="I66" s="126"/>
      <c r="J66" s="126"/>
      <c r="K66" s="303"/>
      <c r="L66" s="135"/>
      <c r="M66" s="129"/>
      <c r="N66" s="136">
        <f t="shared" si="2"/>
        <v>0</v>
      </c>
      <c r="O66" s="137" t="str">
        <f t="shared" si="13"/>
        <v/>
      </c>
    </row>
    <row r="67" spans="1:17" ht="15.75" thickBot="1">
      <c r="B67" s="138" t="s">
        <v>46</v>
      </c>
      <c r="C67" s="138"/>
      <c r="D67" s="138"/>
      <c r="E67" s="139"/>
      <c r="F67" s="140"/>
      <c r="G67" s="254"/>
      <c r="H67" s="142">
        <f>H65+H66</f>
        <v>257.61749040000001</v>
      </c>
      <c r="I67" s="143"/>
      <c r="J67" s="143"/>
      <c r="K67" s="304"/>
      <c r="L67" s="144">
        <f>L65+L66</f>
        <v>260.78380462654746</v>
      </c>
      <c r="M67" s="145"/>
      <c r="N67" s="146">
        <f t="shared" si="2"/>
        <v>3.1663142265474562</v>
      </c>
      <c r="O67" s="147">
        <f t="shared" si="13"/>
        <v>1.2290757982430281E-2</v>
      </c>
    </row>
    <row r="68" spans="1:17" ht="15.75" thickBot="1">
      <c r="A68" s="98"/>
      <c r="B68" s="148"/>
      <c r="C68" s="149"/>
      <c r="D68" s="150"/>
      <c r="E68" s="149"/>
      <c r="F68" s="107"/>
      <c r="G68" s="256"/>
      <c r="H68" s="109"/>
      <c r="I68" s="152"/>
      <c r="J68" s="107"/>
      <c r="K68" s="305"/>
      <c r="L68" s="109"/>
      <c r="M68" s="152"/>
      <c r="N68" s="154"/>
      <c r="O68" s="113"/>
      <c r="P68" s="98"/>
      <c r="Q68" s="98"/>
    </row>
    <row r="69" spans="1:17" ht="25.5">
      <c r="A69" s="98"/>
      <c r="B69" s="155" t="s">
        <v>47</v>
      </c>
      <c r="C69" s="100"/>
      <c r="D69" s="100"/>
      <c r="E69" s="100"/>
      <c r="F69" s="156"/>
      <c r="G69" s="258"/>
      <c r="H69" s="158">
        <f>SUM(H60:H61,H52,H53:H56)</f>
        <v>56.980079999999973</v>
      </c>
      <c r="I69" s="159"/>
      <c r="J69" s="160"/>
      <c r="K69" s="306"/>
      <c r="L69" s="158">
        <f>SUM(L60:L61,L52,L53:L56)</f>
        <v>59.782127988095127</v>
      </c>
      <c r="M69" s="161"/>
      <c r="N69" s="162">
        <f>L69-H69</f>
        <v>2.8020479880951541</v>
      </c>
      <c r="O69" s="122">
        <f>IF((H69)=0,"",(N69/H69))</f>
        <v>4.9175922323997361E-2</v>
      </c>
      <c r="P69" s="98"/>
      <c r="Q69" s="98"/>
    </row>
    <row r="70" spans="1:17">
      <c r="A70" s="98"/>
      <c r="B70" s="163" t="s">
        <v>44</v>
      </c>
      <c r="C70" s="100"/>
      <c r="D70" s="100"/>
      <c r="E70" s="100"/>
      <c r="F70" s="164">
        <v>0.13</v>
      </c>
      <c r="G70" s="258"/>
      <c r="H70" s="165">
        <f>H69*F70</f>
        <v>7.4074103999999963</v>
      </c>
      <c r="I70" s="166"/>
      <c r="J70" s="164">
        <v>0.13</v>
      </c>
      <c r="K70" s="307"/>
      <c r="L70" s="168">
        <f>L69*J70</f>
        <v>7.7716766384523668</v>
      </c>
      <c r="M70" s="102"/>
      <c r="N70" s="103">
        <f>L70-H70</f>
        <v>0.36426623845237049</v>
      </c>
      <c r="O70" s="44">
        <f>IF((H70)=0,"",(N70/H70))</f>
        <v>4.9175922323997423E-2</v>
      </c>
      <c r="P70" s="98"/>
      <c r="Q70" s="98"/>
    </row>
    <row r="71" spans="1:17">
      <c r="A71" s="98"/>
      <c r="B71" s="169" t="s">
        <v>45</v>
      </c>
      <c r="C71" s="100"/>
      <c r="D71" s="100"/>
      <c r="E71" s="100"/>
      <c r="F71" s="170"/>
      <c r="G71" s="261"/>
      <c r="H71" s="165">
        <f>H69+H70</f>
        <v>64.387490399999962</v>
      </c>
      <c r="I71" s="166"/>
      <c r="J71" s="166"/>
      <c r="K71" s="308"/>
      <c r="L71" s="168">
        <f>L69+L70</f>
        <v>67.553804626547489</v>
      </c>
      <c r="M71" s="102"/>
      <c r="N71" s="103">
        <f>L71-H71</f>
        <v>3.1663142265475273</v>
      </c>
      <c r="O71" s="44">
        <f>IF((H71)=0,"",(N71/H71))</f>
        <v>4.9175922323997416E-2</v>
      </c>
      <c r="P71" s="98"/>
      <c r="Q71" s="98"/>
    </row>
    <row r="72" spans="1:17">
      <c r="A72" s="98"/>
      <c r="B72" s="171"/>
      <c r="C72" s="171"/>
      <c r="D72" s="171"/>
      <c r="E72" s="100"/>
      <c r="F72" s="170"/>
      <c r="G72" s="261"/>
      <c r="H72" s="172"/>
      <c r="I72" s="166"/>
      <c r="J72" s="166"/>
      <c r="K72" s="308"/>
      <c r="L72" s="173"/>
      <c r="M72" s="102"/>
      <c r="N72" s="174">
        <f>L72-H72</f>
        <v>0</v>
      </c>
      <c r="O72" s="137" t="str">
        <f>IF((H72)=0,"",(N72/H72))</f>
        <v/>
      </c>
      <c r="P72" s="98"/>
      <c r="Q72" s="98"/>
    </row>
    <row r="73" spans="1:17" ht="15.75" thickBot="1">
      <c r="A73" s="98"/>
      <c r="B73" s="175" t="s">
        <v>48</v>
      </c>
      <c r="C73" s="175"/>
      <c r="D73" s="175"/>
      <c r="E73" s="176"/>
      <c r="F73" s="177"/>
      <c r="G73" s="263"/>
      <c r="H73" s="179">
        <f>SUM(H71:H72)</f>
        <v>64.387490399999962</v>
      </c>
      <c r="I73" s="180"/>
      <c r="J73" s="180"/>
      <c r="K73" s="309"/>
      <c r="L73" s="181">
        <f>SUM(L71:L72)</f>
        <v>67.553804626547489</v>
      </c>
      <c r="M73" s="182"/>
      <c r="N73" s="183">
        <f>L73-H73</f>
        <v>3.1663142265475273</v>
      </c>
      <c r="O73" s="184">
        <f>IF((H73)=0,"",(N73/H73))</f>
        <v>4.9175922323997416E-2</v>
      </c>
      <c r="P73" s="98"/>
      <c r="Q73" s="98"/>
    </row>
    <row r="74" spans="1:17" ht="15.75" thickBot="1">
      <c r="A74" s="98"/>
      <c r="B74" s="148"/>
      <c r="C74" s="149"/>
      <c r="D74" s="150"/>
      <c r="E74" s="149"/>
      <c r="F74" s="185"/>
      <c r="G74" s="265"/>
      <c r="H74" s="187"/>
      <c r="I74" s="188"/>
      <c r="J74" s="185"/>
      <c r="K74" s="310"/>
      <c r="L74" s="189"/>
      <c r="M74" s="152"/>
      <c r="N74" s="190"/>
      <c r="O74" s="113"/>
      <c r="P74" s="98"/>
      <c r="Q74" s="98"/>
    </row>
    <row r="75" spans="1:17">
      <c r="L75" s="97"/>
    </row>
    <row r="76" spans="1:17">
      <c r="B76" s="191" t="s">
        <v>49</v>
      </c>
      <c r="F76" s="192">
        <v>3.9E-2</v>
      </c>
      <c r="J76" s="192">
        <v>4.5699999999999998E-2</v>
      </c>
    </row>
    <row r="78" spans="1:17">
      <c r="A78" s="193" t="s">
        <v>50</v>
      </c>
    </row>
    <row r="80" spans="1:17">
      <c r="A80" s="2" t="s">
        <v>51</v>
      </c>
    </row>
    <row r="81" spans="1:2">
      <c r="A81" s="2" t="s">
        <v>52</v>
      </c>
    </row>
    <row r="83" spans="1:2">
      <c r="A83" s="194" t="s">
        <v>53</v>
      </c>
    </row>
    <row r="84" spans="1:2">
      <c r="A84" s="194" t="s">
        <v>54</v>
      </c>
    </row>
    <row r="86" spans="1:2">
      <c r="A86" s="2" t="s">
        <v>55</v>
      </c>
    </row>
    <row r="87" spans="1:2">
      <c r="A87" s="2" t="s">
        <v>56</v>
      </c>
    </row>
    <row r="88" spans="1:2">
      <c r="A88" s="2" t="s">
        <v>57</v>
      </c>
    </row>
    <row r="89" spans="1:2">
      <c r="A89" s="2" t="s">
        <v>58</v>
      </c>
    </row>
    <row r="90" spans="1:2">
      <c r="A90" s="2" t="s">
        <v>59</v>
      </c>
    </row>
    <row r="92" spans="1:2" ht="51.75">
      <c r="A92" s="195"/>
      <c r="B92" s="9" t="s">
        <v>60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74 D50:D51 D23:D38 D68 D53:D62 D40:D48">
      <formula1>"Monthly,per kWh,per kW"</formula1>
      <formula2>0</formula2>
    </dataValidation>
    <dataValidation type="list" allowBlank="1" showInputMessage="1" showErrorMessage="1" sqref="E23:E38 E74 E50:E51 E53:E62 E68 E40:E48">
      <formula1>"#REF!"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Residential</vt:lpstr>
      <vt:lpstr>GS&lt;50</vt:lpstr>
      <vt:lpstr>GS&gt;50</vt:lpstr>
      <vt:lpstr>Sentinel</vt:lpstr>
      <vt:lpstr>StreetLighting</vt:lpstr>
      <vt:lpstr>UnmeteredScatterLoad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Donnelly</dc:creator>
  <cp:lastModifiedBy>Jane Donnelly</cp:lastModifiedBy>
  <dcterms:created xsi:type="dcterms:W3CDTF">2016-01-29T13:39:18Z</dcterms:created>
  <dcterms:modified xsi:type="dcterms:W3CDTF">2016-01-29T13:57:19Z</dcterms:modified>
</cp:coreProperties>
</file>