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34725" windowHeight="17400" tabRatio="799" firstSheet="9" activeTab="13"/>
  </bookViews>
  <sheets>
    <sheet name="1. LDC Info" sheetId="45" r:id="rId1"/>
    <sheet name="2. Customer Classes" sheetId="44" r:id="rId2"/>
    <sheet name="3. Consumption by Rate Class" sheetId="30" r:id="rId3"/>
    <sheet name="4. Customer Growth" sheetId="6" r:id="rId4"/>
    <sheet name="5.Variables" sheetId="52" r:id="rId5"/>
    <sheet name="6. WS Regression Analysis" sheetId="4" r:id="rId6"/>
    <sheet name="6.1 Regression Scenarios" sheetId="17" state="hidden" r:id="rId7"/>
    <sheet name="7. Weather Senstive Class" sheetId="29" r:id="rId8"/>
    <sheet name="8. KW and Non-Weather Sensitive" sheetId="46" r:id="rId9"/>
    <sheet name="9. Weather Adj LF" sheetId="32" r:id="rId10"/>
    <sheet name="10. CDM Adjustment" sheetId="42" r:id="rId11"/>
    <sheet name="10. CDM Adjustment V2" sheetId="57" r:id="rId12"/>
    <sheet name="10.1 CDM Allocation" sheetId="53" r:id="rId13"/>
    <sheet name="11. Final Load Forecast" sheetId="51" r:id="rId14"/>
    <sheet name="12. Analysis_ Avg Per Cust" sheetId="38" r:id="rId15"/>
    <sheet name="14. Winter Flag" sheetId="56" r:id="rId16"/>
    <sheet name="13. Analysis_Weather adj LF" sheetId="47" r:id="rId17"/>
  </sheets>
  <externalReferences>
    <externalReference r:id="rId18"/>
  </externalReferences>
  <definedNames>
    <definedName name="AllVariables">'5.Variables'!$B$120:$B$125</definedName>
    <definedName name="EBNUMBER">'[1]LDC Info'!$E$16</definedName>
    <definedName name="_xlnm.Print_Area" localSheetId="4">'5.Variables'!$A$10:$Z$132</definedName>
    <definedName name="RebaseYear">'[1]LDC Info'!$E$28</definedName>
    <definedName name="Variable1">'5.Variables'!$B$16</definedName>
    <definedName name="Variable2">'5.Variables'!$B$39</definedName>
    <definedName name="Variable3">'5.Variables'!$B$62</definedName>
    <definedName name="Variable5">'5.Variables'!$B$90</definedName>
    <definedName name="Variable6">'5.Variables'!$B$104</definedName>
  </definedNames>
  <calcPr calcId="152511"/>
</workbook>
</file>

<file path=xl/calcChain.xml><?xml version="1.0" encoding="utf-8"?>
<calcChain xmlns="http://schemas.openxmlformats.org/spreadsheetml/2006/main">
  <c r="F32" i="29" l="1"/>
  <c r="L34" i="53" l="1"/>
  <c r="E38" i="57" l="1"/>
  <c r="D38" i="57"/>
  <c r="C38" i="57"/>
  <c r="E37" i="57"/>
  <c r="D37" i="57"/>
  <c r="C37" i="57"/>
  <c r="E36" i="57"/>
  <c r="D36" i="57"/>
  <c r="C36" i="57"/>
  <c r="B36" i="57"/>
  <c r="E35" i="57"/>
  <c r="D35" i="57"/>
  <c r="C35" i="57"/>
  <c r="B35" i="57"/>
  <c r="D42" i="57" l="1"/>
  <c r="H38" i="57"/>
  <c r="G38" i="57"/>
  <c r="E42" i="57"/>
  <c r="E43" i="57"/>
  <c r="F44" i="57"/>
  <c r="F42" i="57"/>
  <c r="F43" i="57"/>
  <c r="E119" i="57"/>
  <c r="E117" i="57"/>
  <c r="D117" i="57"/>
  <c r="C117" i="57"/>
  <c r="E115" i="57"/>
  <c r="D115" i="57"/>
  <c r="C115" i="57"/>
  <c r="B115" i="57"/>
  <c r="D88" i="57"/>
  <c r="F88" i="57" s="1"/>
  <c r="C88" i="57"/>
  <c r="H68" i="57"/>
  <c r="A67" i="57"/>
  <c r="A66" i="57"/>
  <c r="A65" i="57"/>
  <c r="A64" i="57"/>
  <c r="A63" i="57"/>
  <c r="B62" i="57"/>
  <c r="C62" i="57" s="1"/>
  <c r="A62" i="57"/>
  <c r="B54" i="57"/>
  <c r="H54" i="57" s="1"/>
  <c r="E39" i="57"/>
  <c r="D39" i="57"/>
  <c r="C39" i="57"/>
  <c r="B39" i="57"/>
  <c r="F38" i="57"/>
  <c r="F37" i="57"/>
  <c r="F36" i="57"/>
  <c r="F35" i="57"/>
  <c r="K29" i="57"/>
  <c r="J29" i="57"/>
  <c r="N28" i="57"/>
  <c r="M28" i="57"/>
  <c r="L28" i="57"/>
  <c r="K28" i="57"/>
  <c r="B68" i="57" l="1"/>
  <c r="C121" i="57"/>
  <c r="C124" i="57" s="1"/>
  <c r="F39" i="57"/>
  <c r="E30" i="57" s="1"/>
  <c r="F119" i="57"/>
  <c r="H62" i="57"/>
  <c r="B121" i="57"/>
  <c r="E121" i="57"/>
  <c r="E124" i="57" s="1"/>
  <c r="D121" i="57"/>
  <c r="D124" i="57" s="1"/>
  <c r="E88" i="57"/>
  <c r="B60" i="57"/>
  <c r="C63" i="57"/>
  <c r="E29" i="57" l="1"/>
  <c r="C29" i="57"/>
  <c r="B29" i="57"/>
  <c r="B33" i="57" s="1"/>
  <c r="E31" i="57"/>
  <c r="D31" i="57"/>
  <c r="D29" i="57"/>
  <c r="C30" i="57"/>
  <c r="E32" i="57"/>
  <c r="F32" i="57" s="1"/>
  <c r="D30" i="57"/>
  <c r="H63" i="57"/>
  <c r="D64" i="57"/>
  <c r="G119" i="57"/>
  <c r="G121" i="57" s="1"/>
  <c r="G124" i="57" s="1"/>
  <c r="C55" i="57"/>
  <c r="C68" i="57"/>
  <c r="B124" i="57"/>
  <c r="F121" i="57"/>
  <c r="F124" i="57" s="1"/>
  <c r="H119" i="57"/>
  <c r="F30" i="57" l="1"/>
  <c r="F31" i="57"/>
  <c r="C33" i="57"/>
  <c r="E33" i="57"/>
  <c r="F29" i="57"/>
  <c r="D33" i="57"/>
  <c r="H121" i="57"/>
  <c r="H124" i="57"/>
  <c r="C60" i="57"/>
  <c r="H55" i="57"/>
  <c r="D68" i="57"/>
  <c r="H64" i="57"/>
  <c r="D56" i="57"/>
  <c r="E65" i="57"/>
  <c r="F33" i="57" l="1"/>
  <c r="E68" i="57"/>
  <c r="F66" i="57"/>
  <c r="H65" i="57"/>
  <c r="E57" i="57"/>
  <c r="H56" i="57"/>
  <c r="D60" i="57"/>
  <c r="E60" i="57" l="1"/>
  <c r="H57" i="57"/>
  <c r="G67" i="57"/>
  <c r="F58" i="57"/>
  <c r="F68" i="57"/>
  <c r="H66" i="57"/>
  <c r="H58" i="57" l="1"/>
  <c r="F60" i="57"/>
  <c r="H67" i="57"/>
  <c r="G68" i="57"/>
  <c r="G59" i="57"/>
  <c r="G60" i="57" l="1"/>
  <c r="H60" i="57" s="1"/>
  <c r="H59" i="57"/>
  <c r="AM34" i="46" l="1"/>
  <c r="AE34" i="46"/>
  <c r="U34" i="46"/>
  <c r="H34" i="46"/>
  <c r="V31" i="29"/>
  <c r="N31" i="29"/>
  <c r="F31" i="29"/>
  <c r="F30" i="46" l="1"/>
  <c r="R21" i="4"/>
  <c r="R22" i="4"/>
  <c r="R23" i="4"/>
  <c r="R24" i="4"/>
  <c r="R25" i="4"/>
  <c r="R26" i="4"/>
  <c r="R27" i="4"/>
  <c r="R28" i="4"/>
  <c r="R29" i="4"/>
  <c r="R30" i="4"/>
  <c r="R31" i="4"/>
  <c r="R32" i="4"/>
  <c r="R33" i="4"/>
  <c r="R34" i="4"/>
  <c r="R35" i="4"/>
  <c r="R36" i="4"/>
  <c r="R37" i="4"/>
  <c r="R38" i="4"/>
  <c r="R39" i="4"/>
  <c r="R40" i="4"/>
  <c r="R41" i="4"/>
  <c r="R42" i="4"/>
  <c r="R43" i="4"/>
  <c r="R44" i="4"/>
  <c r="R45" i="4"/>
  <c r="R46" i="4"/>
  <c r="R47" i="4"/>
  <c r="R48" i="4"/>
  <c r="R49" i="4"/>
  <c r="R50" i="4"/>
  <c r="R51" i="4"/>
  <c r="R52" i="4"/>
  <c r="R53" i="4"/>
  <c r="R54" i="4"/>
  <c r="R55" i="4"/>
  <c r="R56" i="4"/>
  <c r="R57" i="4"/>
  <c r="R58" i="4"/>
  <c r="R59" i="4"/>
  <c r="R60" i="4"/>
  <c r="R61" i="4"/>
  <c r="R62" i="4"/>
  <c r="R63" i="4"/>
  <c r="R64" i="4"/>
  <c r="R65" i="4"/>
  <c r="R66" i="4"/>
  <c r="R67" i="4"/>
  <c r="R68" i="4"/>
  <c r="R69" i="4"/>
  <c r="R70" i="4"/>
  <c r="R71" i="4"/>
  <c r="R72" i="4"/>
  <c r="R73" i="4"/>
  <c r="R74" i="4"/>
  <c r="R75" i="4"/>
  <c r="R76" i="4"/>
  <c r="R77" i="4"/>
  <c r="R78" i="4"/>
  <c r="R79" i="4"/>
  <c r="R80" i="4"/>
  <c r="R81" i="4"/>
  <c r="R82" i="4"/>
  <c r="R83" i="4"/>
  <c r="R84" i="4"/>
  <c r="R85" i="4"/>
  <c r="R86" i="4"/>
  <c r="R87" i="4"/>
  <c r="R88" i="4"/>
  <c r="R89" i="4"/>
  <c r="R90" i="4"/>
  <c r="R91" i="4"/>
  <c r="R92" i="4"/>
  <c r="R93" i="4"/>
  <c r="R94" i="4"/>
  <c r="R95" i="4"/>
  <c r="R96" i="4"/>
  <c r="R97" i="4"/>
  <c r="R98" i="4"/>
  <c r="R99" i="4"/>
  <c r="R100" i="4"/>
  <c r="R101" i="4"/>
  <c r="R102" i="4"/>
  <c r="R103" i="4"/>
  <c r="R104" i="4"/>
  <c r="R105" i="4"/>
  <c r="R106" i="4"/>
  <c r="R107" i="4"/>
  <c r="R108" i="4"/>
  <c r="R109" i="4"/>
  <c r="R110" i="4"/>
  <c r="R111" i="4"/>
  <c r="R112" i="4"/>
  <c r="R113" i="4"/>
  <c r="R114" i="4"/>
  <c r="R115" i="4"/>
  <c r="R116" i="4"/>
  <c r="R117" i="4"/>
  <c r="R118" i="4"/>
  <c r="R119" i="4"/>
  <c r="R120" i="4"/>
  <c r="R121" i="4"/>
  <c r="R122" i="4"/>
  <c r="R123" i="4"/>
  <c r="R124" i="4"/>
  <c r="R125" i="4"/>
  <c r="R126" i="4"/>
  <c r="R127" i="4"/>
  <c r="R128" i="4"/>
  <c r="R129" i="4"/>
  <c r="R130" i="4"/>
  <c r="R131" i="4"/>
  <c r="R132" i="4"/>
  <c r="R133" i="4"/>
  <c r="R134" i="4"/>
  <c r="R135" i="4"/>
  <c r="R136" i="4"/>
  <c r="R137" i="4"/>
  <c r="R138" i="4"/>
  <c r="R139" i="4"/>
  <c r="R20" i="4"/>
  <c r="C21" i="29" l="1"/>
  <c r="R37" i="6" l="1"/>
  <c r="C18" i="6"/>
  <c r="C19" i="6"/>
  <c r="I15" i="6"/>
  <c r="AK28" i="46" l="1"/>
  <c r="AK30" i="46"/>
  <c r="AK29" i="46"/>
  <c r="AK27" i="46"/>
  <c r="AK26" i="46"/>
  <c r="AK25" i="46"/>
  <c r="AK24" i="46"/>
  <c r="AK23" i="46"/>
  <c r="AK22" i="46"/>
  <c r="AK21" i="46"/>
  <c r="G24" i="6"/>
  <c r="G23" i="6"/>
  <c r="AH30" i="46"/>
  <c r="AH29" i="46"/>
  <c r="AH28" i="46"/>
  <c r="AH27" i="46"/>
  <c r="AH26" i="46"/>
  <c r="AH25" i="46"/>
  <c r="AH24" i="46"/>
  <c r="AH23" i="46"/>
  <c r="AH22" i="46"/>
  <c r="AH21" i="46"/>
  <c r="AA24" i="46"/>
  <c r="U20" i="30"/>
  <c r="K139" i="4"/>
  <c r="K138" i="4"/>
  <c r="K137" i="4"/>
  <c r="K136" i="4"/>
  <c r="K135" i="4"/>
  <c r="K134" i="4"/>
  <c r="K133" i="4"/>
  <c r="K132" i="4"/>
  <c r="K131" i="4"/>
  <c r="K130" i="4"/>
  <c r="K129" i="4"/>
  <c r="K128" i="4"/>
  <c r="K127" i="4"/>
  <c r="K126" i="4"/>
  <c r="K125" i="4"/>
  <c r="K124" i="4"/>
  <c r="K123" i="4"/>
  <c r="K122" i="4"/>
  <c r="K121" i="4"/>
  <c r="K120" i="4"/>
  <c r="K119" i="4"/>
  <c r="K118" i="4"/>
  <c r="K117" i="4"/>
  <c r="K116" i="4"/>
  <c r="K115" i="4"/>
  <c r="K114" i="4"/>
  <c r="K113" i="4"/>
  <c r="K112" i="4"/>
  <c r="K111" i="4"/>
  <c r="K110" i="4"/>
  <c r="K109" i="4"/>
  <c r="K108" i="4"/>
  <c r="K107" i="4"/>
  <c r="K106" i="4"/>
  <c r="K105" i="4"/>
  <c r="K104" i="4"/>
  <c r="K103" i="4"/>
  <c r="K102" i="4"/>
  <c r="K101" i="4"/>
  <c r="K100" i="4"/>
  <c r="K99" i="4"/>
  <c r="K98" i="4"/>
  <c r="K97" i="4"/>
  <c r="K96" i="4"/>
  <c r="K95" i="4"/>
  <c r="K94" i="4"/>
  <c r="K93" i="4"/>
  <c r="K92" i="4"/>
  <c r="K91" i="4"/>
  <c r="K90" i="4"/>
  <c r="K89" i="4"/>
  <c r="K88" i="4"/>
  <c r="K87" i="4"/>
  <c r="K86" i="4"/>
  <c r="K85" i="4"/>
  <c r="K84" i="4"/>
  <c r="K83" i="4"/>
  <c r="K82" i="4"/>
  <c r="K81" i="4"/>
  <c r="K80" i="4"/>
  <c r="K79" i="4"/>
  <c r="K78" i="4"/>
  <c r="K77" i="4"/>
  <c r="K76" i="4"/>
  <c r="K75" i="4"/>
  <c r="K74" i="4"/>
  <c r="K73" i="4"/>
  <c r="K72" i="4"/>
  <c r="K71" i="4"/>
  <c r="K70" i="4"/>
  <c r="K69" i="4"/>
  <c r="K68" i="4"/>
  <c r="K67" i="4"/>
  <c r="K66" i="4"/>
  <c r="K65" i="4"/>
  <c r="K64" i="4"/>
  <c r="K63" i="4"/>
  <c r="K62" i="4"/>
  <c r="K61" i="4"/>
  <c r="K60" i="4"/>
  <c r="K59" i="4"/>
  <c r="K58" i="4"/>
  <c r="K57" i="4"/>
  <c r="K56" i="4"/>
  <c r="K55" i="4"/>
  <c r="K54" i="4"/>
  <c r="K53" i="4"/>
  <c r="K52" i="4"/>
  <c r="K51" i="4"/>
  <c r="K50" i="4"/>
  <c r="K49" i="4"/>
  <c r="K48" i="4"/>
  <c r="K47" i="4"/>
  <c r="K46" i="4"/>
  <c r="K45" i="4"/>
  <c r="K44" i="4"/>
  <c r="K43" i="4"/>
  <c r="K42" i="4"/>
  <c r="K41" i="4"/>
  <c r="K40" i="4"/>
  <c r="K39" i="4"/>
  <c r="K38" i="4"/>
  <c r="K37" i="4"/>
  <c r="K36" i="4"/>
  <c r="K35" i="4"/>
  <c r="K34" i="4"/>
  <c r="K33" i="4"/>
  <c r="K32" i="4"/>
  <c r="K31" i="4"/>
  <c r="K30" i="4"/>
  <c r="K29" i="4"/>
  <c r="K28" i="4"/>
  <c r="K27" i="4"/>
  <c r="K26" i="4"/>
  <c r="K25" i="4"/>
  <c r="K24" i="4"/>
  <c r="K23" i="4"/>
  <c r="K22" i="4"/>
  <c r="K21" i="4"/>
  <c r="K20" i="4"/>
  <c r="B40" i="52"/>
  <c r="L20" i="4"/>
  <c r="L21" i="4"/>
  <c r="L22" i="4"/>
  <c r="L23" i="4"/>
  <c r="L24" i="4"/>
  <c r="L25" i="4"/>
  <c r="L26" i="4"/>
  <c r="L27" i="4"/>
  <c r="L28" i="4"/>
  <c r="L29" i="4"/>
  <c r="L30" i="4"/>
  <c r="L31" i="4"/>
  <c r="B18" i="52"/>
  <c r="K140" i="4" l="1"/>
  <c r="A21" i="4"/>
  <c r="X21" i="46"/>
  <c r="Z21" i="46" s="1"/>
  <c r="AR30" i="46"/>
  <c r="AR29" i="46"/>
  <c r="AT29" i="46" s="1"/>
  <c r="AR28" i="46"/>
  <c r="AT28" i="46" s="1"/>
  <c r="AR27" i="46"/>
  <c r="AT27" i="46" s="1"/>
  <c r="AR26" i="46"/>
  <c r="AT26" i="46" s="1"/>
  <c r="AR25" i="46"/>
  <c r="AT25" i="46" s="1"/>
  <c r="AR24" i="46"/>
  <c r="AT24" i="46" s="1"/>
  <c r="AR23" i="46"/>
  <c r="AT23" i="46" s="1"/>
  <c r="AR22" i="46"/>
  <c r="AT22" i="46" s="1"/>
  <c r="AR21" i="46"/>
  <c r="AT21" i="46" s="1"/>
  <c r="AJ29" i="46"/>
  <c r="AJ28" i="46"/>
  <c r="AJ27" i="46"/>
  <c r="AJ26" i="46"/>
  <c r="AJ25" i="46"/>
  <c r="AJ24" i="46"/>
  <c r="AJ23" i="46"/>
  <c r="AJ22" i="46"/>
  <c r="AJ21" i="46"/>
  <c r="X30" i="46"/>
  <c r="X29" i="46"/>
  <c r="Z29" i="46" s="1"/>
  <c r="X28" i="46"/>
  <c r="Z28" i="46" s="1"/>
  <c r="X27" i="46"/>
  <c r="Z27" i="46" s="1"/>
  <c r="X26" i="46"/>
  <c r="Z26" i="46" s="1"/>
  <c r="X25" i="46"/>
  <c r="Z25" i="46" s="1"/>
  <c r="X24" i="46"/>
  <c r="Z24" i="46" s="1"/>
  <c r="X23" i="46"/>
  <c r="Z23" i="46" s="1"/>
  <c r="X22" i="46"/>
  <c r="Z22" i="46" s="1"/>
  <c r="N30" i="46"/>
  <c r="N29" i="46"/>
  <c r="P29" i="46" s="1"/>
  <c r="N28" i="46"/>
  <c r="P28" i="46" s="1"/>
  <c r="N27" i="46"/>
  <c r="P27" i="46" s="1"/>
  <c r="N26" i="46"/>
  <c r="P26" i="46" s="1"/>
  <c r="N25" i="46"/>
  <c r="P25" i="46" s="1"/>
  <c r="N24" i="46"/>
  <c r="P24" i="46" s="1"/>
  <c r="N23" i="46"/>
  <c r="P23" i="46" s="1"/>
  <c r="N22" i="46"/>
  <c r="P22" i="46" s="1"/>
  <c r="N21" i="46"/>
  <c r="P21" i="46" s="1"/>
  <c r="C30" i="46"/>
  <c r="C29" i="46"/>
  <c r="E29" i="46" s="1"/>
  <c r="C28" i="46"/>
  <c r="E28" i="46" s="1"/>
  <c r="C27" i="46"/>
  <c r="E27" i="46" s="1"/>
  <c r="C26" i="46"/>
  <c r="E26" i="46" s="1"/>
  <c r="C25" i="46"/>
  <c r="E25" i="46" s="1"/>
  <c r="C24" i="46"/>
  <c r="E24" i="46" s="1"/>
  <c r="C23" i="46"/>
  <c r="E23" i="46" s="1"/>
  <c r="C22" i="46"/>
  <c r="E22" i="46" s="1"/>
  <c r="C21" i="46"/>
  <c r="E21" i="46" s="1"/>
  <c r="N34" i="53"/>
  <c r="I19" i="53"/>
  <c r="I37" i="53" s="1"/>
  <c r="H19" i="53"/>
  <c r="H37" i="53" s="1"/>
  <c r="G19" i="53"/>
  <c r="G37" i="53" s="1"/>
  <c r="F19" i="53"/>
  <c r="F37" i="53" s="1"/>
  <c r="E19" i="53"/>
  <c r="E37" i="53" s="1"/>
  <c r="B74" i="32"/>
  <c r="F74" i="32" s="1"/>
  <c r="AU30" i="46"/>
  <c r="AU29" i="46"/>
  <c r="AU28" i="46"/>
  <c r="AU27" i="46"/>
  <c r="AY27" i="46" s="1"/>
  <c r="AU26" i="46"/>
  <c r="AU25" i="46"/>
  <c r="AU24" i="46"/>
  <c r="AU23" i="46"/>
  <c r="AY23" i="46" s="1"/>
  <c r="AU22" i="46"/>
  <c r="AU21" i="46"/>
  <c r="AQ47" i="46"/>
  <c r="AO21" i="46" l="1"/>
  <c r="A22" i="4"/>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Z30" i="46"/>
  <c r="AJ30" i="46"/>
  <c r="P30" i="46"/>
  <c r="E30" i="46"/>
  <c r="AT30" i="46"/>
  <c r="AY28" i="46"/>
  <c r="AY29" i="46"/>
  <c r="AY25" i="46"/>
  <c r="AY26" i="46"/>
  <c r="AY21" i="46"/>
  <c r="AY24" i="46"/>
  <c r="AY22" i="46"/>
  <c r="AY30" i="46"/>
  <c r="AY34" i="46" l="1"/>
  <c r="F89" i="42"/>
  <c r="E89" i="42"/>
  <c r="D89" i="42"/>
  <c r="E87" i="42"/>
  <c r="D87" i="42"/>
  <c r="C87" i="42"/>
  <c r="E71" i="42"/>
  <c r="G71" i="42" s="1"/>
  <c r="D71" i="42"/>
  <c r="I54" i="42"/>
  <c r="B53" i="42"/>
  <c r="B52" i="42"/>
  <c r="B51" i="42"/>
  <c r="B50" i="42"/>
  <c r="B49" i="42"/>
  <c r="C48" i="42"/>
  <c r="G91" i="42" s="1"/>
  <c r="B48" i="42"/>
  <c r="E30" i="42"/>
  <c r="D30" i="42"/>
  <c r="C30" i="42"/>
  <c r="F29" i="42"/>
  <c r="D93" i="42" l="1"/>
  <c r="H89" i="42"/>
  <c r="E93" i="42"/>
  <c r="F71" i="42"/>
  <c r="C54" i="42"/>
  <c r="C40" i="42"/>
  <c r="C46" i="42" s="1"/>
  <c r="D49" i="42"/>
  <c r="I49" i="42" s="1"/>
  <c r="F87" i="42"/>
  <c r="F93" i="42" s="1"/>
  <c r="F30" i="42"/>
  <c r="G29" i="42"/>
  <c r="G30" i="42" s="1"/>
  <c r="I91" i="42"/>
  <c r="I48" i="42"/>
  <c r="G93" i="42" l="1"/>
  <c r="I93" i="42" s="1"/>
  <c r="I40" i="42"/>
  <c r="E50" i="42"/>
  <c r="D41" i="42"/>
  <c r="D46" i="42" s="1"/>
  <c r="D54" i="42"/>
  <c r="H87" i="42"/>
  <c r="F20" i="42"/>
  <c r="E20" i="42"/>
  <c r="D21" i="42"/>
  <c r="D20" i="42"/>
  <c r="F22" i="42"/>
  <c r="C20" i="42"/>
  <c r="F21" i="42"/>
  <c r="E22" i="42"/>
  <c r="E21" i="42"/>
  <c r="F23" i="42"/>
  <c r="G23" i="42" s="1"/>
  <c r="D24" i="42" l="1"/>
  <c r="I41" i="42"/>
  <c r="E42" i="42"/>
  <c r="F51" i="42"/>
  <c r="I50" i="42"/>
  <c r="E54" i="42"/>
  <c r="G21" i="42"/>
  <c r="E24" i="42"/>
  <c r="G22" i="42"/>
  <c r="C24" i="42"/>
  <c r="G20" i="42"/>
  <c r="F24" i="42"/>
  <c r="F43" i="42" l="1"/>
  <c r="I51" i="42"/>
  <c r="F54" i="42"/>
  <c r="G52" i="42"/>
  <c r="E46" i="42"/>
  <c r="I42" i="42"/>
  <c r="G24" i="42"/>
  <c r="B65" i="32"/>
  <c r="F65" i="32" s="1"/>
  <c r="B66" i="32"/>
  <c r="F66" i="32" s="1"/>
  <c r="B67" i="32"/>
  <c r="F67" i="32" s="1"/>
  <c r="B68" i="32"/>
  <c r="F68" i="32" s="1"/>
  <c r="B69" i="32"/>
  <c r="F69" i="32" s="1"/>
  <c r="B70" i="32"/>
  <c r="F70" i="32" s="1"/>
  <c r="B71" i="32"/>
  <c r="F71" i="32" s="1"/>
  <c r="B72" i="32"/>
  <c r="F72" i="32" s="1"/>
  <c r="B73" i="32"/>
  <c r="F73" i="32" s="1"/>
  <c r="AA30" i="46"/>
  <c r="AA29" i="46"/>
  <c r="AA28" i="46"/>
  <c r="AA27" i="46"/>
  <c r="AA26" i="46"/>
  <c r="AA25" i="46"/>
  <c r="AE25" i="46" s="1"/>
  <c r="AA23" i="46"/>
  <c r="AE23" i="46" s="1"/>
  <c r="AA22" i="46"/>
  <c r="AE22" i="46" s="1"/>
  <c r="AA21" i="46"/>
  <c r="AE21" i="46" s="1"/>
  <c r="AE24" i="46"/>
  <c r="AO22" i="46"/>
  <c r="AO24" i="46"/>
  <c r="AO25" i="46"/>
  <c r="AO23" i="46"/>
  <c r="AO26" i="46"/>
  <c r="AG47" i="46"/>
  <c r="W47" i="46"/>
  <c r="M47" i="46"/>
  <c r="B47" i="46"/>
  <c r="V37" i="6"/>
  <c r="V36" i="6"/>
  <c r="C16" i="32" l="1"/>
  <c r="E17" i="32"/>
  <c r="E21" i="32"/>
  <c r="W37" i="6"/>
  <c r="M41" i="32"/>
  <c r="E41" i="32"/>
  <c r="D39" i="51" s="1"/>
  <c r="G37" i="32"/>
  <c r="F35" i="51" s="1"/>
  <c r="I33" i="32"/>
  <c r="H31" i="51" s="1"/>
  <c r="K29" i="32"/>
  <c r="J27" i="51" s="1"/>
  <c r="K41" i="32"/>
  <c r="J39" i="51" s="1"/>
  <c r="E37" i="32"/>
  <c r="D35" i="51" s="1"/>
  <c r="I29" i="32"/>
  <c r="H27" i="51" s="1"/>
  <c r="H37" i="32"/>
  <c r="G35" i="51" s="1"/>
  <c r="L41" i="32"/>
  <c r="N37" i="32"/>
  <c r="F37" i="32"/>
  <c r="E35" i="51" s="1"/>
  <c r="H33" i="32"/>
  <c r="G31" i="51" s="1"/>
  <c r="J29" i="32"/>
  <c r="I27" i="51" s="1"/>
  <c r="F68" i="47" s="1"/>
  <c r="M37" i="32"/>
  <c r="G33" i="32"/>
  <c r="F31" i="51" s="1"/>
  <c r="F41" i="32"/>
  <c r="E39" i="51" s="1"/>
  <c r="L29" i="32"/>
  <c r="J41" i="32"/>
  <c r="I39" i="51" s="1"/>
  <c r="L37" i="32"/>
  <c r="N33" i="32"/>
  <c r="F33" i="32"/>
  <c r="E31" i="51" s="1"/>
  <c r="H29" i="32"/>
  <c r="G27" i="51" s="1"/>
  <c r="I41" i="32"/>
  <c r="H39" i="51" s="1"/>
  <c r="K37" i="32"/>
  <c r="J35" i="51" s="1"/>
  <c r="M33" i="32"/>
  <c r="E33" i="32"/>
  <c r="D31" i="51" s="1"/>
  <c r="G29" i="32"/>
  <c r="F27" i="51" s="1"/>
  <c r="H41" i="32"/>
  <c r="G39" i="51" s="1"/>
  <c r="J37" i="32"/>
  <c r="I35" i="51" s="1"/>
  <c r="L33" i="32"/>
  <c r="N29" i="32"/>
  <c r="F29" i="32"/>
  <c r="E27" i="51" s="1"/>
  <c r="G41" i="32"/>
  <c r="F39" i="51" s="1"/>
  <c r="I37" i="32"/>
  <c r="H35" i="51" s="1"/>
  <c r="K33" i="32"/>
  <c r="J31" i="51" s="1"/>
  <c r="M29" i="32"/>
  <c r="E29" i="32"/>
  <c r="D27" i="51" s="1"/>
  <c r="N41" i="32"/>
  <c r="J33" i="32"/>
  <c r="I31" i="51" s="1"/>
  <c r="H42" i="32"/>
  <c r="G40" i="51" s="1"/>
  <c r="L38" i="32"/>
  <c r="L22" i="32"/>
  <c r="P18" i="32"/>
  <c r="H18" i="32"/>
  <c r="G16" i="51" s="1"/>
  <c r="N42" i="32"/>
  <c r="E42" i="32"/>
  <c r="D40" i="51" s="1"/>
  <c r="H38" i="32"/>
  <c r="G36" i="51" s="1"/>
  <c r="J22" i="32"/>
  <c r="I20" i="51" s="1"/>
  <c r="M18" i="32"/>
  <c r="M42" i="32"/>
  <c r="G38" i="32"/>
  <c r="F36" i="51" s="1"/>
  <c r="I22" i="32"/>
  <c r="H20" i="51" s="1"/>
  <c r="L18" i="32"/>
  <c r="L42" i="32"/>
  <c r="F38" i="32"/>
  <c r="E36" i="51" s="1"/>
  <c r="H22" i="32"/>
  <c r="G20" i="51" s="1"/>
  <c r="K18" i="32"/>
  <c r="J16" i="51" s="1"/>
  <c r="J42" i="32"/>
  <c r="I40" i="51" s="1"/>
  <c r="M38" i="32"/>
  <c r="O22" i="32"/>
  <c r="F22" i="32"/>
  <c r="E20" i="51" s="1"/>
  <c r="I18" i="32"/>
  <c r="H16" i="51" s="1"/>
  <c r="J38" i="32"/>
  <c r="I36" i="51" s="1"/>
  <c r="O18" i="32"/>
  <c r="E38" i="32"/>
  <c r="D36" i="51" s="1"/>
  <c r="P22" i="32"/>
  <c r="I40" i="53" s="1"/>
  <c r="G42" i="32"/>
  <c r="F40" i="51" s="1"/>
  <c r="F18" i="32"/>
  <c r="E16" i="51" s="1"/>
  <c r="E18" i="32"/>
  <c r="I38" i="32"/>
  <c r="H36" i="51" s="1"/>
  <c r="N18" i="32"/>
  <c r="K42" i="32"/>
  <c r="J40" i="51" s="1"/>
  <c r="J18" i="32"/>
  <c r="I16" i="51" s="1"/>
  <c r="F42" i="32"/>
  <c r="E40" i="51" s="1"/>
  <c r="K22" i="32"/>
  <c r="J20" i="51" s="1"/>
  <c r="I42" i="32"/>
  <c r="H40" i="51" s="1"/>
  <c r="N22" i="32"/>
  <c r="G18" i="32"/>
  <c r="M22" i="32"/>
  <c r="N38" i="32"/>
  <c r="G22" i="32"/>
  <c r="F20" i="51" s="1"/>
  <c r="K38" i="32"/>
  <c r="J36" i="51" s="1"/>
  <c r="E22" i="32"/>
  <c r="D20" i="51" s="1"/>
  <c r="AE30" i="46"/>
  <c r="C28" i="32"/>
  <c r="C20" i="32"/>
  <c r="C36" i="32"/>
  <c r="C32" i="32"/>
  <c r="C24" i="32"/>
  <c r="C40" i="32"/>
  <c r="AE28" i="46"/>
  <c r="AE29" i="46"/>
  <c r="AO28" i="46"/>
  <c r="AO27" i="46"/>
  <c r="AO29" i="46"/>
  <c r="AO30" i="46"/>
  <c r="G44" i="42"/>
  <c r="H53" i="42"/>
  <c r="G54" i="42"/>
  <c r="I52" i="42"/>
  <c r="I43" i="42"/>
  <c r="F46" i="42"/>
  <c r="AE26" i="46"/>
  <c r="AE27" i="46"/>
  <c r="Q30" i="46"/>
  <c r="Q29" i="46"/>
  <c r="Q28" i="46"/>
  <c r="Q27" i="46"/>
  <c r="Q26" i="46"/>
  <c r="Q25" i="46"/>
  <c r="Q24" i="46"/>
  <c r="Q23" i="46"/>
  <c r="Q22" i="46"/>
  <c r="Q21" i="46"/>
  <c r="N26" i="32"/>
  <c r="F29" i="46"/>
  <c r="M26" i="32" s="1"/>
  <c r="F28" i="46"/>
  <c r="L26" i="32" s="1"/>
  <c r="F27" i="46"/>
  <c r="K26" i="32" s="1"/>
  <c r="J24" i="51" s="1"/>
  <c r="F26" i="46"/>
  <c r="J26" i="32" s="1"/>
  <c r="I24" i="51" s="1"/>
  <c r="F25" i="46"/>
  <c r="I26" i="32" s="1"/>
  <c r="H24" i="51" s="1"/>
  <c r="F24" i="46"/>
  <c r="H26" i="32" s="1"/>
  <c r="G24" i="51" s="1"/>
  <c r="F23" i="46"/>
  <c r="G26" i="32" s="1"/>
  <c r="F24" i="51" s="1"/>
  <c r="F22" i="46"/>
  <c r="F26" i="32" s="1"/>
  <c r="E24" i="51" s="1"/>
  <c r="F21" i="46"/>
  <c r="E26" i="32" s="1"/>
  <c r="D24" i="51" s="1"/>
  <c r="AI30" i="29"/>
  <c r="AI29" i="29"/>
  <c r="AI28" i="29"/>
  <c r="AI27" i="29"/>
  <c r="AI26" i="29"/>
  <c r="AI25" i="29"/>
  <c r="AI24" i="29"/>
  <c r="AI23" i="29"/>
  <c r="AI22" i="29"/>
  <c r="AI21" i="29"/>
  <c r="AA21" i="29"/>
  <c r="AH40" i="29"/>
  <c r="N37" i="6"/>
  <c r="P37" i="6"/>
  <c r="L37" i="6"/>
  <c r="H37" i="6"/>
  <c r="F37" i="6"/>
  <c r="D37" i="6"/>
  <c r="J37" i="6"/>
  <c r="AA30" i="29"/>
  <c r="AA29" i="29"/>
  <c r="AA28" i="29"/>
  <c r="AA27" i="29"/>
  <c r="AA26" i="29"/>
  <c r="AA25" i="29"/>
  <c r="AA24" i="29"/>
  <c r="AA23" i="29"/>
  <c r="AA22" i="29"/>
  <c r="S30" i="29"/>
  <c r="S29" i="29"/>
  <c r="S28" i="29"/>
  <c r="S27" i="29"/>
  <c r="S26" i="29"/>
  <c r="S25" i="29"/>
  <c r="S24" i="29"/>
  <c r="S23" i="29"/>
  <c r="S22" i="29"/>
  <c r="S21" i="29"/>
  <c r="K30" i="29"/>
  <c r="N21" i="32" s="1"/>
  <c r="K29" i="29"/>
  <c r="M21" i="32" s="1"/>
  <c r="K28" i="29"/>
  <c r="L21" i="32" s="1"/>
  <c r="K26" i="29"/>
  <c r="J21" i="32" s="1"/>
  <c r="K27" i="29"/>
  <c r="K21" i="32" s="1"/>
  <c r="K25" i="29"/>
  <c r="I21" i="32" s="1"/>
  <c r="K24" i="29"/>
  <c r="H21" i="32" s="1"/>
  <c r="K23" i="29"/>
  <c r="G21" i="32" s="1"/>
  <c r="K22" i="29"/>
  <c r="F21" i="32" s="1"/>
  <c r="K21" i="29"/>
  <c r="C30" i="29"/>
  <c r="N17" i="32" s="1"/>
  <c r="C29" i="29"/>
  <c r="M17" i="32" s="1"/>
  <c r="C28" i="29"/>
  <c r="L17" i="32" s="1"/>
  <c r="C27" i="29"/>
  <c r="K17" i="32" s="1"/>
  <c r="C26" i="29"/>
  <c r="J17" i="32" s="1"/>
  <c r="C25" i="29"/>
  <c r="I17" i="32" s="1"/>
  <c r="C24" i="29"/>
  <c r="H17" i="32" s="1"/>
  <c r="C23" i="29"/>
  <c r="G17" i="32" s="1"/>
  <c r="C22" i="29"/>
  <c r="F17" i="32" s="1"/>
  <c r="M26" i="6"/>
  <c r="M25" i="6"/>
  <c r="R29" i="46" s="1"/>
  <c r="M24" i="6"/>
  <c r="R28" i="46" s="1"/>
  <c r="M23" i="6"/>
  <c r="R27" i="46" s="1"/>
  <c r="M22" i="6"/>
  <c r="R26" i="46" s="1"/>
  <c r="M21" i="6"/>
  <c r="R25" i="46" s="1"/>
  <c r="M20" i="6"/>
  <c r="R24" i="46" s="1"/>
  <c r="M19" i="6"/>
  <c r="R23" i="46" s="1"/>
  <c r="M18" i="6"/>
  <c r="R22" i="46" s="1"/>
  <c r="M17" i="6"/>
  <c r="R21" i="46" s="1"/>
  <c r="O26" i="6"/>
  <c r="AB30" i="46" s="1"/>
  <c r="AD30" i="46" s="1"/>
  <c r="O25" i="6"/>
  <c r="AB29" i="46" s="1"/>
  <c r="AC29" i="46" s="1"/>
  <c r="O24" i="6"/>
  <c r="AB28" i="46" s="1"/>
  <c r="AC28" i="46" s="1"/>
  <c r="O23" i="6"/>
  <c r="AB27" i="46" s="1"/>
  <c r="AC27" i="46" s="1"/>
  <c r="O22" i="6"/>
  <c r="AB26" i="46" s="1"/>
  <c r="AD26" i="46" s="1"/>
  <c r="O21" i="6"/>
  <c r="AB25" i="46" s="1"/>
  <c r="AC25" i="46" s="1"/>
  <c r="O20" i="6"/>
  <c r="AB24" i="46" s="1"/>
  <c r="AC24" i="46" s="1"/>
  <c r="O19" i="6"/>
  <c r="AB23" i="46" s="1"/>
  <c r="AC23" i="46" s="1"/>
  <c r="O18" i="6"/>
  <c r="AB22" i="46" s="1"/>
  <c r="AC22" i="46" s="1"/>
  <c r="O17" i="6"/>
  <c r="AB21" i="46" s="1"/>
  <c r="AD21" i="46" s="1"/>
  <c r="K26" i="6"/>
  <c r="K25" i="6"/>
  <c r="G29" i="46" s="1"/>
  <c r="K24" i="6"/>
  <c r="G28" i="46" s="1"/>
  <c r="K23" i="6"/>
  <c r="G27" i="46" s="1"/>
  <c r="K22" i="6"/>
  <c r="G26" i="46" s="1"/>
  <c r="K21" i="6"/>
  <c r="G25" i="46" s="1"/>
  <c r="K20" i="6"/>
  <c r="G24" i="46" s="1"/>
  <c r="K19" i="6"/>
  <c r="G23" i="46" s="1"/>
  <c r="K18" i="6"/>
  <c r="G22" i="46" s="1"/>
  <c r="K17" i="6"/>
  <c r="G21" i="46" s="1"/>
  <c r="G17" i="6"/>
  <c r="AV21" i="46" s="1"/>
  <c r="G18" i="6"/>
  <c r="AV22" i="46" s="1"/>
  <c r="G19" i="6"/>
  <c r="AV23" i="46" s="1"/>
  <c r="G20" i="6"/>
  <c r="AV24" i="46" s="1"/>
  <c r="G21" i="6"/>
  <c r="AV25" i="46" s="1"/>
  <c r="G22" i="6"/>
  <c r="AV26" i="46" s="1"/>
  <c r="AV27" i="46"/>
  <c r="AV28" i="46"/>
  <c r="G25" i="6"/>
  <c r="AV29" i="46" s="1"/>
  <c r="G26" i="6"/>
  <c r="AV30" i="46" s="1"/>
  <c r="O15" i="6"/>
  <c r="M15" i="6"/>
  <c r="H30" i="32" l="1"/>
  <c r="G28" i="51" s="1"/>
  <c r="L30" i="32"/>
  <c r="E30" i="32"/>
  <c r="D28" i="51" s="1"/>
  <c r="H63" i="47" s="1"/>
  <c r="I30" i="32"/>
  <c r="H28" i="51" s="1"/>
  <c r="M30" i="32"/>
  <c r="L28" i="51" s="1"/>
  <c r="F30" i="32"/>
  <c r="E28" i="51" s="1"/>
  <c r="H64" i="47" s="1"/>
  <c r="J30" i="32"/>
  <c r="I28" i="51" s="1"/>
  <c r="N30" i="32"/>
  <c r="G44" i="53" s="1"/>
  <c r="G30" i="32"/>
  <c r="F28" i="51" s="1"/>
  <c r="H65" i="47" s="1"/>
  <c r="K30" i="32"/>
  <c r="J28" i="51" s="1"/>
  <c r="H69" i="47" s="1"/>
  <c r="K34" i="32"/>
  <c r="J32" i="51" s="1"/>
  <c r="H85" i="47" s="1"/>
  <c r="G34" i="32"/>
  <c r="F32" i="51" s="1"/>
  <c r="H81" i="47" s="1"/>
  <c r="E34" i="32"/>
  <c r="D32" i="51" s="1"/>
  <c r="H79" i="47" s="1"/>
  <c r="F34" i="32"/>
  <c r="E32" i="51" s="1"/>
  <c r="H80" i="47" s="1"/>
  <c r="N34" i="32"/>
  <c r="G46" i="53" s="1"/>
  <c r="I34" i="32"/>
  <c r="H32" i="51" s="1"/>
  <c r="H83" i="47" s="1"/>
  <c r="M34" i="32"/>
  <c r="L32" i="51" s="1"/>
  <c r="L34" i="32"/>
  <c r="K32" i="51" s="1"/>
  <c r="J34" i="32"/>
  <c r="I32" i="51" s="1"/>
  <c r="H84" i="47" s="1"/>
  <c r="H34" i="32"/>
  <c r="G32" i="51" s="1"/>
  <c r="H82" i="47" s="1"/>
  <c r="AW30" i="46"/>
  <c r="AX30" i="46"/>
  <c r="AW22" i="46"/>
  <c r="AX22" i="46"/>
  <c r="AW29" i="46"/>
  <c r="AX29" i="46"/>
  <c r="AW21" i="46"/>
  <c r="AX21" i="46"/>
  <c r="AW28" i="46"/>
  <c r="AX28" i="46"/>
  <c r="AW24" i="46"/>
  <c r="AX24" i="46"/>
  <c r="AW26" i="46"/>
  <c r="AX26" i="46"/>
  <c r="AW25" i="46"/>
  <c r="AX25" i="46"/>
  <c r="AW27" i="46"/>
  <c r="AW34" i="46" s="1"/>
  <c r="AU49" i="46" s="1"/>
  <c r="AX27" i="46"/>
  <c r="AW23" i="46"/>
  <c r="AX23" i="46"/>
  <c r="AD24" i="46"/>
  <c r="H21" i="46"/>
  <c r="N36" i="6"/>
  <c r="R30" i="46"/>
  <c r="T30" i="46" s="1"/>
  <c r="N21" i="6"/>
  <c r="N23" i="6"/>
  <c r="N19" i="6"/>
  <c r="AC26" i="46"/>
  <c r="AD25" i="46"/>
  <c r="AD28" i="46"/>
  <c r="AD29" i="46"/>
  <c r="N25" i="6"/>
  <c r="AC30" i="46"/>
  <c r="N18" i="6"/>
  <c r="AD27" i="46"/>
  <c r="AD22" i="46"/>
  <c r="AC21" i="46"/>
  <c r="N24" i="6"/>
  <c r="AD23" i="46"/>
  <c r="N20" i="6"/>
  <c r="N22" i="6"/>
  <c r="L36" i="6"/>
  <c r="G30" i="46"/>
  <c r="I30" i="46" s="1"/>
  <c r="H53" i="47"/>
  <c r="H67" i="47"/>
  <c r="H68" i="47"/>
  <c r="F42" i="53"/>
  <c r="L24" i="51"/>
  <c r="H48" i="47"/>
  <c r="K28" i="51"/>
  <c r="E44" i="53"/>
  <c r="H49" i="47"/>
  <c r="H51" i="47"/>
  <c r="H52" i="47"/>
  <c r="F69" i="47"/>
  <c r="B26" i="53"/>
  <c r="B44" i="53" s="1"/>
  <c r="B26" i="51"/>
  <c r="F97" i="47"/>
  <c r="F99" i="47"/>
  <c r="H66" i="47"/>
  <c r="H20" i="47"/>
  <c r="H113" i="47"/>
  <c r="H38" i="53"/>
  <c r="N16" i="51"/>
  <c r="K39" i="51"/>
  <c r="E32" i="53"/>
  <c r="F48" i="53"/>
  <c r="L36" i="51"/>
  <c r="G32" i="53"/>
  <c r="M39" i="51"/>
  <c r="F38" i="53"/>
  <c r="L16" i="51"/>
  <c r="G50" i="53"/>
  <c r="M40" i="51"/>
  <c r="F79" i="47"/>
  <c r="F117" i="47"/>
  <c r="F32" i="53"/>
  <c r="L39" i="51"/>
  <c r="F40" i="53"/>
  <c r="L20" i="51"/>
  <c r="H99" i="47"/>
  <c r="H19" i="47"/>
  <c r="H116" i="47"/>
  <c r="H21" i="47"/>
  <c r="K40" i="51"/>
  <c r="E50" i="53"/>
  <c r="E38" i="53"/>
  <c r="K16" i="51"/>
  <c r="F50" i="53"/>
  <c r="L40" i="51"/>
  <c r="H36" i="47"/>
  <c r="H18" i="47"/>
  <c r="E48" i="53"/>
  <c r="K36" i="51"/>
  <c r="F28" i="53"/>
  <c r="L31" i="51"/>
  <c r="B14" i="51"/>
  <c r="B20" i="53"/>
  <c r="B38" i="53" s="1"/>
  <c r="H31" i="47"/>
  <c r="H33" i="47"/>
  <c r="H115" i="47"/>
  <c r="H117" i="47"/>
  <c r="O15" i="38"/>
  <c r="C111" i="47"/>
  <c r="F111" i="47"/>
  <c r="H32" i="47"/>
  <c r="F83" i="47"/>
  <c r="H34" i="47"/>
  <c r="F85" i="47"/>
  <c r="H35" i="47"/>
  <c r="I38" i="53"/>
  <c r="H114" i="47"/>
  <c r="F80" i="47"/>
  <c r="B32" i="53"/>
  <c r="B50" i="53" s="1"/>
  <c r="H37" i="47"/>
  <c r="H100" i="47"/>
  <c r="H40" i="53"/>
  <c r="N20" i="51"/>
  <c r="H47" i="47"/>
  <c r="F66" i="47"/>
  <c r="E40" i="53"/>
  <c r="K20" i="51"/>
  <c r="G28" i="53"/>
  <c r="M31" i="51"/>
  <c r="H112" i="47"/>
  <c r="D16" i="51"/>
  <c r="E42" i="53"/>
  <c r="K24" i="51"/>
  <c r="F65" i="47"/>
  <c r="M28" i="51"/>
  <c r="F82" i="47"/>
  <c r="B28" i="53"/>
  <c r="B46" i="53" s="1"/>
  <c r="B30" i="51"/>
  <c r="H101" i="47"/>
  <c r="G48" i="53"/>
  <c r="M36" i="51"/>
  <c r="G30" i="53"/>
  <c r="M35" i="51"/>
  <c r="E26" i="53"/>
  <c r="K27" i="51"/>
  <c r="E28" i="53"/>
  <c r="K31" i="51"/>
  <c r="B30" i="53"/>
  <c r="B48" i="53" s="1"/>
  <c r="B34" i="51"/>
  <c r="F67" i="47"/>
  <c r="L35" i="51"/>
  <c r="F30" i="53"/>
  <c r="F16" i="51"/>
  <c r="G38" i="53"/>
  <c r="M16" i="51"/>
  <c r="F96" i="47"/>
  <c r="F98" i="47"/>
  <c r="F100" i="47"/>
  <c r="F101" i="47"/>
  <c r="F114" i="47"/>
  <c r="H98" i="47"/>
  <c r="B24" i="53"/>
  <c r="B42" i="53" s="1"/>
  <c r="B22" i="51"/>
  <c r="F95" i="47"/>
  <c r="H95" i="47"/>
  <c r="F64" i="47"/>
  <c r="G42" i="53"/>
  <c r="M24" i="51"/>
  <c r="H50" i="47"/>
  <c r="F81" i="47"/>
  <c r="F115" i="47"/>
  <c r="G26" i="53"/>
  <c r="M27" i="51"/>
  <c r="E30" i="53"/>
  <c r="K35" i="51"/>
  <c r="B22" i="53"/>
  <c r="B40" i="53" s="1"/>
  <c r="B18" i="51"/>
  <c r="F63" i="47"/>
  <c r="G40" i="53"/>
  <c r="M20" i="51"/>
  <c r="L27" i="51"/>
  <c r="F26" i="53"/>
  <c r="H16" i="47"/>
  <c r="F116" i="47"/>
  <c r="F112" i="47"/>
  <c r="H96" i="47"/>
  <c r="F113" i="47"/>
  <c r="H97" i="47"/>
  <c r="H111" i="47"/>
  <c r="P15" i="38"/>
  <c r="F84" i="47"/>
  <c r="H45" i="42"/>
  <c r="I53" i="42"/>
  <c r="H54" i="42"/>
  <c r="G46" i="42"/>
  <c r="I44" i="42"/>
  <c r="U21" i="46"/>
  <c r="T21" i="46"/>
  <c r="S21" i="46"/>
  <c r="U29" i="46"/>
  <c r="T29" i="46"/>
  <c r="S29" i="46"/>
  <c r="U22" i="46"/>
  <c r="T22" i="46"/>
  <c r="S22" i="46"/>
  <c r="U30" i="46"/>
  <c r="U23" i="46"/>
  <c r="T23" i="46"/>
  <c r="S23" i="46"/>
  <c r="U24" i="46"/>
  <c r="S24" i="46"/>
  <c r="T24" i="46"/>
  <c r="U25" i="46"/>
  <c r="T25" i="46"/>
  <c r="S25" i="46"/>
  <c r="U26" i="46"/>
  <c r="T26" i="46"/>
  <c r="S26" i="46"/>
  <c r="U27" i="46"/>
  <c r="T27" i="46"/>
  <c r="S27" i="46"/>
  <c r="U28" i="46"/>
  <c r="S28" i="46"/>
  <c r="T28" i="46"/>
  <c r="J28" i="46"/>
  <c r="H28" i="46"/>
  <c r="I28" i="46"/>
  <c r="I21" i="46"/>
  <c r="J29" i="46"/>
  <c r="H29" i="46"/>
  <c r="I29" i="46"/>
  <c r="J22" i="46"/>
  <c r="I22" i="46"/>
  <c r="H22" i="46"/>
  <c r="J30" i="46"/>
  <c r="J23" i="46"/>
  <c r="I23" i="46"/>
  <c r="H23" i="46"/>
  <c r="J24" i="46"/>
  <c r="I24" i="46"/>
  <c r="H24" i="46"/>
  <c r="J25" i="46"/>
  <c r="I25" i="46"/>
  <c r="H25" i="46"/>
  <c r="J26" i="46"/>
  <c r="H26" i="46"/>
  <c r="I26" i="46"/>
  <c r="J27" i="46"/>
  <c r="H27" i="46"/>
  <c r="I27" i="46"/>
  <c r="J21" i="46"/>
  <c r="AO34" i="46"/>
  <c r="N26" i="6"/>
  <c r="R20" i="30"/>
  <c r="O20" i="30"/>
  <c r="L20" i="30"/>
  <c r="J20" i="30"/>
  <c r="H20" i="30"/>
  <c r="Z40" i="29"/>
  <c r="F44" i="53" l="1"/>
  <c r="F46" i="53"/>
  <c r="F52" i="53" s="1"/>
  <c r="G58" i="32"/>
  <c r="M32" i="51"/>
  <c r="F58" i="32"/>
  <c r="AX34" i="46"/>
  <c r="AV49" i="46" s="1"/>
  <c r="E46" i="53"/>
  <c r="E52" i="53" s="1"/>
  <c r="E58" i="32"/>
  <c r="S30" i="46"/>
  <c r="AU50" i="46"/>
  <c r="H30" i="46"/>
  <c r="F50" i="46" s="1"/>
  <c r="N28" i="6"/>
  <c r="M30" i="6" s="1"/>
  <c r="M31" i="6" s="1"/>
  <c r="M43" i="6" s="1"/>
  <c r="I21" i="47"/>
  <c r="I114" i="47"/>
  <c r="I19" i="47"/>
  <c r="G98" i="47"/>
  <c r="I117" i="47"/>
  <c r="G112" i="47"/>
  <c r="I100" i="47"/>
  <c r="G81" i="47"/>
  <c r="I96" i="47"/>
  <c r="G100" i="47"/>
  <c r="I84" i="47"/>
  <c r="G82" i="47"/>
  <c r="I112" i="47"/>
  <c r="I83" i="47"/>
  <c r="I115" i="47"/>
  <c r="I97" i="47"/>
  <c r="G99" i="47"/>
  <c r="G114" i="47"/>
  <c r="I37" i="47"/>
  <c r="I35" i="47"/>
  <c r="I33" i="47"/>
  <c r="F102" i="47"/>
  <c r="G102" i="47" s="1"/>
  <c r="H56" i="47"/>
  <c r="H102" i="47"/>
  <c r="H22" i="47"/>
  <c r="I22" i="47" s="1"/>
  <c r="H39" i="47"/>
  <c r="F104" i="47"/>
  <c r="L58" i="32"/>
  <c r="G116" i="47"/>
  <c r="F88" i="47"/>
  <c r="G83" i="47"/>
  <c r="F71" i="47"/>
  <c r="I98" i="47"/>
  <c r="I101" i="47"/>
  <c r="I81" i="47"/>
  <c r="H41" i="47"/>
  <c r="F87" i="47"/>
  <c r="H119" i="47"/>
  <c r="H23" i="47"/>
  <c r="H55" i="47"/>
  <c r="J58" i="32"/>
  <c r="H40" i="47"/>
  <c r="G96" i="47"/>
  <c r="F103" i="47"/>
  <c r="H86" i="47"/>
  <c r="I86" i="47" s="1"/>
  <c r="B77" i="47"/>
  <c r="K13" i="38"/>
  <c r="O13" i="38"/>
  <c r="B109" i="47"/>
  <c r="I34" i="47"/>
  <c r="I116" i="47"/>
  <c r="H88" i="47"/>
  <c r="F118" i="47"/>
  <c r="G118" i="47" s="1"/>
  <c r="I58" i="32"/>
  <c r="H54" i="47"/>
  <c r="N38" i="53"/>
  <c r="M38" i="53"/>
  <c r="G115" i="47"/>
  <c r="F86" i="47"/>
  <c r="G86" i="47" s="1"/>
  <c r="H25" i="47"/>
  <c r="G13" i="38"/>
  <c r="B45" i="47"/>
  <c r="H24" i="47"/>
  <c r="F119" i="47"/>
  <c r="F120" i="47"/>
  <c r="G52" i="53"/>
  <c r="H118" i="47"/>
  <c r="I118" i="47" s="1"/>
  <c r="K58" i="32"/>
  <c r="I82" i="47"/>
  <c r="G113" i="47"/>
  <c r="F72" i="47"/>
  <c r="G101" i="47"/>
  <c r="B93" i="47"/>
  <c r="M13" i="38"/>
  <c r="I85" i="47"/>
  <c r="H72" i="47"/>
  <c r="H38" i="47"/>
  <c r="I38" i="47" s="1"/>
  <c r="G80" i="47"/>
  <c r="I32" i="47"/>
  <c r="H87" i="47"/>
  <c r="I99" i="47"/>
  <c r="H120" i="47"/>
  <c r="H103" i="47"/>
  <c r="I113" i="47"/>
  <c r="G97" i="47"/>
  <c r="H71" i="47"/>
  <c r="N58" i="32"/>
  <c r="M58" i="32"/>
  <c r="G84" i="47"/>
  <c r="B29" i="47"/>
  <c r="E13" i="38"/>
  <c r="I80" i="47"/>
  <c r="H104" i="47"/>
  <c r="H15" i="47"/>
  <c r="I16" i="47" s="1"/>
  <c r="H70" i="47"/>
  <c r="H17" i="47"/>
  <c r="I17" i="47" s="1"/>
  <c r="F70" i="47"/>
  <c r="G85" i="47"/>
  <c r="B13" i="47"/>
  <c r="C13" i="38"/>
  <c r="I36" i="47"/>
  <c r="G117" i="47"/>
  <c r="I20" i="47"/>
  <c r="B61" i="47"/>
  <c r="I13" i="38"/>
  <c r="H58" i="32"/>
  <c r="H46" i="42"/>
  <c r="I46" i="42" s="1"/>
  <c r="I45" i="42"/>
  <c r="I34" i="46"/>
  <c r="G49" i="46" s="1"/>
  <c r="J34" i="46"/>
  <c r="B125" i="52"/>
  <c r="B123" i="52"/>
  <c r="N42" i="6" l="1"/>
  <c r="AV50" i="46"/>
  <c r="M42" i="6"/>
  <c r="R31" i="46" s="1"/>
  <c r="P49" i="46" s="1"/>
  <c r="N43" i="6"/>
  <c r="R32" i="46"/>
  <c r="P50" i="46" s="1"/>
  <c r="G103" i="47"/>
  <c r="I120" i="47"/>
  <c r="G119" i="47"/>
  <c r="I87" i="47"/>
  <c r="I23" i="47"/>
  <c r="I18" i="47"/>
  <c r="I41" i="47"/>
  <c r="G88" i="47"/>
  <c r="I39" i="47"/>
  <c r="O38" i="53"/>
  <c r="O16" i="51" s="1"/>
  <c r="I119" i="47"/>
  <c r="I88" i="47"/>
  <c r="I25" i="47"/>
  <c r="I104" i="47"/>
  <c r="G120" i="47"/>
  <c r="G87" i="47"/>
  <c r="G104" i="47"/>
  <c r="I24" i="47"/>
  <c r="I40" i="47"/>
  <c r="I103" i="47"/>
  <c r="I102" i="47"/>
  <c r="F49" i="46"/>
  <c r="G50" i="46"/>
  <c r="H26" i="47" l="1"/>
  <c r="I26" i="47" s="1"/>
  <c r="M20" i="4" l="1"/>
  <c r="N20" i="4"/>
  <c r="M21" i="4"/>
  <c r="N21" i="4"/>
  <c r="M22" i="4"/>
  <c r="N22" i="4"/>
  <c r="M23" i="4"/>
  <c r="N23" i="4"/>
  <c r="M24" i="4"/>
  <c r="N24" i="4"/>
  <c r="M25" i="4"/>
  <c r="N25" i="4"/>
  <c r="M26" i="4"/>
  <c r="N26" i="4"/>
  <c r="M27" i="4"/>
  <c r="N27" i="4"/>
  <c r="M28" i="4"/>
  <c r="N28" i="4"/>
  <c r="M29" i="4"/>
  <c r="N29" i="4"/>
  <c r="M30" i="4"/>
  <c r="N30" i="4"/>
  <c r="M31" i="4"/>
  <c r="N31" i="4"/>
  <c r="M32" i="4"/>
  <c r="N32" i="4"/>
  <c r="M33" i="4"/>
  <c r="N33" i="4"/>
  <c r="M34" i="4"/>
  <c r="N34" i="4"/>
  <c r="M35" i="4"/>
  <c r="N35" i="4"/>
  <c r="M36" i="4"/>
  <c r="N36" i="4"/>
  <c r="M37" i="4"/>
  <c r="N37" i="4"/>
  <c r="M38" i="4"/>
  <c r="N38" i="4"/>
  <c r="M39" i="4"/>
  <c r="N39" i="4"/>
  <c r="M40" i="4"/>
  <c r="N40" i="4"/>
  <c r="M41" i="4"/>
  <c r="N41" i="4"/>
  <c r="M42" i="4"/>
  <c r="N42" i="4"/>
  <c r="M43" i="4"/>
  <c r="N43" i="4"/>
  <c r="M44" i="4"/>
  <c r="N44" i="4"/>
  <c r="M45" i="4"/>
  <c r="N45" i="4"/>
  <c r="M46" i="4"/>
  <c r="N46" i="4"/>
  <c r="M47" i="4"/>
  <c r="N47" i="4"/>
  <c r="M48" i="4"/>
  <c r="N48" i="4"/>
  <c r="M49" i="4"/>
  <c r="N49" i="4"/>
  <c r="M50" i="4"/>
  <c r="N50" i="4"/>
  <c r="M51" i="4"/>
  <c r="N51" i="4"/>
  <c r="M52" i="4"/>
  <c r="N52" i="4"/>
  <c r="M53" i="4"/>
  <c r="N53" i="4"/>
  <c r="M54" i="4"/>
  <c r="N54" i="4"/>
  <c r="M55" i="4"/>
  <c r="N55" i="4"/>
  <c r="M56" i="4"/>
  <c r="N56" i="4"/>
  <c r="M57" i="4"/>
  <c r="N57" i="4"/>
  <c r="M58" i="4"/>
  <c r="N58" i="4"/>
  <c r="M59" i="4"/>
  <c r="N59" i="4"/>
  <c r="M60" i="4"/>
  <c r="N60" i="4"/>
  <c r="M61" i="4"/>
  <c r="N61" i="4"/>
  <c r="M62" i="4"/>
  <c r="N62" i="4"/>
  <c r="M63" i="4"/>
  <c r="N63" i="4"/>
  <c r="M64" i="4"/>
  <c r="N64" i="4"/>
  <c r="M65" i="4"/>
  <c r="N65" i="4"/>
  <c r="M66" i="4"/>
  <c r="N66" i="4"/>
  <c r="M67" i="4"/>
  <c r="N67" i="4"/>
  <c r="M68" i="4"/>
  <c r="N68" i="4"/>
  <c r="M69" i="4"/>
  <c r="N69" i="4"/>
  <c r="M70" i="4"/>
  <c r="N70" i="4"/>
  <c r="M71" i="4"/>
  <c r="N71" i="4"/>
  <c r="M72" i="4"/>
  <c r="N72" i="4"/>
  <c r="M73" i="4"/>
  <c r="N73" i="4"/>
  <c r="M74" i="4"/>
  <c r="N74" i="4"/>
  <c r="M75" i="4"/>
  <c r="N75" i="4"/>
  <c r="M76" i="4"/>
  <c r="N76" i="4"/>
  <c r="M77" i="4"/>
  <c r="N77" i="4"/>
  <c r="M78" i="4"/>
  <c r="N78" i="4"/>
  <c r="M79" i="4"/>
  <c r="N79" i="4"/>
  <c r="M80" i="4"/>
  <c r="N80" i="4"/>
  <c r="M81" i="4"/>
  <c r="N81" i="4"/>
  <c r="M82" i="4"/>
  <c r="N82" i="4"/>
  <c r="M83" i="4"/>
  <c r="N83" i="4"/>
  <c r="M84" i="4"/>
  <c r="N84" i="4"/>
  <c r="M85" i="4"/>
  <c r="N85" i="4"/>
  <c r="M86" i="4"/>
  <c r="N86" i="4"/>
  <c r="M87" i="4"/>
  <c r="N87" i="4"/>
  <c r="M88" i="4"/>
  <c r="N88" i="4"/>
  <c r="M89" i="4"/>
  <c r="N89" i="4"/>
  <c r="M90" i="4"/>
  <c r="N90" i="4"/>
  <c r="M91" i="4"/>
  <c r="N91" i="4"/>
  <c r="M92" i="4"/>
  <c r="N92" i="4"/>
  <c r="M93" i="4"/>
  <c r="N93" i="4"/>
  <c r="M94" i="4"/>
  <c r="N94" i="4"/>
  <c r="M95" i="4"/>
  <c r="N95" i="4"/>
  <c r="M96" i="4"/>
  <c r="N96" i="4"/>
  <c r="M97" i="4"/>
  <c r="N97" i="4"/>
  <c r="M98" i="4"/>
  <c r="N98" i="4"/>
  <c r="M99" i="4"/>
  <c r="N99" i="4"/>
  <c r="M100" i="4"/>
  <c r="N100" i="4"/>
  <c r="M101" i="4"/>
  <c r="N101" i="4"/>
  <c r="M102" i="4"/>
  <c r="N102" i="4"/>
  <c r="M103" i="4"/>
  <c r="N103" i="4"/>
  <c r="M104" i="4"/>
  <c r="N104" i="4"/>
  <c r="M105" i="4"/>
  <c r="N105" i="4"/>
  <c r="M106" i="4"/>
  <c r="N106" i="4"/>
  <c r="M107" i="4"/>
  <c r="N107" i="4"/>
  <c r="M108" i="4"/>
  <c r="N108" i="4"/>
  <c r="M109" i="4"/>
  <c r="N109" i="4"/>
  <c r="M110" i="4"/>
  <c r="N110" i="4"/>
  <c r="M111" i="4"/>
  <c r="N111" i="4"/>
  <c r="M112" i="4"/>
  <c r="N112" i="4"/>
  <c r="M113" i="4"/>
  <c r="N113" i="4"/>
  <c r="M114" i="4"/>
  <c r="N114" i="4"/>
  <c r="M115" i="4"/>
  <c r="N115" i="4"/>
  <c r="M116" i="4"/>
  <c r="N116" i="4"/>
  <c r="M117" i="4"/>
  <c r="N117" i="4"/>
  <c r="M118" i="4"/>
  <c r="N118" i="4"/>
  <c r="M119" i="4"/>
  <c r="N119" i="4"/>
  <c r="M120" i="4"/>
  <c r="N120" i="4"/>
  <c r="M121" i="4"/>
  <c r="N121" i="4"/>
  <c r="M122" i="4"/>
  <c r="N122" i="4"/>
  <c r="M123" i="4"/>
  <c r="N123" i="4"/>
  <c r="M124" i="4"/>
  <c r="N124" i="4"/>
  <c r="M125" i="4"/>
  <c r="N125" i="4"/>
  <c r="M126" i="4"/>
  <c r="N126" i="4"/>
  <c r="M127" i="4"/>
  <c r="N127" i="4"/>
  <c r="M128" i="4"/>
  <c r="N128" i="4"/>
  <c r="M129" i="4"/>
  <c r="N129" i="4"/>
  <c r="M130" i="4"/>
  <c r="N130" i="4"/>
  <c r="M131" i="4"/>
  <c r="N131" i="4"/>
  <c r="M132" i="4"/>
  <c r="N132" i="4"/>
  <c r="M133" i="4"/>
  <c r="N133" i="4"/>
  <c r="M134" i="4"/>
  <c r="N134" i="4"/>
  <c r="M135" i="4"/>
  <c r="N135" i="4"/>
  <c r="M136" i="4"/>
  <c r="N136" i="4"/>
  <c r="M137" i="4"/>
  <c r="N137" i="4"/>
  <c r="M138" i="4"/>
  <c r="N138" i="4"/>
  <c r="M139" i="4"/>
  <c r="N139"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137" i="4"/>
  <c r="L138" i="4"/>
  <c r="L139" i="4"/>
  <c r="C177" i="4" l="1"/>
  <c r="D177" i="4"/>
  <c r="D179" i="4"/>
  <c r="C179" i="4"/>
  <c r="C178" i="4"/>
  <c r="D178" i="4"/>
  <c r="J36" i="6"/>
  <c r="L148" i="4" l="1"/>
  <c r="L160" i="4" s="1"/>
  <c r="L146" i="4"/>
  <c r="L158" i="4" s="1"/>
  <c r="L141" i="4"/>
  <c r="L153" i="4" s="1"/>
  <c r="L142" i="4"/>
  <c r="L154" i="4" s="1"/>
  <c r="L143" i="4"/>
  <c r="L155" i="4" s="1"/>
  <c r="L147" i="4"/>
  <c r="L159" i="4" s="1"/>
  <c r="L140" i="4"/>
  <c r="L145" i="4"/>
  <c r="L157" i="4" s="1"/>
  <c r="L150" i="4"/>
  <c r="L162" i="4" s="1"/>
  <c r="L149" i="4"/>
  <c r="L161" i="4" s="1"/>
  <c r="L144" i="4"/>
  <c r="L156" i="4" s="1"/>
  <c r="L151" i="4"/>
  <c r="L163" i="4" s="1"/>
  <c r="N146" i="4"/>
  <c r="N158" i="4" s="1"/>
  <c r="N142" i="4"/>
  <c r="N154" i="4" s="1"/>
  <c r="N150" i="4"/>
  <c r="N162" i="4" s="1"/>
  <c r="N144" i="4"/>
  <c r="N156" i="4" s="1"/>
  <c r="N141" i="4"/>
  <c r="N153" i="4" s="1"/>
  <c r="N143" i="4"/>
  <c r="N155" i="4" s="1"/>
  <c r="N151" i="4"/>
  <c r="N163" i="4" s="1"/>
  <c r="N148" i="4"/>
  <c r="N145" i="4"/>
  <c r="N157" i="4" s="1"/>
  <c r="N140" i="4"/>
  <c r="N152" i="4" s="1"/>
  <c r="N147" i="4"/>
  <c r="N159" i="4" s="1"/>
  <c r="N160" i="4"/>
  <c r="N149" i="4"/>
  <c r="N161" i="4" s="1"/>
  <c r="M143" i="4"/>
  <c r="M155" i="4" s="1"/>
  <c r="M151" i="4"/>
  <c r="M163" i="4" s="1"/>
  <c r="M150" i="4"/>
  <c r="M162" i="4" s="1"/>
  <c r="M141" i="4"/>
  <c r="M153" i="4" s="1"/>
  <c r="M148" i="4"/>
  <c r="M160" i="4" s="1"/>
  <c r="M145" i="4"/>
  <c r="M157" i="4" s="1"/>
  <c r="M142" i="4"/>
  <c r="M154" i="4" s="1"/>
  <c r="M147" i="4"/>
  <c r="M159" i="4" s="1"/>
  <c r="M144" i="4"/>
  <c r="M156" i="4" s="1"/>
  <c r="M140" i="4"/>
  <c r="M152" i="4" s="1"/>
  <c r="M149" i="4"/>
  <c r="M161" i="4" s="1"/>
  <c r="M146" i="4"/>
  <c r="M158" i="4" s="1"/>
  <c r="L152" i="4" l="1"/>
  <c r="J119" i="4"/>
  <c r="E22" i="6" l="1"/>
  <c r="C22" i="6"/>
  <c r="J43" i="6" l="1"/>
  <c r="J42" i="6"/>
  <c r="J20" i="4"/>
  <c r="J21" i="4" l="1"/>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20" i="4"/>
  <c r="J121" i="4"/>
  <c r="J122" i="4"/>
  <c r="J123" i="4"/>
  <c r="J124" i="4"/>
  <c r="J125" i="4"/>
  <c r="J126" i="4"/>
  <c r="J127" i="4"/>
  <c r="J128" i="4"/>
  <c r="J129" i="4"/>
  <c r="J130" i="4"/>
  <c r="J131" i="4"/>
  <c r="J132" i="4"/>
  <c r="J133" i="4"/>
  <c r="J134" i="4"/>
  <c r="J135" i="4"/>
  <c r="J136" i="4"/>
  <c r="J137" i="4"/>
  <c r="J138" i="4"/>
  <c r="J139" i="4"/>
  <c r="B124" i="52"/>
  <c r="B122" i="52"/>
  <c r="B121" i="52"/>
  <c r="B120" i="52"/>
  <c r="B36" i="52"/>
  <c r="B59" i="52" s="1"/>
  <c r="B73" i="52" s="1"/>
  <c r="B87" i="52" s="1"/>
  <c r="B101" i="52" s="1"/>
  <c r="B115" i="52" s="1"/>
  <c r="B20" i="52"/>
  <c r="B43" i="52" s="1"/>
  <c r="B41" i="52"/>
  <c r="B25" i="52"/>
  <c r="B48" i="52" s="1"/>
  <c r="B23" i="52"/>
  <c r="B46" i="52" s="1"/>
  <c r="B22" i="52"/>
  <c r="B45" i="52" s="1"/>
  <c r="B19" i="52"/>
  <c r="B42" i="52" s="1"/>
  <c r="B21" i="52"/>
  <c r="B44" i="52" s="1"/>
  <c r="B24" i="52"/>
  <c r="B47" i="52" s="1"/>
  <c r="B26" i="52"/>
  <c r="B49" i="52" s="1"/>
  <c r="B32" i="52"/>
  <c r="B55" i="52" s="1"/>
  <c r="B69" i="52" s="1"/>
  <c r="B83" i="52" s="1"/>
  <c r="B97" i="52" s="1"/>
  <c r="B111" i="52" s="1"/>
  <c r="B34" i="52"/>
  <c r="B57" i="52" s="1"/>
  <c r="B71" i="52" s="1"/>
  <c r="B85" i="52" s="1"/>
  <c r="B99" i="52" s="1"/>
  <c r="B113" i="52" s="1"/>
  <c r="B33" i="52"/>
  <c r="B56" i="52" s="1"/>
  <c r="B70" i="52" s="1"/>
  <c r="B84" i="52" s="1"/>
  <c r="B98" i="52" s="1"/>
  <c r="B112" i="52" s="1"/>
  <c r="B35" i="52"/>
  <c r="B58" i="52" s="1"/>
  <c r="B72" i="52" s="1"/>
  <c r="B86" i="52" s="1"/>
  <c r="B100" i="52" s="1"/>
  <c r="B114" i="52" s="1"/>
  <c r="B31" i="52"/>
  <c r="B54" i="52" s="1"/>
  <c r="B68" i="52" s="1"/>
  <c r="B82" i="52" s="1"/>
  <c r="B96" i="52" s="1"/>
  <c r="B110" i="52" s="1"/>
  <c r="B30" i="52"/>
  <c r="B53" i="52" s="1"/>
  <c r="B67" i="52" s="1"/>
  <c r="B81" i="52" s="1"/>
  <c r="B95" i="52" s="1"/>
  <c r="B109" i="52" s="1"/>
  <c r="B29" i="52"/>
  <c r="B52" i="52" s="1"/>
  <c r="B66" i="52" s="1"/>
  <c r="B80" i="52" s="1"/>
  <c r="B94" i="52" s="1"/>
  <c r="B108" i="52" s="1"/>
  <c r="B28" i="52"/>
  <c r="B51" i="52" s="1"/>
  <c r="B65" i="52" s="1"/>
  <c r="B79" i="52" s="1"/>
  <c r="B93" i="52" s="1"/>
  <c r="B107" i="52" s="1"/>
  <c r="B27" i="52"/>
  <c r="B50" i="52" s="1"/>
  <c r="B64" i="52" s="1"/>
  <c r="B78" i="52" s="1"/>
  <c r="Z27" i="52"/>
  <c r="Z28" i="52"/>
  <c r="Z29" i="52"/>
  <c r="Z30" i="52"/>
  <c r="Z31" i="52"/>
  <c r="V55" i="4" l="1"/>
  <c r="H65" i="46"/>
  <c r="H61" i="46"/>
  <c r="H63" i="46"/>
  <c r="H59" i="46"/>
  <c r="H67" i="46"/>
  <c r="H66" i="46"/>
  <c r="H64" i="46"/>
  <c r="H62" i="46"/>
  <c r="H60" i="46"/>
  <c r="B92" i="52"/>
  <c r="B106" i="52" s="1"/>
  <c r="D21" i="29"/>
  <c r="F21" i="29" s="1"/>
  <c r="V46" i="4"/>
  <c r="L21" i="29" l="1"/>
  <c r="B42" i="51"/>
  <c r="B46" i="51"/>
  <c r="B50" i="51"/>
  <c r="B44" i="32"/>
  <c r="B48" i="32"/>
  <c r="B52" i="32"/>
  <c r="B40" i="29"/>
  <c r="J40" i="29"/>
  <c r="R40" i="29"/>
  <c r="O20" i="4"/>
  <c r="P20" i="4"/>
  <c r="O21" i="4"/>
  <c r="P21" i="4"/>
  <c r="O22" i="4"/>
  <c r="P22" i="4"/>
  <c r="O23" i="4"/>
  <c r="P23" i="4"/>
  <c r="O24" i="4"/>
  <c r="P24" i="4"/>
  <c r="O25" i="4"/>
  <c r="P25" i="4"/>
  <c r="O26" i="4"/>
  <c r="P26" i="4"/>
  <c r="O27" i="4"/>
  <c r="P27" i="4"/>
  <c r="O28" i="4"/>
  <c r="P28" i="4"/>
  <c r="O29" i="4"/>
  <c r="P29" i="4"/>
  <c r="O30" i="4"/>
  <c r="P30" i="4"/>
  <c r="O31" i="4"/>
  <c r="P31" i="4"/>
  <c r="O32" i="4"/>
  <c r="P32" i="4"/>
  <c r="O33" i="4"/>
  <c r="P33" i="4"/>
  <c r="O34" i="4"/>
  <c r="P34" i="4"/>
  <c r="O35" i="4"/>
  <c r="P35" i="4"/>
  <c r="O36" i="4"/>
  <c r="P36" i="4"/>
  <c r="O37" i="4"/>
  <c r="P37" i="4"/>
  <c r="O38" i="4"/>
  <c r="P38" i="4"/>
  <c r="O39" i="4"/>
  <c r="P39" i="4"/>
  <c r="O40" i="4"/>
  <c r="P40" i="4"/>
  <c r="O41" i="4"/>
  <c r="P41" i="4"/>
  <c r="O42" i="4"/>
  <c r="P42" i="4"/>
  <c r="O43" i="4"/>
  <c r="P43" i="4"/>
  <c r="O44" i="4"/>
  <c r="P44" i="4"/>
  <c r="O45" i="4"/>
  <c r="P45" i="4"/>
  <c r="O46" i="4"/>
  <c r="P46" i="4"/>
  <c r="V59" i="4"/>
  <c r="O47" i="4"/>
  <c r="P47" i="4"/>
  <c r="V47" i="4"/>
  <c r="O48" i="4"/>
  <c r="P48" i="4"/>
  <c r="O49" i="4"/>
  <c r="P49" i="4"/>
  <c r="O50" i="4"/>
  <c r="P50" i="4"/>
  <c r="O51" i="4"/>
  <c r="P51" i="4"/>
  <c r="V48" i="4"/>
  <c r="O52" i="4"/>
  <c r="P52" i="4"/>
  <c r="O53" i="4"/>
  <c r="P53" i="4"/>
  <c r="O54" i="4"/>
  <c r="P54" i="4"/>
  <c r="O55" i="4"/>
  <c r="P55" i="4"/>
  <c r="O56" i="4"/>
  <c r="P56" i="4"/>
  <c r="O57" i="4"/>
  <c r="P57" i="4"/>
  <c r="O58" i="4"/>
  <c r="P58" i="4"/>
  <c r="O59" i="4"/>
  <c r="P59" i="4"/>
  <c r="O60" i="4"/>
  <c r="P60" i="4"/>
  <c r="O61" i="4"/>
  <c r="P61" i="4"/>
  <c r="O62" i="4"/>
  <c r="P62" i="4"/>
  <c r="O63" i="4"/>
  <c r="P63" i="4"/>
  <c r="O64" i="4"/>
  <c r="P64" i="4"/>
  <c r="O65" i="4"/>
  <c r="P65" i="4"/>
  <c r="O66" i="4"/>
  <c r="P66" i="4"/>
  <c r="O67" i="4"/>
  <c r="P67" i="4"/>
  <c r="O68" i="4"/>
  <c r="P68" i="4"/>
  <c r="O69" i="4"/>
  <c r="P69" i="4"/>
  <c r="O70" i="4"/>
  <c r="P70" i="4"/>
  <c r="O71" i="4"/>
  <c r="P71" i="4"/>
  <c r="O72" i="4"/>
  <c r="P72" i="4"/>
  <c r="O73" i="4"/>
  <c r="P73" i="4"/>
  <c r="O74" i="4"/>
  <c r="P74" i="4"/>
  <c r="O75" i="4"/>
  <c r="P75" i="4"/>
  <c r="O76" i="4"/>
  <c r="P76" i="4"/>
  <c r="O77" i="4"/>
  <c r="P77" i="4"/>
  <c r="O78" i="4"/>
  <c r="P78" i="4"/>
  <c r="O79" i="4"/>
  <c r="P79" i="4"/>
  <c r="V51" i="4"/>
  <c r="O80" i="4"/>
  <c r="P80" i="4"/>
  <c r="O81" i="4"/>
  <c r="P81" i="4"/>
  <c r="O82" i="4"/>
  <c r="P82" i="4"/>
  <c r="O83" i="4"/>
  <c r="P83" i="4"/>
  <c r="O84" i="4"/>
  <c r="P84" i="4"/>
  <c r="O85" i="4"/>
  <c r="P85" i="4"/>
  <c r="O86" i="4"/>
  <c r="P86" i="4"/>
  <c r="O87" i="4"/>
  <c r="P87" i="4"/>
  <c r="O88" i="4"/>
  <c r="P88" i="4"/>
  <c r="O89" i="4"/>
  <c r="P89" i="4"/>
  <c r="O90" i="4"/>
  <c r="P90" i="4"/>
  <c r="O91" i="4"/>
  <c r="P91" i="4"/>
  <c r="O92" i="4"/>
  <c r="P92" i="4"/>
  <c r="O93" i="4"/>
  <c r="P93" i="4"/>
  <c r="O94" i="4"/>
  <c r="P94" i="4"/>
  <c r="O95" i="4"/>
  <c r="P95" i="4"/>
  <c r="O96" i="4"/>
  <c r="P96" i="4"/>
  <c r="O97" i="4"/>
  <c r="P97" i="4"/>
  <c r="O98" i="4"/>
  <c r="P98" i="4"/>
  <c r="O99" i="4"/>
  <c r="P99" i="4"/>
  <c r="O100" i="4"/>
  <c r="P100" i="4"/>
  <c r="O101" i="4"/>
  <c r="P101" i="4"/>
  <c r="O102" i="4"/>
  <c r="P102" i="4"/>
  <c r="O103" i="4"/>
  <c r="P103" i="4"/>
  <c r="O104" i="4"/>
  <c r="P104" i="4"/>
  <c r="O105" i="4"/>
  <c r="P105" i="4"/>
  <c r="O106" i="4"/>
  <c r="P106" i="4"/>
  <c r="O107" i="4"/>
  <c r="P107" i="4"/>
  <c r="O108" i="4"/>
  <c r="P108" i="4"/>
  <c r="O109" i="4"/>
  <c r="P109" i="4"/>
  <c r="O110" i="4"/>
  <c r="P110" i="4"/>
  <c r="O111" i="4"/>
  <c r="P111" i="4"/>
  <c r="O112" i="4"/>
  <c r="P112" i="4"/>
  <c r="O113" i="4"/>
  <c r="P113" i="4"/>
  <c r="O114" i="4"/>
  <c r="P114" i="4"/>
  <c r="O115" i="4"/>
  <c r="P115" i="4"/>
  <c r="O116" i="4"/>
  <c r="P116" i="4"/>
  <c r="O117" i="4"/>
  <c r="P117" i="4"/>
  <c r="O118" i="4"/>
  <c r="P118" i="4"/>
  <c r="O119" i="4"/>
  <c r="P119" i="4"/>
  <c r="O120" i="4"/>
  <c r="P120" i="4"/>
  <c r="O121" i="4"/>
  <c r="P121" i="4"/>
  <c r="O122" i="4"/>
  <c r="P122" i="4"/>
  <c r="O123" i="4"/>
  <c r="P123" i="4"/>
  <c r="O124" i="4"/>
  <c r="P124" i="4"/>
  <c r="O125" i="4"/>
  <c r="P125" i="4"/>
  <c r="O126" i="4"/>
  <c r="P126" i="4"/>
  <c r="O127" i="4"/>
  <c r="P127" i="4"/>
  <c r="O128" i="4"/>
  <c r="P128" i="4"/>
  <c r="O129" i="4"/>
  <c r="P129" i="4"/>
  <c r="O130" i="4"/>
  <c r="P130" i="4"/>
  <c r="O131" i="4"/>
  <c r="P131" i="4"/>
  <c r="O132" i="4"/>
  <c r="P132" i="4"/>
  <c r="O133" i="4"/>
  <c r="P133" i="4"/>
  <c r="O134" i="4"/>
  <c r="P134" i="4"/>
  <c r="O135" i="4"/>
  <c r="P135" i="4"/>
  <c r="O136" i="4"/>
  <c r="P136" i="4"/>
  <c r="O137" i="4"/>
  <c r="P137" i="4"/>
  <c r="O138" i="4"/>
  <c r="P138" i="4"/>
  <c r="O139" i="4"/>
  <c r="P139" i="4"/>
  <c r="C15" i="6"/>
  <c r="E15" i="6"/>
  <c r="G15" i="6"/>
  <c r="K15" i="6"/>
  <c r="Q15" i="6"/>
  <c r="S15" i="6"/>
  <c r="B17" i="6"/>
  <c r="B21" i="29" s="1"/>
  <c r="C17" i="6"/>
  <c r="E17" i="6"/>
  <c r="AL21" i="46"/>
  <c r="AM21" i="46" s="1"/>
  <c r="B18" i="6"/>
  <c r="E18" i="6"/>
  <c r="H18" i="6"/>
  <c r="AL22" i="46"/>
  <c r="AM22" i="46" s="1"/>
  <c r="B19" i="6"/>
  <c r="E19" i="6"/>
  <c r="P19" i="6"/>
  <c r="AL23" i="46"/>
  <c r="AM23" i="46" s="1"/>
  <c r="B20" i="6"/>
  <c r="U62" i="4" s="1"/>
  <c r="C20" i="6"/>
  <c r="E20" i="6"/>
  <c r="AL24" i="46"/>
  <c r="AM24" i="46" s="1"/>
  <c r="B21" i="6"/>
  <c r="B25" i="29" s="1"/>
  <c r="C21" i="6"/>
  <c r="E21" i="6"/>
  <c r="L22" i="6"/>
  <c r="AL25" i="46"/>
  <c r="AM25" i="46" s="1"/>
  <c r="B22" i="6"/>
  <c r="B23" i="6"/>
  <c r="C23" i="6"/>
  <c r="E23" i="6"/>
  <c r="AL27" i="46"/>
  <c r="AM27" i="46" s="1"/>
  <c r="B24" i="6"/>
  <c r="C24" i="6"/>
  <c r="E24" i="6"/>
  <c r="AL28" i="46"/>
  <c r="AM28" i="46" s="1"/>
  <c r="B25" i="6"/>
  <c r="B29" i="46" s="1"/>
  <c r="C25" i="6"/>
  <c r="E25" i="6"/>
  <c r="AL29" i="46"/>
  <c r="AM29" i="46" s="1"/>
  <c r="B26" i="6"/>
  <c r="U55" i="4" s="1"/>
  <c r="C26" i="6"/>
  <c r="E26" i="6"/>
  <c r="AL30" i="46"/>
  <c r="AM30" i="46" s="1"/>
  <c r="B30" i="6"/>
  <c r="B31" i="6"/>
  <c r="B36" i="6"/>
  <c r="B37" i="6"/>
  <c r="D20" i="30"/>
  <c r="F20" i="30"/>
  <c r="X20" i="30"/>
  <c r="Z20" i="30"/>
  <c r="B25" i="30"/>
  <c r="B20" i="4" s="1"/>
  <c r="B26" i="30"/>
  <c r="B21" i="4" s="1"/>
  <c r="B27" i="30"/>
  <c r="B22" i="4" s="1"/>
  <c r="B28" i="30"/>
  <c r="B23" i="4" s="1"/>
  <c r="B29" i="30"/>
  <c r="B24" i="4" s="1"/>
  <c r="B30" i="30"/>
  <c r="B25" i="4" s="1"/>
  <c r="B31" i="30"/>
  <c r="B26" i="4" s="1"/>
  <c r="B32" i="30"/>
  <c r="B27" i="4" s="1"/>
  <c r="B33" i="30"/>
  <c r="B28" i="4" s="1"/>
  <c r="B34" i="30"/>
  <c r="B29" i="4" s="1"/>
  <c r="B35" i="30"/>
  <c r="B30" i="4" s="1"/>
  <c r="B36" i="30"/>
  <c r="B31" i="4" s="1"/>
  <c r="B37" i="30"/>
  <c r="B32" i="4" s="1"/>
  <c r="B38" i="30"/>
  <c r="B33" i="4" s="1"/>
  <c r="B39" i="30"/>
  <c r="B34" i="4" s="1"/>
  <c r="B40" i="30"/>
  <c r="B35" i="4" s="1"/>
  <c r="B41" i="30"/>
  <c r="B36" i="4" s="1"/>
  <c r="B42" i="30"/>
  <c r="B37" i="4" s="1"/>
  <c r="B43" i="30"/>
  <c r="B38" i="4" s="1"/>
  <c r="B44" i="30"/>
  <c r="B39" i="4" s="1"/>
  <c r="B45" i="30"/>
  <c r="B40" i="4" s="1"/>
  <c r="B46" i="30"/>
  <c r="B41" i="4" s="1"/>
  <c r="B47" i="30"/>
  <c r="B42" i="4" s="1"/>
  <c r="B48" i="30"/>
  <c r="B43" i="4" s="1"/>
  <c r="B49" i="30"/>
  <c r="B44" i="4" s="1"/>
  <c r="B50" i="30"/>
  <c r="B45" i="4" s="1"/>
  <c r="B51" i="30"/>
  <c r="B46" i="4" s="1"/>
  <c r="B52" i="30"/>
  <c r="B47" i="4" s="1"/>
  <c r="B53" i="30"/>
  <c r="B48" i="4" s="1"/>
  <c r="B54" i="30"/>
  <c r="B49" i="4" s="1"/>
  <c r="B55" i="30"/>
  <c r="B50" i="4" s="1"/>
  <c r="B56" i="30"/>
  <c r="B51" i="4" s="1"/>
  <c r="B57" i="30"/>
  <c r="B52" i="4" s="1"/>
  <c r="B58" i="30"/>
  <c r="B53" i="4" s="1"/>
  <c r="B59" i="30"/>
  <c r="B54" i="4" s="1"/>
  <c r="B60" i="30"/>
  <c r="B55" i="4" s="1"/>
  <c r="B61" i="30"/>
  <c r="B56" i="4" s="1"/>
  <c r="B62" i="30"/>
  <c r="B57" i="4" s="1"/>
  <c r="B63" i="30"/>
  <c r="B58" i="4" s="1"/>
  <c r="B64" i="30"/>
  <c r="B59" i="4" s="1"/>
  <c r="B65" i="30"/>
  <c r="B60" i="4" s="1"/>
  <c r="B66" i="30"/>
  <c r="B61" i="4" s="1"/>
  <c r="B67" i="30"/>
  <c r="B62" i="4" s="1"/>
  <c r="B68" i="30"/>
  <c r="B63" i="4" s="1"/>
  <c r="B69" i="30"/>
  <c r="B64" i="4" s="1"/>
  <c r="B70" i="30"/>
  <c r="B65" i="4" s="1"/>
  <c r="B71" i="30"/>
  <c r="B66" i="4" s="1"/>
  <c r="B72" i="30"/>
  <c r="B67" i="4" s="1"/>
  <c r="B73" i="30"/>
  <c r="B68" i="4" s="1"/>
  <c r="B74" i="30"/>
  <c r="B69" i="4" s="1"/>
  <c r="B75" i="30"/>
  <c r="B70" i="4" s="1"/>
  <c r="B76" i="30"/>
  <c r="B71" i="4" s="1"/>
  <c r="B77" i="30"/>
  <c r="B72" i="4" s="1"/>
  <c r="B78" i="30"/>
  <c r="B73" i="4" s="1"/>
  <c r="B79" i="30"/>
  <c r="B74" i="4" s="1"/>
  <c r="B80" i="30"/>
  <c r="B75" i="4" s="1"/>
  <c r="B81" i="30"/>
  <c r="B76" i="4" s="1"/>
  <c r="B82" i="30"/>
  <c r="B77" i="4" s="1"/>
  <c r="B83" i="30"/>
  <c r="B78" i="4" s="1"/>
  <c r="B84" i="30"/>
  <c r="B79" i="4" s="1"/>
  <c r="B85" i="30"/>
  <c r="B80" i="4" s="1"/>
  <c r="B86" i="30"/>
  <c r="B81" i="4" s="1"/>
  <c r="B87" i="30"/>
  <c r="B82" i="4" s="1"/>
  <c r="B88" i="30"/>
  <c r="B83" i="4" s="1"/>
  <c r="B89" i="30"/>
  <c r="B84" i="4" s="1"/>
  <c r="B90" i="30"/>
  <c r="B85" i="4" s="1"/>
  <c r="B91" i="30"/>
  <c r="B86" i="4" s="1"/>
  <c r="B92" i="30"/>
  <c r="B87" i="4" s="1"/>
  <c r="B93" i="30"/>
  <c r="B88" i="4" s="1"/>
  <c r="B94" i="30"/>
  <c r="B89" i="4" s="1"/>
  <c r="B95" i="30"/>
  <c r="B90" i="4" s="1"/>
  <c r="B96" i="30"/>
  <c r="B91" i="4" s="1"/>
  <c r="B97" i="30"/>
  <c r="B92" i="4" s="1"/>
  <c r="B98" i="30"/>
  <c r="B93" i="4" s="1"/>
  <c r="B99" i="30"/>
  <c r="B94" i="4" s="1"/>
  <c r="B100" i="30"/>
  <c r="B95" i="4" s="1"/>
  <c r="B101" i="30"/>
  <c r="B96" i="4" s="1"/>
  <c r="B102" i="30"/>
  <c r="B97" i="4" s="1"/>
  <c r="B103" i="30"/>
  <c r="B98" i="4" s="1"/>
  <c r="B104" i="30"/>
  <c r="B99" i="4" s="1"/>
  <c r="B105" i="30"/>
  <c r="B100" i="4" s="1"/>
  <c r="B106" i="30"/>
  <c r="B101" i="4" s="1"/>
  <c r="B107" i="30"/>
  <c r="B102" i="4" s="1"/>
  <c r="B108" i="30"/>
  <c r="B103" i="4" s="1"/>
  <c r="B109" i="30"/>
  <c r="B104" i="4" s="1"/>
  <c r="B110" i="30"/>
  <c r="B105" i="4" s="1"/>
  <c r="B111" i="30"/>
  <c r="B106" i="4" s="1"/>
  <c r="B112" i="30"/>
  <c r="B107" i="4" s="1"/>
  <c r="B113" i="30"/>
  <c r="B108" i="4" s="1"/>
  <c r="B114" i="30"/>
  <c r="B109" i="4" s="1"/>
  <c r="B115" i="30"/>
  <c r="B110" i="4" s="1"/>
  <c r="B116" i="30"/>
  <c r="B111" i="4" s="1"/>
  <c r="B117" i="30"/>
  <c r="B112" i="4" s="1"/>
  <c r="B118" i="30"/>
  <c r="B113" i="4" s="1"/>
  <c r="B119" i="30"/>
  <c r="B114" i="4" s="1"/>
  <c r="B120" i="30"/>
  <c r="B115" i="4" s="1"/>
  <c r="B121" i="30"/>
  <c r="B116" i="4" s="1"/>
  <c r="B122" i="30"/>
  <c r="B117" i="4" s="1"/>
  <c r="B123" i="30"/>
  <c r="B118" i="4" s="1"/>
  <c r="B124" i="30"/>
  <c r="B119" i="4" s="1"/>
  <c r="B125" i="30"/>
  <c r="B120" i="4" s="1"/>
  <c r="B126" i="30"/>
  <c r="B121" i="4" s="1"/>
  <c r="B127" i="30"/>
  <c r="B122" i="4" s="1"/>
  <c r="B128" i="30"/>
  <c r="B123" i="4" s="1"/>
  <c r="B129" i="30"/>
  <c r="B124" i="4" s="1"/>
  <c r="B130" i="30"/>
  <c r="B125" i="4" s="1"/>
  <c r="B131" i="30"/>
  <c r="B126" i="4" s="1"/>
  <c r="B132" i="30"/>
  <c r="B127" i="4" s="1"/>
  <c r="B133" i="30"/>
  <c r="B128" i="4" s="1"/>
  <c r="B134" i="30"/>
  <c r="B129" i="4" s="1"/>
  <c r="B135" i="30"/>
  <c r="B130" i="4" s="1"/>
  <c r="B136" i="30"/>
  <c r="B131" i="4" s="1"/>
  <c r="B137" i="30"/>
  <c r="B132" i="4" s="1"/>
  <c r="B138" i="30"/>
  <c r="B133" i="4" s="1"/>
  <c r="B139" i="30"/>
  <c r="B134" i="4" s="1"/>
  <c r="B140" i="30"/>
  <c r="B135" i="4" s="1"/>
  <c r="B141" i="30"/>
  <c r="B136" i="4" s="1"/>
  <c r="B142" i="30"/>
  <c r="B137" i="4" s="1"/>
  <c r="B143" i="30"/>
  <c r="B138" i="4" s="1"/>
  <c r="B144" i="30"/>
  <c r="B139" i="4" s="1"/>
  <c r="B145" i="30"/>
  <c r="B140" i="4" s="1"/>
  <c r="B146" i="30"/>
  <c r="B141" i="4" s="1"/>
  <c r="B147" i="30"/>
  <c r="B142" i="4" s="1"/>
  <c r="B148" i="30"/>
  <c r="B143" i="4" s="1"/>
  <c r="B149" i="30"/>
  <c r="B144" i="4" s="1"/>
  <c r="B150" i="30"/>
  <c r="B145" i="4" s="1"/>
  <c r="B151" i="30"/>
  <c r="B146" i="4" s="1"/>
  <c r="B152" i="30"/>
  <c r="B147" i="4" s="1"/>
  <c r="B153" i="30"/>
  <c r="B148" i="4" s="1"/>
  <c r="B154" i="30"/>
  <c r="B149" i="4" s="1"/>
  <c r="B155" i="30"/>
  <c r="B150" i="4" s="1"/>
  <c r="B156" i="30"/>
  <c r="B151" i="4" s="1"/>
  <c r="B157" i="30"/>
  <c r="B152" i="4" s="1"/>
  <c r="B158" i="30"/>
  <c r="B153" i="4" s="1"/>
  <c r="B159" i="30"/>
  <c r="B154" i="4" s="1"/>
  <c r="B160" i="30"/>
  <c r="B155" i="4" s="1"/>
  <c r="B161" i="30"/>
  <c r="B156" i="4" s="1"/>
  <c r="B162" i="30"/>
  <c r="B157" i="4" s="1"/>
  <c r="B163" i="30"/>
  <c r="B158" i="4" s="1"/>
  <c r="B164" i="30"/>
  <c r="B159" i="4" s="1"/>
  <c r="B165" i="30"/>
  <c r="B160" i="4" s="1"/>
  <c r="B166" i="30"/>
  <c r="B161" i="4" s="1"/>
  <c r="B167" i="30"/>
  <c r="B162" i="4" s="1"/>
  <c r="B168" i="30"/>
  <c r="B163" i="4" s="1"/>
  <c r="V25" i="6" l="1"/>
  <c r="V23" i="6"/>
  <c r="AN25" i="46"/>
  <c r="V19" i="6"/>
  <c r="M40" i="32"/>
  <c r="L38" i="51" s="1"/>
  <c r="L40" i="32"/>
  <c r="K38" i="51" s="1"/>
  <c r="I40" i="32"/>
  <c r="H38" i="51" s="1"/>
  <c r="H40" i="32"/>
  <c r="G38" i="51" s="1"/>
  <c r="K40" i="32"/>
  <c r="J38" i="51" s="1"/>
  <c r="J40" i="32"/>
  <c r="I38" i="51" s="1"/>
  <c r="F40" i="32"/>
  <c r="E38" i="51" s="1"/>
  <c r="E40" i="32"/>
  <c r="D38" i="51" s="1"/>
  <c r="N40" i="32"/>
  <c r="M38" i="51" s="1"/>
  <c r="G40" i="32"/>
  <c r="F38" i="51" s="1"/>
  <c r="AN30" i="46"/>
  <c r="AN24" i="46"/>
  <c r="AN23" i="46"/>
  <c r="AN29" i="46"/>
  <c r="AN28" i="46"/>
  <c r="AN27" i="46"/>
  <c r="V22" i="6"/>
  <c r="AL26" i="46"/>
  <c r="AM26" i="46" s="1"/>
  <c r="AN22" i="46"/>
  <c r="AN21" i="46"/>
  <c r="V20" i="6"/>
  <c r="V17" i="6"/>
  <c r="V24" i="6"/>
  <c r="V18" i="6"/>
  <c r="V26" i="6"/>
  <c r="V21" i="6"/>
  <c r="C176" i="4"/>
  <c r="D180" i="4"/>
  <c r="C180" i="4"/>
  <c r="H58" i="46"/>
  <c r="C181" i="4"/>
  <c r="D181" i="4"/>
  <c r="D176" i="4"/>
  <c r="U66" i="4"/>
  <c r="L15" i="32"/>
  <c r="E16" i="32"/>
  <c r="D14" i="51" s="1"/>
  <c r="F16" i="32"/>
  <c r="L16" i="32"/>
  <c r="K14" i="51" s="1"/>
  <c r="M16" i="32"/>
  <c r="L14" i="51" s="1"/>
  <c r="H16" i="32"/>
  <c r="G14" i="51" s="1"/>
  <c r="I16" i="32"/>
  <c r="H14" i="51" s="1"/>
  <c r="G16" i="32"/>
  <c r="F14" i="51" s="1"/>
  <c r="J16" i="32"/>
  <c r="I14" i="51" s="1"/>
  <c r="K16" i="32"/>
  <c r="J14" i="51" s="1"/>
  <c r="N16" i="32"/>
  <c r="M14" i="51" s="1"/>
  <c r="H28" i="32"/>
  <c r="G26" i="51" s="1"/>
  <c r="I32" i="32"/>
  <c r="H30" i="51" s="1"/>
  <c r="H36" i="32"/>
  <c r="G34" i="51" s="1"/>
  <c r="F36" i="32"/>
  <c r="E34" i="51" s="1"/>
  <c r="K20" i="32"/>
  <c r="J18" i="51" s="1"/>
  <c r="L24" i="32"/>
  <c r="K22" i="51" s="1"/>
  <c r="E28" i="32"/>
  <c r="D26" i="51" s="1"/>
  <c r="G36" i="32"/>
  <c r="F34" i="51" s="1"/>
  <c r="M36" i="32"/>
  <c r="L34" i="51" s="1"/>
  <c r="K28" i="32"/>
  <c r="J26" i="51" s="1"/>
  <c r="I21" i="38" s="1"/>
  <c r="F28" i="32"/>
  <c r="E26" i="51" s="1"/>
  <c r="F24" i="32"/>
  <c r="E22" i="51" s="1"/>
  <c r="K32" i="32"/>
  <c r="J30" i="51" s="1"/>
  <c r="J36" i="32"/>
  <c r="I34" i="51" s="1"/>
  <c r="I36" i="32"/>
  <c r="H34" i="51" s="1"/>
  <c r="J20" i="32"/>
  <c r="I18" i="51" s="1"/>
  <c r="I24" i="32"/>
  <c r="H22" i="51" s="1"/>
  <c r="E32" i="32"/>
  <c r="D30" i="51" s="1"/>
  <c r="K24" i="32"/>
  <c r="J22" i="51" s="1"/>
  <c r="E20" i="32"/>
  <c r="J24" i="32"/>
  <c r="I22" i="51" s="1"/>
  <c r="N20" i="32"/>
  <c r="M18" i="51" s="1"/>
  <c r="L20" i="32"/>
  <c r="K18" i="51" s="1"/>
  <c r="G28" i="32"/>
  <c r="F26" i="51" s="1"/>
  <c r="M24" i="32"/>
  <c r="L22" i="51" s="1"/>
  <c r="G32" i="32"/>
  <c r="F30" i="51" s="1"/>
  <c r="N36" i="32"/>
  <c r="M34" i="51" s="1"/>
  <c r="H24" i="32"/>
  <c r="G22" i="51" s="1"/>
  <c r="I20" i="32"/>
  <c r="H18" i="51" s="1"/>
  <c r="N24" i="32"/>
  <c r="M22" i="51" s="1"/>
  <c r="F20" i="32"/>
  <c r="E18" i="51" s="1"/>
  <c r="M28" i="32"/>
  <c r="L26" i="51" s="1"/>
  <c r="M32" i="32"/>
  <c r="L30" i="51" s="1"/>
  <c r="G20" i="32"/>
  <c r="F18" i="51" s="1"/>
  <c r="J32" i="32"/>
  <c r="I30" i="51" s="1"/>
  <c r="L32" i="32"/>
  <c r="K30" i="51" s="1"/>
  <c r="L36" i="32"/>
  <c r="K34" i="51" s="1"/>
  <c r="I28" i="32"/>
  <c r="H26" i="51" s="1"/>
  <c r="J28" i="32"/>
  <c r="I26" i="51" s="1"/>
  <c r="I20" i="38" s="1"/>
  <c r="G24" i="32"/>
  <c r="F22" i="51" s="1"/>
  <c r="N32" i="32"/>
  <c r="M30" i="51" s="1"/>
  <c r="F32" i="32"/>
  <c r="E30" i="51" s="1"/>
  <c r="K36" i="32"/>
  <c r="J34" i="51" s="1"/>
  <c r="M20" i="32"/>
  <c r="L18" i="51" s="1"/>
  <c r="L28" i="32"/>
  <c r="K26" i="51" s="1"/>
  <c r="N28" i="32"/>
  <c r="M26" i="51" s="1"/>
  <c r="E36" i="32"/>
  <c r="D34" i="51" s="1"/>
  <c r="H20" i="32"/>
  <c r="G18" i="51" s="1"/>
  <c r="E24" i="32"/>
  <c r="D22" i="51" s="1"/>
  <c r="H32" i="32"/>
  <c r="G30" i="51" s="1"/>
  <c r="F66" i="46"/>
  <c r="AQ29" i="46"/>
  <c r="AG29" i="46"/>
  <c r="D22" i="6"/>
  <c r="L26" i="6"/>
  <c r="P24" i="6"/>
  <c r="D25" i="6"/>
  <c r="P18" i="6"/>
  <c r="F20" i="6"/>
  <c r="D36" i="6"/>
  <c r="D20" i="6"/>
  <c r="H24" i="6"/>
  <c r="D26" i="6"/>
  <c r="H20" i="6"/>
  <c r="F18" i="6"/>
  <c r="H36" i="6"/>
  <c r="P20" i="6"/>
  <c r="F36" i="6"/>
  <c r="H22" i="6"/>
  <c r="H26" i="6"/>
  <c r="F23" i="6"/>
  <c r="P22" i="6"/>
  <c r="R36" i="6"/>
  <c r="R42" i="6" s="1"/>
  <c r="D24" i="6"/>
  <c r="I42" i="6"/>
  <c r="D21" i="6"/>
  <c r="L20" i="6"/>
  <c r="H21" i="6"/>
  <c r="F24" i="6"/>
  <c r="L24" i="6"/>
  <c r="F22" i="6"/>
  <c r="P26" i="6"/>
  <c r="F26" i="6"/>
  <c r="W47" i="4"/>
  <c r="V60" i="4"/>
  <c r="L25" i="6"/>
  <c r="M29" i="46"/>
  <c r="W29" i="46"/>
  <c r="P23" i="6"/>
  <c r="D23" i="6"/>
  <c r="B20" i="38"/>
  <c r="I13" i="51"/>
  <c r="J15" i="32"/>
  <c r="B26" i="46"/>
  <c r="B26" i="29"/>
  <c r="U51" i="4"/>
  <c r="U64" i="4"/>
  <c r="F21" i="6"/>
  <c r="H19" i="6"/>
  <c r="F13" i="51"/>
  <c r="B17" i="38"/>
  <c r="B23" i="46"/>
  <c r="G15" i="32"/>
  <c r="U48" i="4"/>
  <c r="U61" i="4"/>
  <c r="B23" i="29"/>
  <c r="B16" i="38"/>
  <c r="E13" i="51"/>
  <c r="F15" i="32"/>
  <c r="B22" i="46"/>
  <c r="B22" i="29"/>
  <c r="U47" i="4"/>
  <c r="U60" i="4"/>
  <c r="B24" i="38"/>
  <c r="M13" i="51"/>
  <c r="N15" i="32"/>
  <c r="B30" i="29"/>
  <c r="B30" i="46"/>
  <c r="U68" i="4"/>
  <c r="F25" i="6"/>
  <c r="H23" i="6"/>
  <c r="J13" i="51"/>
  <c r="B21" i="38"/>
  <c r="B27" i="46"/>
  <c r="K15" i="32"/>
  <c r="U52" i="4"/>
  <c r="U65" i="4"/>
  <c r="B27" i="29"/>
  <c r="L19" i="6"/>
  <c r="F19" i="6"/>
  <c r="L18" i="6"/>
  <c r="D18" i="6"/>
  <c r="V61" i="4"/>
  <c r="W48" i="4"/>
  <c r="B26" i="38"/>
  <c r="O13" i="51"/>
  <c r="P15" i="32"/>
  <c r="B32" i="46"/>
  <c r="B32" i="29"/>
  <c r="L23" i="6"/>
  <c r="P21" i="6"/>
  <c r="J21" i="29"/>
  <c r="Z21" i="29" s="1"/>
  <c r="R21" i="29"/>
  <c r="AH21" i="29" s="1"/>
  <c r="P36" i="6"/>
  <c r="N13" i="51"/>
  <c r="B25" i="38"/>
  <c r="B31" i="46"/>
  <c r="O15" i="32"/>
  <c r="B31" i="29"/>
  <c r="P25" i="6"/>
  <c r="H25" i="6"/>
  <c r="L21" i="6"/>
  <c r="J25" i="29"/>
  <c r="Z25" i="29" s="1"/>
  <c r="R25" i="29"/>
  <c r="AH25" i="29" s="1"/>
  <c r="D19" i="6"/>
  <c r="V68" i="4"/>
  <c r="V64" i="4"/>
  <c r="U54" i="4"/>
  <c r="U50" i="4"/>
  <c r="B29" i="29"/>
  <c r="B22" i="38"/>
  <c r="K13" i="51"/>
  <c r="B28" i="46"/>
  <c r="B18" i="38"/>
  <c r="G13" i="51"/>
  <c r="H15" i="32"/>
  <c r="B24" i="46"/>
  <c r="B15" i="38"/>
  <c r="D13" i="51"/>
  <c r="B21" i="46"/>
  <c r="E15" i="32"/>
  <c r="D30" i="29"/>
  <c r="F30" i="29" s="1"/>
  <c r="D29" i="29"/>
  <c r="L29" i="29" s="1"/>
  <c r="D28" i="29"/>
  <c r="D27" i="29"/>
  <c r="L27" i="29" s="1"/>
  <c r="T27" i="29" s="1"/>
  <c r="D26" i="29"/>
  <c r="L26" i="29" s="1"/>
  <c r="T26" i="29" s="1"/>
  <c r="D25" i="29"/>
  <c r="D24" i="29"/>
  <c r="L24" i="29" s="1"/>
  <c r="T24" i="29" s="1"/>
  <c r="V52" i="4"/>
  <c r="B28" i="29"/>
  <c r="B23" i="38"/>
  <c r="L13" i="51"/>
  <c r="M15" i="32"/>
  <c r="B19" i="38"/>
  <c r="H13" i="51"/>
  <c r="I15" i="32"/>
  <c r="U67" i="4"/>
  <c r="U63" i="4"/>
  <c r="U59" i="4"/>
  <c r="V53" i="4"/>
  <c r="V49" i="4"/>
  <c r="D23" i="29"/>
  <c r="L23" i="29" s="1"/>
  <c r="T23" i="29" s="1"/>
  <c r="D22" i="29"/>
  <c r="L22" i="29" s="1"/>
  <c r="T22" i="29" s="1"/>
  <c r="T21" i="29"/>
  <c r="V21" i="29" s="1"/>
  <c r="B24" i="29"/>
  <c r="B25" i="46"/>
  <c r="V54" i="4"/>
  <c r="U53" i="4"/>
  <c r="V50" i="4"/>
  <c r="U49" i="4"/>
  <c r="U46" i="4"/>
  <c r="G64" i="47"/>
  <c r="AA42" i="29" l="1"/>
  <c r="AI42" i="29"/>
  <c r="W23" i="6"/>
  <c r="AN26" i="46"/>
  <c r="AN34" i="46" s="1"/>
  <c r="E14" i="51"/>
  <c r="C16" i="47" s="1"/>
  <c r="F56" i="32"/>
  <c r="K150" i="4"/>
  <c r="P141" i="4"/>
  <c r="P153" i="4" s="1"/>
  <c r="P149" i="4"/>
  <c r="P161" i="4" s="1"/>
  <c r="P145" i="4"/>
  <c r="P157" i="4" s="1"/>
  <c r="P142" i="4"/>
  <c r="P154" i="4" s="1"/>
  <c r="P150" i="4"/>
  <c r="P162" i="4" s="1"/>
  <c r="P147" i="4"/>
  <c r="P159" i="4" s="1"/>
  <c r="P144" i="4"/>
  <c r="P156" i="4" s="1"/>
  <c r="P146" i="4"/>
  <c r="P158" i="4" s="1"/>
  <c r="P143" i="4"/>
  <c r="P155" i="4" s="1"/>
  <c r="P151" i="4"/>
  <c r="P163" i="4" s="1"/>
  <c r="P148" i="4"/>
  <c r="P160" i="4" s="1"/>
  <c r="P140" i="4"/>
  <c r="P152" i="4" s="1"/>
  <c r="K147" i="4"/>
  <c r="I63" i="46"/>
  <c r="I66" i="46"/>
  <c r="K149" i="4"/>
  <c r="K148" i="4"/>
  <c r="K145" i="4"/>
  <c r="K141" i="4"/>
  <c r="K151" i="4"/>
  <c r="K152" i="4"/>
  <c r="K143" i="4"/>
  <c r="K144" i="4"/>
  <c r="K142" i="4"/>
  <c r="K146" i="4"/>
  <c r="D28" i="6"/>
  <c r="I67" i="46"/>
  <c r="I61" i="46"/>
  <c r="I58" i="46"/>
  <c r="E21" i="29"/>
  <c r="I62" i="46"/>
  <c r="I60" i="46"/>
  <c r="I65" i="46"/>
  <c r="I59" i="46"/>
  <c r="I64" i="46"/>
  <c r="C17" i="47"/>
  <c r="D17" i="38"/>
  <c r="C19" i="47"/>
  <c r="D19" i="38"/>
  <c r="C18" i="47"/>
  <c r="D18" i="47" s="1"/>
  <c r="D18" i="38"/>
  <c r="C24" i="47"/>
  <c r="D24" i="38"/>
  <c r="C22" i="47"/>
  <c r="D22" i="38"/>
  <c r="C23" i="47"/>
  <c r="D23" i="38"/>
  <c r="D21" i="38"/>
  <c r="C21" i="47"/>
  <c r="C20" i="47"/>
  <c r="D20" i="47" s="1"/>
  <c r="D20" i="38"/>
  <c r="C15" i="47"/>
  <c r="D15" i="38"/>
  <c r="F19" i="38"/>
  <c r="C35" i="47"/>
  <c r="C96" i="47"/>
  <c r="N16" i="38"/>
  <c r="M16" i="38"/>
  <c r="C82" i="47"/>
  <c r="L18" i="38"/>
  <c r="K18" i="38"/>
  <c r="C116" i="47"/>
  <c r="O20" i="38"/>
  <c r="P20" i="38"/>
  <c r="C67" i="47"/>
  <c r="J19" i="38"/>
  <c r="I19" i="38"/>
  <c r="F16" i="38"/>
  <c r="C32" i="47"/>
  <c r="C81" i="47"/>
  <c r="L17" i="38"/>
  <c r="K17" i="38"/>
  <c r="C53" i="47"/>
  <c r="H21" i="38"/>
  <c r="C100" i="47"/>
  <c r="N20" i="38"/>
  <c r="M20" i="38"/>
  <c r="C118" i="47"/>
  <c r="O22" i="38"/>
  <c r="P22" i="38"/>
  <c r="C114" i="47"/>
  <c r="P18" i="38"/>
  <c r="O18" i="38"/>
  <c r="C102" i="47"/>
  <c r="N22" i="38"/>
  <c r="M22" i="38"/>
  <c r="C56" i="47"/>
  <c r="H24" i="38"/>
  <c r="C119" i="47"/>
  <c r="P23" i="38"/>
  <c r="O23" i="38"/>
  <c r="C85" i="47"/>
  <c r="K21" i="38"/>
  <c r="L21" i="38"/>
  <c r="C103" i="47"/>
  <c r="N23" i="38"/>
  <c r="M23" i="38"/>
  <c r="F21" i="38"/>
  <c r="C37" i="47"/>
  <c r="F23" i="38"/>
  <c r="C39" i="47"/>
  <c r="C47" i="47"/>
  <c r="H15" i="38"/>
  <c r="C84" i="47"/>
  <c r="L20" i="38"/>
  <c r="K20" i="38"/>
  <c r="C64" i="47"/>
  <c r="I16" i="38"/>
  <c r="J16" i="38"/>
  <c r="C95" i="47"/>
  <c r="N15" i="38"/>
  <c r="M15" i="38"/>
  <c r="C88" i="47"/>
  <c r="K24" i="38"/>
  <c r="L24" i="38"/>
  <c r="C33" i="47"/>
  <c r="F17" i="38"/>
  <c r="C40" i="47"/>
  <c r="F24" i="38"/>
  <c r="C113" i="47"/>
  <c r="O17" i="38"/>
  <c r="P17" i="38"/>
  <c r="C117" i="47"/>
  <c r="O21" i="38"/>
  <c r="P21" i="38"/>
  <c r="C54" i="47"/>
  <c r="H22" i="38"/>
  <c r="C55" i="47"/>
  <c r="H23" i="38"/>
  <c r="C48" i="47"/>
  <c r="D48" i="47" s="1"/>
  <c r="H16" i="38"/>
  <c r="C101" i="47"/>
  <c r="M21" i="38"/>
  <c r="N21" i="38"/>
  <c r="C50" i="47"/>
  <c r="H18" i="38"/>
  <c r="C112" i="47"/>
  <c r="O16" i="38"/>
  <c r="P16" i="38"/>
  <c r="C98" i="47"/>
  <c r="M18" i="38"/>
  <c r="N18" i="38"/>
  <c r="C80" i="47"/>
  <c r="K16" i="38"/>
  <c r="L16" i="38"/>
  <c r="C120" i="47"/>
  <c r="O24" i="38"/>
  <c r="P24" i="38"/>
  <c r="C51" i="47"/>
  <c r="H19" i="38"/>
  <c r="C63" i="47"/>
  <c r="J15" i="38"/>
  <c r="I15" i="38"/>
  <c r="C72" i="47"/>
  <c r="I24" i="38"/>
  <c r="J24" i="38"/>
  <c r="C49" i="47"/>
  <c r="H17" i="38"/>
  <c r="C87" i="47"/>
  <c r="K23" i="38"/>
  <c r="L23" i="38"/>
  <c r="C104" i="47"/>
  <c r="M24" i="38"/>
  <c r="N24" i="38"/>
  <c r="C52" i="47"/>
  <c r="D52" i="47" s="1"/>
  <c r="H20" i="38"/>
  <c r="F20" i="38"/>
  <c r="C36" i="47"/>
  <c r="C66" i="47"/>
  <c r="I18" i="38"/>
  <c r="J18" i="38"/>
  <c r="C86" i="47"/>
  <c r="D86" i="47" s="1"/>
  <c r="L22" i="38"/>
  <c r="K22" i="38"/>
  <c r="C79" i="47"/>
  <c r="K15" i="38"/>
  <c r="L15" i="38"/>
  <c r="C65" i="47"/>
  <c r="I17" i="38"/>
  <c r="J17" i="38"/>
  <c r="C97" i="47"/>
  <c r="D97" i="47" s="1"/>
  <c r="N17" i="38"/>
  <c r="M17" i="38"/>
  <c r="F18" i="38"/>
  <c r="C34" i="47"/>
  <c r="D34" i="47" s="1"/>
  <c r="F22" i="38"/>
  <c r="C38" i="47"/>
  <c r="D38" i="47" s="1"/>
  <c r="C83" i="47"/>
  <c r="K19" i="38"/>
  <c r="L19" i="38"/>
  <c r="C70" i="47"/>
  <c r="J22" i="38"/>
  <c r="I22" i="38"/>
  <c r="J20" i="38"/>
  <c r="C68" i="47"/>
  <c r="G68" i="47"/>
  <c r="C71" i="47"/>
  <c r="I23" i="38"/>
  <c r="J23" i="38"/>
  <c r="D18" i="51"/>
  <c r="D54" i="51" s="1"/>
  <c r="E56" i="32"/>
  <c r="C99" i="47"/>
  <c r="N19" i="38"/>
  <c r="M19" i="38"/>
  <c r="C69" i="47"/>
  <c r="J21" i="38"/>
  <c r="C115" i="47"/>
  <c r="P19" i="38"/>
  <c r="O19" i="38"/>
  <c r="F62" i="46"/>
  <c r="AQ25" i="46"/>
  <c r="AG25" i="46"/>
  <c r="F64" i="46"/>
  <c r="AQ27" i="46"/>
  <c r="AG27" i="46"/>
  <c r="F59" i="46"/>
  <c r="AQ22" i="46"/>
  <c r="AG22" i="46"/>
  <c r="F60" i="46"/>
  <c r="AQ23" i="46"/>
  <c r="AG23" i="46"/>
  <c r="F61" i="46"/>
  <c r="AQ24" i="46"/>
  <c r="AG24" i="46"/>
  <c r="F65" i="46"/>
  <c r="AQ28" i="46"/>
  <c r="AG28" i="46"/>
  <c r="B49" i="46"/>
  <c r="AQ31" i="46"/>
  <c r="AQ49" i="46" s="1"/>
  <c r="AG31" i="46"/>
  <c r="AG49" i="46" s="1"/>
  <c r="F63" i="46"/>
  <c r="AQ26" i="46"/>
  <c r="AG26" i="46"/>
  <c r="F67" i="46"/>
  <c r="AQ30" i="46"/>
  <c r="AG30" i="46"/>
  <c r="F58" i="46"/>
  <c r="AQ21" i="46"/>
  <c r="AG21" i="46"/>
  <c r="B50" i="46"/>
  <c r="AQ32" i="46"/>
  <c r="AQ50" i="46" s="1"/>
  <c r="AG32" i="46"/>
  <c r="AG50" i="46" s="1"/>
  <c r="W25" i="6"/>
  <c r="V26" i="29"/>
  <c r="AB26" i="29"/>
  <c r="AB21" i="29"/>
  <c r="V27" i="29"/>
  <c r="AB27" i="29"/>
  <c r="V23" i="29"/>
  <c r="AB23" i="29"/>
  <c r="V24" i="29"/>
  <c r="AB24" i="29"/>
  <c r="V22" i="29"/>
  <c r="AB22" i="29"/>
  <c r="W18" i="6"/>
  <c r="W20" i="6"/>
  <c r="W19" i="6"/>
  <c r="W36" i="6"/>
  <c r="W26" i="6"/>
  <c r="W24" i="6"/>
  <c r="W21" i="6"/>
  <c r="W22" i="6"/>
  <c r="I71" i="47"/>
  <c r="S31" i="4"/>
  <c r="X46" i="4" s="1"/>
  <c r="N24" i="29"/>
  <c r="L25" i="29"/>
  <c r="T25" i="29" s="1"/>
  <c r="F25" i="29"/>
  <c r="F24" i="29"/>
  <c r="I55" i="47"/>
  <c r="H28" i="6"/>
  <c r="H42" i="6" s="1"/>
  <c r="P28" i="6"/>
  <c r="F28" i="6"/>
  <c r="N56" i="32"/>
  <c r="L28" i="6"/>
  <c r="I54" i="51"/>
  <c r="I70" i="47"/>
  <c r="G65" i="47"/>
  <c r="H54" i="51"/>
  <c r="G67" i="47"/>
  <c r="I67" i="47"/>
  <c r="G70" i="47"/>
  <c r="G72" i="47"/>
  <c r="I56" i="32"/>
  <c r="F26" i="29"/>
  <c r="I50" i="47"/>
  <c r="I66" i="47"/>
  <c r="L56" i="51"/>
  <c r="E56" i="51"/>
  <c r="G56" i="51"/>
  <c r="I51" i="47"/>
  <c r="I49" i="47"/>
  <c r="N27" i="29"/>
  <c r="F27" i="29"/>
  <c r="N26" i="29"/>
  <c r="F23" i="29"/>
  <c r="G66" i="47"/>
  <c r="H56" i="51"/>
  <c r="D56" i="51"/>
  <c r="I48" i="47"/>
  <c r="M56" i="51"/>
  <c r="N22" i="29"/>
  <c r="W50" i="4"/>
  <c r="V63" i="4"/>
  <c r="J56" i="51"/>
  <c r="N23" i="29"/>
  <c r="R28" i="29"/>
  <c r="AH28" i="29" s="1"/>
  <c r="J28" i="29"/>
  <c r="Z28" i="29" s="1"/>
  <c r="T29" i="29"/>
  <c r="N29" i="29"/>
  <c r="M28" i="46"/>
  <c r="W28" i="46"/>
  <c r="M56" i="32"/>
  <c r="W31" i="46"/>
  <c r="W49" i="46" s="1"/>
  <c r="M31" i="46"/>
  <c r="M49" i="46" s="1"/>
  <c r="G54" i="51"/>
  <c r="I43" i="6"/>
  <c r="M22" i="46"/>
  <c r="W22" i="46"/>
  <c r="J23" i="29"/>
  <c r="Z23" i="29" s="1"/>
  <c r="R23" i="29"/>
  <c r="AH23" i="29" s="1"/>
  <c r="M23" i="46"/>
  <c r="W23" i="46"/>
  <c r="K56" i="32"/>
  <c r="I64" i="47"/>
  <c r="I52" i="47"/>
  <c r="V62" i="4"/>
  <c r="W49" i="4"/>
  <c r="N21" i="29"/>
  <c r="L30" i="29"/>
  <c r="N30" i="29" s="1"/>
  <c r="M24" i="46"/>
  <c r="W24" i="46"/>
  <c r="L54" i="51"/>
  <c r="W51" i="4"/>
  <c r="G56" i="32"/>
  <c r="L56" i="32"/>
  <c r="J32" i="29"/>
  <c r="Z32" i="29" s="1"/>
  <c r="R32" i="29"/>
  <c r="AH32" i="29" s="1"/>
  <c r="B43" i="29"/>
  <c r="J27" i="29"/>
  <c r="Z27" i="29" s="1"/>
  <c r="R27" i="29"/>
  <c r="AH27" i="29" s="1"/>
  <c r="M27" i="46"/>
  <c r="W27" i="46"/>
  <c r="J54" i="51"/>
  <c r="I68" i="47"/>
  <c r="I56" i="47"/>
  <c r="I65" i="47"/>
  <c r="W54" i="4"/>
  <c r="V67" i="4"/>
  <c r="R24" i="29"/>
  <c r="AH24" i="29" s="1"/>
  <c r="J24" i="29"/>
  <c r="Z24" i="29" s="1"/>
  <c r="V66" i="4"/>
  <c r="W53" i="4"/>
  <c r="K56" i="51"/>
  <c r="F22" i="29"/>
  <c r="V65" i="4"/>
  <c r="W52" i="4"/>
  <c r="F54" i="51"/>
  <c r="J31" i="29"/>
  <c r="Z31" i="29" s="1"/>
  <c r="R31" i="29"/>
  <c r="AH31" i="29" s="1"/>
  <c r="B42" i="29"/>
  <c r="F29" i="29"/>
  <c r="K54" i="51"/>
  <c r="W32" i="46"/>
  <c r="W50" i="46" s="1"/>
  <c r="M32" i="46"/>
  <c r="M50" i="46" s="1"/>
  <c r="M30" i="46"/>
  <c r="W30" i="46"/>
  <c r="R26" i="29"/>
  <c r="AH26" i="29" s="1"/>
  <c r="J26" i="29"/>
  <c r="Z26" i="29" s="1"/>
  <c r="I56" i="51"/>
  <c r="G71" i="47"/>
  <c r="I72" i="47"/>
  <c r="F56" i="51"/>
  <c r="M25" i="46"/>
  <c r="W25" i="46"/>
  <c r="J56" i="32"/>
  <c r="M54" i="51"/>
  <c r="I53" i="47"/>
  <c r="I69" i="47"/>
  <c r="I54" i="47"/>
  <c r="L28" i="29"/>
  <c r="F28" i="29"/>
  <c r="W21" i="46"/>
  <c r="M21" i="46"/>
  <c r="R29" i="29"/>
  <c r="AH29" i="29" s="1"/>
  <c r="J29" i="29"/>
  <c r="Z29" i="29" s="1"/>
  <c r="W55" i="4"/>
  <c r="H56" i="32"/>
  <c r="R30" i="29"/>
  <c r="AH30" i="29" s="1"/>
  <c r="J30" i="29"/>
  <c r="Z30" i="29" s="1"/>
  <c r="R22" i="29"/>
  <c r="AH22" i="29" s="1"/>
  <c r="J22" i="29"/>
  <c r="Z22" i="29" s="1"/>
  <c r="M26" i="46"/>
  <c r="W26" i="46"/>
  <c r="S115" i="4"/>
  <c r="X53" i="4" s="1"/>
  <c r="W66" i="4" s="1"/>
  <c r="E28" i="29"/>
  <c r="S67" i="4"/>
  <c r="X49" i="4" s="1"/>
  <c r="Z49" i="4" s="1"/>
  <c r="E23" i="29"/>
  <c r="E24" i="29"/>
  <c r="M24" i="29" s="1"/>
  <c r="E29" i="29"/>
  <c r="S79" i="4"/>
  <c r="X50" i="4" s="1"/>
  <c r="W63" i="4" s="1"/>
  <c r="S103" i="4"/>
  <c r="X52" i="4" s="1"/>
  <c r="W65" i="4" s="1"/>
  <c r="E30" i="29"/>
  <c r="G30" i="29" s="1"/>
  <c r="S55" i="4"/>
  <c r="X48" i="4" s="1"/>
  <c r="S91" i="4"/>
  <c r="X51" i="4" s="1"/>
  <c r="E27" i="29"/>
  <c r="M27" i="29" s="1"/>
  <c r="S43" i="4"/>
  <c r="X47" i="4" s="1"/>
  <c r="Z47" i="4" s="1"/>
  <c r="E25" i="29"/>
  <c r="E26" i="29"/>
  <c r="M26" i="29" s="1"/>
  <c r="J25" i="32" s="1"/>
  <c r="I23" i="51" s="1"/>
  <c r="F52" i="47" s="1"/>
  <c r="S127" i="4"/>
  <c r="X54" i="4" s="1"/>
  <c r="Z54" i="4" s="1"/>
  <c r="S139" i="4"/>
  <c r="X55" i="4" s="1"/>
  <c r="W68" i="4" s="1"/>
  <c r="E22" i="29"/>
  <c r="K154" i="4" l="1"/>
  <c r="K163" i="4"/>
  <c r="K161" i="4"/>
  <c r="K162" i="4"/>
  <c r="K156" i="4"/>
  <c r="K155" i="4"/>
  <c r="K157" i="4"/>
  <c r="K153" i="4"/>
  <c r="K158" i="4"/>
  <c r="K160" i="4"/>
  <c r="K159" i="4"/>
  <c r="D83" i="47"/>
  <c r="D36" i="47"/>
  <c r="D101" i="47"/>
  <c r="D99" i="47"/>
  <c r="D65" i="47"/>
  <c r="D104" i="47"/>
  <c r="D118" i="47"/>
  <c r="D81" i="47"/>
  <c r="D116" i="47"/>
  <c r="AA43" i="29"/>
  <c r="AI43" i="29"/>
  <c r="D69" i="47"/>
  <c r="D71" i="47"/>
  <c r="D51" i="47"/>
  <c r="D66" i="47"/>
  <c r="D49" i="47"/>
  <c r="D88" i="47"/>
  <c r="D39" i="47"/>
  <c r="D119" i="47"/>
  <c r="D114" i="47"/>
  <c r="D67" i="47"/>
  <c r="D21" i="47"/>
  <c r="D17" i="47"/>
  <c r="X68" i="4"/>
  <c r="Y68" i="4"/>
  <c r="E112" i="47"/>
  <c r="D112" i="47"/>
  <c r="D72" i="47"/>
  <c r="D120" i="47"/>
  <c r="D54" i="47"/>
  <c r="D40" i="47"/>
  <c r="D23" i="47"/>
  <c r="D24" i="47"/>
  <c r="D19" i="47"/>
  <c r="D16" i="47"/>
  <c r="D53" i="47"/>
  <c r="D22" i="47"/>
  <c r="D98" i="47"/>
  <c r="D55" i="47"/>
  <c r="D113" i="47"/>
  <c r="D33" i="47"/>
  <c r="D84" i="47"/>
  <c r="D85" i="47"/>
  <c r="D102" i="47"/>
  <c r="D96" i="47"/>
  <c r="D115" i="47"/>
  <c r="D68" i="47"/>
  <c r="D70" i="47"/>
  <c r="D87" i="47"/>
  <c r="D80" i="47"/>
  <c r="D50" i="47"/>
  <c r="D117" i="47"/>
  <c r="D64" i="47"/>
  <c r="D37" i="47"/>
  <c r="D103" i="47"/>
  <c r="D56" i="47"/>
  <c r="D100" i="47"/>
  <c r="D82" i="47"/>
  <c r="D35" i="47"/>
  <c r="G20" i="38"/>
  <c r="D16" i="38"/>
  <c r="R43" i="6"/>
  <c r="G30" i="6"/>
  <c r="H43" i="6"/>
  <c r="O30" i="6"/>
  <c r="O42" i="6" s="1"/>
  <c r="P43" i="6"/>
  <c r="P42" i="6"/>
  <c r="K30" i="6"/>
  <c r="K42" i="6" s="1"/>
  <c r="L43" i="6"/>
  <c r="L42" i="6"/>
  <c r="E30" i="6"/>
  <c r="E42" i="6" s="1"/>
  <c r="F43" i="6"/>
  <c r="F42" i="6"/>
  <c r="C30" i="6"/>
  <c r="C42" i="6" s="1"/>
  <c r="D43" i="6"/>
  <c r="D42" i="6"/>
  <c r="E54" i="51"/>
  <c r="AK49" i="46"/>
  <c r="AK50" i="46"/>
  <c r="AL49" i="46"/>
  <c r="AL50" i="46"/>
  <c r="H30" i="29"/>
  <c r="E83" i="47"/>
  <c r="E96" i="47"/>
  <c r="E119" i="47"/>
  <c r="G69" i="47"/>
  <c r="E40" i="47"/>
  <c r="E33" i="47"/>
  <c r="E56" i="47"/>
  <c r="E49" i="47"/>
  <c r="E20" i="47"/>
  <c r="E52" i="47"/>
  <c r="E71" i="47"/>
  <c r="E86" i="47"/>
  <c r="E38" i="47"/>
  <c r="E53" i="47"/>
  <c r="E115" i="47"/>
  <c r="E64" i="47"/>
  <c r="E48" i="47"/>
  <c r="E102" i="47"/>
  <c r="E67" i="47"/>
  <c r="E22" i="47"/>
  <c r="E18" i="47"/>
  <c r="E117" i="47"/>
  <c r="E36" i="47"/>
  <c r="E54" i="47"/>
  <c r="E34" i="47"/>
  <c r="E16" i="47"/>
  <c r="E24" i="47"/>
  <c r="E19" i="47"/>
  <c r="E23" i="47"/>
  <c r="E99" i="47"/>
  <c r="E101" i="47"/>
  <c r="E21" i="47"/>
  <c r="E17" i="47"/>
  <c r="E82" i="47"/>
  <c r="E68" i="47"/>
  <c r="E80" i="47"/>
  <c r="E69" i="47"/>
  <c r="E66" i="47"/>
  <c r="E50" i="47"/>
  <c r="E84" i="47"/>
  <c r="E88" i="47"/>
  <c r="E70" i="47"/>
  <c r="E51" i="47"/>
  <c r="E55" i="47"/>
  <c r="E72" i="47"/>
  <c r="E87" i="47"/>
  <c r="E118" i="47"/>
  <c r="E103" i="47"/>
  <c r="E104" i="47"/>
  <c r="E98" i="47"/>
  <c r="E39" i="47"/>
  <c r="E81" i="47"/>
  <c r="E65" i="47"/>
  <c r="E114" i="47"/>
  <c r="E116" i="47"/>
  <c r="E35" i="47"/>
  <c r="F15" i="38"/>
  <c r="C31" i="47"/>
  <c r="E32" i="47" s="1"/>
  <c r="E97" i="47"/>
  <c r="E120" i="47"/>
  <c r="E113" i="47"/>
  <c r="E37" i="47"/>
  <c r="E85" i="47"/>
  <c r="E100" i="47"/>
  <c r="AD22" i="29"/>
  <c r="AJ22" i="29"/>
  <c r="AD21" i="29"/>
  <c r="AJ21" i="29"/>
  <c r="AD24" i="29"/>
  <c r="AJ24" i="29"/>
  <c r="AD26" i="29"/>
  <c r="AJ26" i="29"/>
  <c r="AD23" i="29"/>
  <c r="AJ23" i="29"/>
  <c r="AD27" i="29"/>
  <c r="AJ27" i="29"/>
  <c r="W28" i="6"/>
  <c r="V25" i="29"/>
  <c r="AB25" i="29"/>
  <c r="V29" i="29"/>
  <c r="AB29" i="29"/>
  <c r="N25" i="29"/>
  <c r="G23" i="29"/>
  <c r="G25" i="29"/>
  <c r="X63" i="4"/>
  <c r="X65" i="4"/>
  <c r="X66" i="4"/>
  <c r="K31" i="6"/>
  <c r="K43" i="6" s="1"/>
  <c r="G28" i="29"/>
  <c r="G29" i="29"/>
  <c r="R42" i="29"/>
  <c r="AH42" i="29" s="1"/>
  <c r="J42" i="29"/>
  <c r="Z42" i="29" s="1"/>
  <c r="J43" i="29"/>
  <c r="Z43" i="29" s="1"/>
  <c r="R43" i="29"/>
  <c r="AH43" i="29" s="1"/>
  <c r="T28" i="29"/>
  <c r="N28" i="29"/>
  <c r="T30" i="29"/>
  <c r="V30" i="29" s="1"/>
  <c r="Y49" i="4"/>
  <c r="M29" i="29"/>
  <c r="U29" i="29" s="1"/>
  <c r="Z53" i="4"/>
  <c r="Z52" i="4"/>
  <c r="G27" i="29"/>
  <c r="W62" i="4"/>
  <c r="X62" i="4" s="1"/>
  <c r="Y53" i="4"/>
  <c r="W61" i="4"/>
  <c r="X61" i="4" s="1"/>
  <c r="M23" i="29"/>
  <c r="U23" i="29" s="1"/>
  <c r="Z50" i="4"/>
  <c r="M28" i="29"/>
  <c r="Y51" i="4"/>
  <c r="Z48" i="4"/>
  <c r="Y50" i="4"/>
  <c r="Y48" i="4"/>
  <c r="W64" i="4"/>
  <c r="X64" i="4" s="1"/>
  <c r="Z51" i="4"/>
  <c r="Y54" i="4"/>
  <c r="M25" i="29"/>
  <c r="U25" i="29" s="1"/>
  <c r="G24" i="29"/>
  <c r="M30" i="29"/>
  <c r="W67" i="4"/>
  <c r="X67" i="4" s="1"/>
  <c r="Y52" i="4"/>
  <c r="G26" i="29"/>
  <c r="Z55" i="4"/>
  <c r="W60" i="4"/>
  <c r="X60" i="4" s="1"/>
  <c r="Y55" i="4"/>
  <c r="Z46" i="4"/>
  <c r="W59" i="4"/>
  <c r="X59" i="4" s="1"/>
  <c r="U26" i="29"/>
  <c r="O26" i="29"/>
  <c r="Y47" i="4"/>
  <c r="G22" i="29"/>
  <c r="M22" i="29"/>
  <c r="O27" i="29"/>
  <c r="U27" i="29"/>
  <c r="M21" i="29"/>
  <c r="G21" i="29"/>
  <c r="O24" i="29"/>
  <c r="U24" i="29"/>
  <c r="X70" i="4" l="1"/>
  <c r="D32" i="47"/>
  <c r="G32" i="46"/>
  <c r="E50" i="46" s="1"/>
  <c r="P28" i="32"/>
  <c r="O26" i="51" s="1"/>
  <c r="C74" i="47" s="1"/>
  <c r="G31" i="46"/>
  <c r="E49" i="46" s="1"/>
  <c r="O28" i="32"/>
  <c r="N26" i="51" s="1"/>
  <c r="C73" i="47" s="1"/>
  <c r="O31" i="6"/>
  <c r="O43" i="6" s="1"/>
  <c r="AB32" i="46" s="1"/>
  <c r="Z50" i="46" s="1"/>
  <c r="E31" i="6"/>
  <c r="E43" i="6" s="1"/>
  <c r="G31" i="6"/>
  <c r="G43" i="6" s="1"/>
  <c r="P24" i="32" s="1"/>
  <c r="O22" i="51" s="1"/>
  <c r="C58" i="47" s="1"/>
  <c r="G42" i="6"/>
  <c r="V30" i="6"/>
  <c r="Q43" i="6"/>
  <c r="Q42" i="6"/>
  <c r="W42" i="6"/>
  <c r="O140" i="4" s="1"/>
  <c r="W43" i="6"/>
  <c r="P32" i="32"/>
  <c r="O30" i="51" s="1"/>
  <c r="C90" i="47" s="1"/>
  <c r="AB31" i="46"/>
  <c r="Z49" i="46" s="1"/>
  <c r="O32" i="32"/>
  <c r="N30" i="51" s="1"/>
  <c r="C89" i="47" s="1"/>
  <c r="D89" i="47" s="1"/>
  <c r="O20" i="32"/>
  <c r="N18" i="51" s="1"/>
  <c r="C31" i="6"/>
  <c r="C43" i="6" s="1"/>
  <c r="O16" i="32"/>
  <c r="N14" i="51" s="1"/>
  <c r="H22" i="29"/>
  <c r="E15" i="51"/>
  <c r="H25" i="29"/>
  <c r="H15" i="51"/>
  <c r="P26" i="29"/>
  <c r="I19" i="51"/>
  <c r="H23" i="29"/>
  <c r="F15" i="51"/>
  <c r="P24" i="29"/>
  <c r="G19" i="51"/>
  <c r="H28" i="29"/>
  <c r="H21" i="29"/>
  <c r="H27" i="29"/>
  <c r="J15" i="51"/>
  <c r="H26" i="29"/>
  <c r="I15" i="51"/>
  <c r="M15" i="51"/>
  <c r="G20" i="53"/>
  <c r="H29" i="29"/>
  <c r="H24" i="29"/>
  <c r="G15" i="51"/>
  <c r="P27" i="29"/>
  <c r="J19" i="51"/>
  <c r="N32" i="29"/>
  <c r="AL23" i="29"/>
  <c r="AL21" i="29"/>
  <c r="AL22" i="29"/>
  <c r="AL27" i="29"/>
  <c r="AD29" i="29"/>
  <c r="AJ29" i="29"/>
  <c r="AL26" i="29"/>
  <c r="AD25" i="29"/>
  <c r="AJ25" i="29"/>
  <c r="AL24" i="29"/>
  <c r="W27" i="29"/>
  <c r="AC27" i="29"/>
  <c r="V32" i="29"/>
  <c r="AB30" i="29"/>
  <c r="W26" i="29"/>
  <c r="X26" i="29" s="1"/>
  <c r="AC26" i="29"/>
  <c r="W25" i="29"/>
  <c r="AC25" i="29"/>
  <c r="V28" i="29"/>
  <c r="AB28" i="29"/>
  <c r="W23" i="29"/>
  <c r="AC23" i="29"/>
  <c r="W29" i="29"/>
  <c r="AC29" i="29"/>
  <c r="W24" i="29"/>
  <c r="AC24" i="29"/>
  <c r="X69" i="4"/>
  <c r="O28" i="29"/>
  <c r="O29" i="29"/>
  <c r="U28" i="29"/>
  <c r="O25" i="29"/>
  <c r="O23" i="29"/>
  <c r="O30" i="29"/>
  <c r="U30" i="29"/>
  <c r="U21" i="29"/>
  <c r="W21" i="29" s="1"/>
  <c r="E25" i="32" s="1"/>
  <c r="D23" i="51" s="1"/>
  <c r="O21" i="29"/>
  <c r="O22" i="29"/>
  <c r="U22" i="29"/>
  <c r="O141" i="4" l="1"/>
  <c r="R140" i="4"/>
  <c r="D74" i="47"/>
  <c r="E73" i="47"/>
  <c r="D73" i="47"/>
  <c r="D90" i="47"/>
  <c r="P20" i="32"/>
  <c r="O18" i="51" s="1"/>
  <c r="C42" i="47" s="1"/>
  <c r="V42" i="6"/>
  <c r="O24" i="32"/>
  <c r="N22" i="51" s="1"/>
  <c r="C57" i="47" s="1"/>
  <c r="D57" i="47" s="1"/>
  <c r="E74" i="47"/>
  <c r="X25" i="29"/>
  <c r="I25" i="32"/>
  <c r="H23" i="51" s="1"/>
  <c r="X24" i="29"/>
  <c r="H25" i="32"/>
  <c r="G23" i="51" s="1"/>
  <c r="G55" i="51" s="1"/>
  <c r="X23" i="29"/>
  <c r="G25" i="32"/>
  <c r="F23" i="51" s="1"/>
  <c r="F47" i="47"/>
  <c r="G15" i="38"/>
  <c r="X29" i="29"/>
  <c r="M25" i="32"/>
  <c r="X27" i="29"/>
  <c r="K25" i="32"/>
  <c r="J23" i="51" s="1"/>
  <c r="J55" i="51" s="1"/>
  <c r="V31" i="6"/>
  <c r="AV31" i="46"/>
  <c r="AT49" i="46" s="1"/>
  <c r="O36" i="32"/>
  <c r="N34" i="51" s="1"/>
  <c r="C105" i="47" s="1"/>
  <c r="AL32" i="46"/>
  <c r="AJ50" i="46" s="1"/>
  <c r="P40" i="32"/>
  <c r="O38" i="51" s="1"/>
  <c r="C122" i="47" s="1"/>
  <c r="AL31" i="46"/>
  <c r="AJ49" i="46" s="1"/>
  <c r="O40" i="32"/>
  <c r="N38" i="51" s="1"/>
  <c r="C121" i="47" s="1"/>
  <c r="AV32" i="46"/>
  <c r="AT50" i="46" s="1"/>
  <c r="P36" i="32"/>
  <c r="O34" i="51" s="1"/>
  <c r="C106" i="47" s="1"/>
  <c r="E90" i="47"/>
  <c r="E89" i="47"/>
  <c r="C41" i="47"/>
  <c r="F25" i="38"/>
  <c r="P16" i="32"/>
  <c r="O14" i="51" s="1"/>
  <c r="V43" i="6"/>
  <c r="D25" i="38"/>
  <c r="C25" i="47"/>
  <c r="F17" i="47"/>
  <c r="C17" i="38"/>
  <c r="P23" i="29"/>
  <c r="F19" i="51"/>
  <c r="L15" i="51"/>
  <c r="F20" i="53"/>
  <c r="E20" i="53"/>
  <c r="K15" i="51"/>
  <c r="F19" i="47"/>
  <c r="C19" i="38"/>
  <c r="D15" i="51"/>
  <c r="P25" i="29"/>
  <c r="H19" i="51"/>
  <c r="P22" i="29"/>
  <c r="E19" i="51"/>
  <c r="P29" i="29"/>
  <c r="F24" i="47"/>
  <c r="C24" i="38"/>
  <c r="F21" i="47"/>
  <c r="C21" i="38"/>
  <c r="F37" i="47"/>
  <c r="E21" i="38"/>
  <c r="F20" i="47"/>
  <c r="C20" i="38"/>
  <c r="F34" i="47"/>
  <c r="E18" i="38"/>
  <c r="F16" i="47"/>
  <c r="C16" i="38"/>
  <c r="F18" i="47"/>
  <c r="C18" i="38"/>
  <c r="P30" i="29"/>
  <c r="F36" i="47"/>
  <c r="E20" i="38"/>
  <c r="P21" i="29"/>
  <c r="D19" i="51"/>
  <c r="P28" i="29"/>
  <c r="AE29" i="29"/>
  <c r="AF29" i="29" s="1"/>
  <c r="AK29" i="29"/>
  <c r="AE26" i="29"/>
  <c r="AF26" i="29" s="1"/>
  <c r="AK26" i="29"/>
  <c r="AD28" i="29"/>
  <c r="AJ28" i="29"/>
  <c r="AE27" i="29"/>
  <c r="AF27" i="29" s="1"/>
  <c r="AK27" i="29"/>
  <c r="AL25" i="29"/>
  <c r="AD30" i="29"/>
  <c r="AJ30" i="29"/>
  <c r="AE23" i="29"/>
  <c r="AF23" i="29" s="1"/>
  <c r="AK23" i="29"/>
  <c r="AL29" i="29"/>
  <c r="AE24" i="29"/>
  <c r="AF24" i="29" s="1"/>
  <c r="AK24" i="29"/>
  <c r="AE25" i="29"/>
  <c r="AF25" i="29" s="1"/>
  <c r="AK25" i="29"/>
  <c r="I55" i="51"/>
  <c r="J57" i="32"/>
  <c r="X21" i="29"/>
  <c r="AC21" i="29"/>
  <c r="W30" i="29"/>
  <c r="AC30" i="29"/>
  <c r="W28" i="29"/>
  <c r="AC28" i="29"/>
  <c r="W22" i="29"/>
  <c r="AC22" i="29"/>
  <c r="O142" i="4" l="1"/>
  <c r="R141" i="4"/>
  <c r="E41" i="47"/>
  <c r="D41" i="47"/>
  <c r="E121" i="47"/>
  <c r="D121" i="47"/>
  <c r="E105" i="47"/>
  <c r="D105" i="47"/>
  <c r="D58" i="47"/>
  <c r="E25" i="47"/>
  <c r="D25" i="47"/>
  <c r="D106" i="47"/>
  <c r="D122" i="47"/>
  <c r="D42" i="47"/>
  <c r="D55" i="51"/>
  <c r="E58" i="47"/>
  <c r="E57" i="47"/>
  <c r="H57" i="32"/>
  <c r="K57" i="32"/>
  <c r="X22" i="29"/>
  <c r="F25" i="32"/>
  <c r="E23" i="51" s="1"/>
  <c r="E55" i="51" s="1"/>
  <c r="F53" i="47"/>
  <c r="G53" i="47" s="1"/>
  <c r="G21" i="38"/>
  <c r="F50" i="47"/>
  <c r="G18" i="38"/>
  <c r="X30" i="29"/>
  <c r="N25" i="32"/>
  <c r="L23" i="51"/>
  <c r="F24" i="53"/>
  <c r="F49" i="47"/>
  <c r="G17" i="38"/>
  <c r="F51" i="47"/>
  <c r="G51" i="47" s="1"/>
  <c r="G19" i="38"/>
  <c r="X28" i="29"/>
  <c r="L25" i="32"/>
  <c r="N54" i="51"/>
  <c r="O56" i="32"/>
  <c r="E106" i="47"/>
  <c r="E122" i="47"/>
  <c r="E42" i="47"/>
  <c r="P56" i="32"/>
  <c r="D26" i="38"/>
  <c r="C26" i="47"/>
  <c r="O54" i="51"/>
  <c r="G20" i="47"/>
  <c r="G18" i="47"/>
  <c r="G37" i="47"/>
  <c r="G21" i="47"/>
  <c r="E22" i="53"/>
  <c r="K19" i="51"/>
  <c r="F31" i="47"/>
  <c r="E15" i="38"/>
  <c r="F35" i="47"/>
  <c r="G35" i="47" s="1"/>
  <c r="E19" i="38"/>
  <c r="F15" i="47"/>
  <c r="G16" i="47" s="1"/>
  <c r="C15" i="38"/>
  <c r="F32" i="47"/>
  <c r="E16" i="38"/>
  <c r="F23" i="47"/>
  <c r="C23" i="38"/>
  <c r="E57" i="32"/>
  <c r="F33" i="47"/>
  <c r="E17" i="38"/>
  <c r="G22" i="53"/>
  <c r="M19" i="51"/>
  <c r="L19" i="51"/>
  <c r="F22" i="53"/>
  <c r="F22" i="47"/>
  <c r="G22" i="47" s="1"/>
  <c r="C22" i="38"/>
  <c r="G19" i="47"/>
  <c r="G17" i="47"/>
  <c r="AM25" i="29"/>
  <c r="AN25" i="29" s="1"/>
  <c r="AD31" i="29"/>
  <c r="AD32" i="29" s="1"/>
  <c r="H55" i="51"/>
  <c r="AE22" i="29"/>
  <c r="AF22" i="29" s="1"/>
  <c r="AK22" i="29"/>
  <c r="AL28" i="29"/>
  <c r="AE21" i="29"/>
  <c r="AF21" i="29" s="1"/>
  <c r="AK21" i="29"/>
  <c r="AE28" i="29"/>
  <c r="AF28" i="29" s="1"/>
  <c r="AK28" i="29"/>
  <c r="AM23" i="29"/>
  <c r="AN23" i="29" s="1"/>
  <c r="AM26" i="29"/>
  <c r="AN26" i="29" s="1"/>
  <c r="AM29" i="29"/>
  <c r="AN29" i="29" s="1"/>
  <c r="AE30" i="29"/>
  <c r="AF30" i="29" s="1"/>
  <c r="AK30" i="29"/>
  <c r="AL30" i="29"/>
  <c r="AM27" i="29"/>
  <c r="AN27" i="29" s="1"/>
  <c r="AM24" i="29"/>
  <c r="AN24" i="29" s="1"/>
  <c r="F55" i="51"/>
  <c r="M57" i="32"/>
  <c r="I57" i="32"/>
  <c r="G57" i="32"/>
  <c r="O143" i="4" l="1"/>
  <c r="R142" i="4"/>
  <c r="E26" i="47"/>
  <c r="D26" i="47"/>
  <c r="G52" i="47"/>
  <c r="G50" i="47"/>
  <c r="F57" i="32"/>
  <c r="F34" i="53"/>
  <c r="E24" i="53"/>
  <c r="E34" i="53" s="1"/>
  <c r="K23" i="51"/>
  <c r="G24" i="53"/>
  <c r="G34" i="53" s="1"/>
  <c r="M23" i="51"/>
  <c r="M55" i="51" s="1"/>
  <c r="F48" i="47"/>
  <c r="G49" i="47" s="1"/>
  <c r="G16" i="38"/>
  <c r="F55" i="47"/>
  <c r="G23" i="38"/>
  <c r="G36" i="47"/>
  <c r="G23" i="47"/>
  <c r="G32" i="47"/>
  <c r="F39" i="47"/>
  <c r="E23" i="38"/>
  <c r="F40" i="47"/>
  <c r="E24" i="38"/>
  <c r="L55" i="51"/>
  <c r="G33" i="47"/>
  <c r="G24" i="47"/>
  <c r="F38" i="47"/>
  <c r="G38" i="47" s="1"/>
  <c r="E22" i="38"/>
  <c r="G34" i="47"/>
  <c r="L57" i="32"/>
  <c r="AL31" i="29"/>
  <c r="AL32" i="29" s="1"/>
  <c r="AM28" i="29"/>
  <c r="AN28" i="29" s="1"/>
  <c r="AM30" i="29"/>
  <c r="AN30" i="29" s="1"/>
  <c r="AM22" i="29"/>
  <c r="AN22" i="29" s="1"/>
  <c r="AM21" i="29"/>
  <c r="AN21" i="29" s="1"/>
  <c r="N57" i="32"/>
  <c r="O144" i="4" l="1"/>
  <c r="R143" i="4"/>
  <c r="F56" i="47"/>
  <c r="G56" i="47" s="1"/>
  <c r="G24" i="38"/>
  <c r="F54" i="47"/>
  <c r="G22" i="38"/>
  <c r="G48" i="47"/>
  <c r="K55" i="51"/>
  <c r="G40" i="47"/>
  <c r="G39" i="47"/>
  <c r="O145" i="4" l="1"/>
  <c r="R144" i="4"/>
  <c r="G54" i="47"/>
  <c r="G55" i="47"/>
  <c r="O146" i="4" l="1"/>
  <c r="R145" i="4"/>
  <c r="O147" i="4" l="1"/>
  <c r="R146" i="4"/>
  <c r="O148" i="4" l="1"/>
  <c r="R147" i="4"/>
  <c r="O149" i="4" l="1"/>
  <c r="R148" i="4"/>
  <c r="AB42" i="29"/>
  <c r="O150" i="4" l="1"/>
  <c r="R149" i="4"/>
  <c r="AD42" i="29"/>
  <c r="AJ42" i="29"/>
  <c r="O151" i="4" l="1"/>
  <c r="R150" i="4"/>
  <c r="AL42" i="29"/>
  <c r="O152" i="4" l="1"/>
  <c r="R151" i="4"/>
  <c r="O153" i="4" l="1"/>
  <c r="R152" i="4"/>
  <c r="S151" i="4"/>
  <c r="E31" i="29"/>
  <c r="O154" i="4" l="1"/>
  <c r="R153" i="4"/>
  <c r="G31" i="29"/>
  <c r="H31" i="29" s="1"/>
  <c r="D42" i="29" s="1"/>
  <c r="F42" i="29" s="1"/>
  <c r="H42" i="29" s="1"/>
  <c r="M31" i="29"/>
  <c r="V76" i="4"/>
  <c r="W76" i="4" s="1"/>
  <c r="AH31" i="46"/>
  <c r="AJ31" i="46" s="1"/>
  <c r="C31" i="46"/>
  <c r="E31" i="46" s="1"/>
  <c r="AR31" i="46"/>
  <c r="AT31" i="46" s="1"/>
  <c r="N31" i="46"/>
  <c r="P31" i="46" s="1"/>
  <c r="X31" i="46"/>
  <c r="Z31" i="46" s="1"/>
  <c r="F31" i="46" l="1"/>
  <c r="I49" i="46"/>
  <c r="O29" i="32" s="1"/>
  <c r="Q31" i="46"/>
  <c r="T49" i="46"/>
  <c r="O33" i="32" s="1"/>
  <c r="O155" i="4"/>
  <c r="R154" i="4"/>
  <c r="AW31" i="46"/>
  <c r="AX49" i="46"/>
  <c r="O41" i="32" s="1"/>
  <c r="AU31" i="46"/>
  <c r="U31" i="29"/>
  <c r="O31" i="29"/>
  <c r="AA31" i="46"/>
  <c r="AD49" i="46"/>
  <c r="O37" i="32" s="1"/>
  <c r="AK31" i="46"/>
  <c r="AN49" i="46"/>
  <c r="AC31" i="46" l="1"/>
  <c r="AE49" i="46"/>
  <c r="O38" i="32" s="1"/>
  <c r="AD31" i="46"/>
  <c r="H32" i="53"/>
  <c r="N39" i="51"/>
  <c r="H28" i="53"/>
  <c r="N31" i="51"/>
  <c r="AM31" i="46"/>
  <c r="AO49" i="46"/>
  <c r="O26" i="32" s="1"/>
  <c r="AN31" i="46"/>
  <c r="AC31" i="29"/>
  <c r="W31" i="29"/>
  <c r="X31" i="29" s="1"/>
  <c r="T42" i="29" s="1"/>
  <c r="V42" i="29" s="1"/>
  <c r="X42" i="29" s="1"/>
  <c r="O25" i="32" s="1"/>
  <c r="H26" i="53"/>
  <c r="N27" i="51"/>
  <c r="P31" i="29"/>
  <c r="L42" i="29" s="1"/>
  <c r="N42" i="29" s="1"/>
  <c r="P42" i="29" s="1"/>
  <c r="O21" i="32" s="1"/>
  <c r="T31" i="46"/>
  <c r="U49" i="46"/>
  <c r="O34" i="32" s="1"/>
  <c r="S31" i="46"/>
  <c r="H30" i="53"/>
  <c r="N35" i="51"/>
  <c r="AY49" i="46"/>
  <c r="O42" i="32" s="1"/>
  <c r="AX31" i="46"/>
  <c r="O156" i="4"/>
  <c r="R155" i="4"/>
  <c r="J49" i="46"/>
  <c r="O30" i="32" s="1"/>
  <c r="I31" i="46"/>
  <c r="H31" i="46"/>
  <c r="H22" i="53" l="1"/>
  <c r="N19" i="51"/>
  <c r="N40" i="51"/>
  <c r="H50" i="53"/>
  <c r="N32" i="51"/>
  <c r="H46" i="53"/>
  <c r="F73" i="47"/>
  <c r="G73" i="47" s="1"/>
  <c r="I25" i="38"/>
  <c r="N23" i="51"/>
  <c r="H24" i="53"/>
  <c r="H44" i="53"/>
  <c r="N28" i="51"/>
  <c r="F105" i="47"/>
  <c r="G105" i="47" s="1"/>
  <c r="M25" i="38"/>
  <c r="F89" i="47"/>
  <c r="G89" i="47" s="1"/>
  <c r="K25" i="38"/>
  <c r="O157" i="4"/>
  <c r="R156" i="4"/>
  <c r="N36" i="51"/>
  <c r="H48" i="53"/>
  <c r="AE31" i="29"/>
  <c r="AK31" i="29"/>
  <c r="AM31" i="29" s="1"/>
  <c r="N24" i="51"/>
  <c r="H42" i="53"/>
  <c r="O58" i="32"/>
  <c r="O25" i="38"/>
  <c r="F121" i="47"/>
  <c r="G121" i="47" s="1"/>
  <c r="AF31" i="29" l="1"/>
  <c r="AF42" i="29"/>
  <c r="AN31" i="29"/>
  <c r="AN42" i="29"/>
  <c r="O17" i="32" s="1"/>
  <c r="H121" i="47"/>
  <c r="I121" i="47" s="1"/>
  <c r="P25" i="38"/>
  <c r="H52" i="53"/>
  <c r="O158" i="4"/>
  <c r="R157" i="4"/>
  <c r="F57" i="47"/>
  <c r="G57" i="47" s="1"/>
  <c r="G25" i="38"/>
  <c r="H89" i="47"/>
  <c r="I89" i="47" s="1"/>
  <c r="L25" i="38"/>
  <c r="F41" i="47"/>
  <c r="G41" i="47" s="1"/>
  <c r="E25" i="38"/>
  <c r="H57" i="47"/>
  <c r="I57" i="47" s="1"/>
  <c r="N56" i="51"/>
  <c r="H25" i="38"/>
  <c r="H105" i="47"/>
  <c r="I105" i="47" s="1"/>
  <c r="N25" i="38"/>
  <c r="J25" i="38"/>
  <c r="H73" i="47"/>
  <c r="I73" i="47" s="1"/>
  <c r="O159" i="4" l="1"/>
  <c r="R158" i="4"/>
  <c r="H20" i="53"/>
  <c r="H34" i="53" s="1"/>
  <c r="N15" i="51"/>
  <c r="O57" i="32"/>
  <c r="AB43" i="29"/>
  <c r="O160" i="4" l="1"/>
  <c r="R159" i="4"/>
  <c r="C25" i="38"/>
  <c r="N55" i="51"/>
  <c r="F25" i="47"/>
  <c r="G25" i="47" s="1"/>
  <c r="AD43" i="29"/>
  <c r="AJ43" i="29"/>
  <c r="O161" i="4" l="1"/>
  <c r="R160" i="4"/>
  <c r="AL43" i="29"/>
  <c r="O162" i="4" l="1"/>
  <c r="R161" i="4"/>
  <c r="O163" i="4" l="1"/>
  <c r="R163" i="4" s="1"/>
  <c r="R162" i="4"/>
  <c r="S163" i="4" l="1"/>
  <c r="E32" i="29"/>
  <c r="V77" i="4" l="1"/>
  <c r="W77" i="4" s="1"/>
  <c r="X32" i="46"/>
  <c r="Z32" i="46" s="1"/>
  <c r="AH32" i="46"/>
  <c r="AJ32" i="46" s="1"/>
  <c r="N32" i="46"/>
  <c r="P32" i="46" s="1"/>
  <c r="AR32" i="46"/>
  <c r="AT32" i="46" s="1"/>
  <c r="C32" i="46"/>
  <c r="E32" i="46" s="1"/>
  <c r="M32" i="29"/>
  <c r="G32" i="29"/>
  <c r="M40" i="53"/>
  <c r="H32" i="29" l="1"/>
  <c r="D43" i="29" s="1"/>
  <c r="F43" i="29" s="1"/>
  <c r="H43" i="29" s="1"/>
  <c r="Q32" i="46"/>
  <c r="T50" i="46"/>
  <c r="O32" i="29"/>
  <c r="U32" i="29"/>
  <c r="I50" i="46"/>
  <c r="F32" i="46"/>
  <c r="AD50" i="46"/>
  <c r="P37" i="32" s="1"/>
  <c r="I30" i="53" s="1"/>
  <c r="AA32" i="46"/>
  <c r="AK32" i="46"/>
  <c r="AN50" i="46"/>
  <c r="AW32" i="46"/>
  <c r="AU32" i="46"/>
  <c r="AX50" i="46"/>
  <c r="P41" i="32" s="1"/>
  <c r="I32" i="53" s="1"/>
  <c r="AM32" i="46" l="1"/>
  <c r="AO50" i="46"/>
  <c r="P26" i="32" s="1"/>
  <c r="AN32" i="46"/>
  <c r="S32" i="46"/>
  <c r="S34" i="46" s="1"/>
  <c r="T32" i="46"/>
  <c r="T34" i="46" s="1"/>
  <c r="U50" i="46"/>
  <c r="P34" i="32" s="1"/>
  <c r="I46" i="53" s="1"/>
  <c r="P32" i="29"/>
  <c r="L43" i="29" s="1"/>
  <c r="N43" i="29" s="1"/>
  <c r="P43" i="29" s="1"/>
  <c r="P21" i="32" s="1"/>
  <c r="I22" i="53" s="1"/>
  <c r="AY50" i="46"/>
  <c r="P42" i="32" s="1"/>
  <c r="I50" i="53" s="1"/>
  <c r="AX32" i="46"/>
  <c r="AC32" i="46"/>
  <c r="AC34" i="46" s="1"/>
  <c r="AD32" i="46"/>
  <c r="AD34" i="46" s="1"/>
  <c r="AE50" i="46"/>
  <c r="P38" i="32" s="1"/>
  <c r="I48" i="53" s="1"/>
  <c r="W32" i="29"/>
  <c r="AC32" i="29"/>
  <c r="J50" i="46"/>
  <c r="P30" i="32" s="1"/>
  <c r="I44" i="53" s="1"/>
  <c r="I32" i="46"/>
  <c r="H32" i="46"/>
  <c r="P29" i="32"/>
  <c r="I26" i="53" s="1"/>
  <c r="P33" i="32"/>
  <c r="I28" i="53" s="1"/>
  <c r="AB49" i="46" l="1"/>
  <c r="AB50" i="46"/>
  <c r="AA49" i="46"/>
  <c r="AA50" i="46"/>
  <c r="Q50" i="46"/>
  <c r="Q49" i="46"/>
  <c r="R50" i="46"/>
  <c r="R49" i="46"/>
  <c r="N40" i="53"/>
  <c r="N50" i="53"/>
  <c r="M50" i="53"/>
  <c r="AE32" i="29"/>
  <c r="AK32" i="29"/>
  <c r="AM32" i="29" s="1"/>
  <c r="X32" i="29"/>
  <c r="T43" i="29" s="1"/>
  <c r="V43" i="29" s="1"/>
  <c r="X43" i="29" s="1"/>
  <c r="P25" i="32" s="1"/>
  <c r="I24" i="53" s="1"/>
  <c r="N48" i="53"/>
  <c r="N46" i="53"/>
  <c r="I42" i="53"/>
  <c r="P58" i="32"/>
  <c r="N44" i="53"/>
  <c r="N42" i="53" l="1"/>
  <c r="N52" i="53" s="1"/>
  <c r="O50" i="53"/>
  <c r="O40" i="51" s="1"/>
  <c r="AN32" i="29"/>
  <c r="AN43" i="29"/>
  <c r="P17" i="32" s="1"/>
  <c r="I52" i="53"/>
  <c r="M42" i="53"/>
  <c r="AF32" i="29"/>
  <c r="AF43" i="29"/>
  <c r="O40" i="53"/>
  <c r="O20" i="51" l="1"/>
  <c r="O42" i="53"/>
  <c r="O24" i="51" s="1"/>
  <c r="P26" i="38"/>
  <c r="H122" i="47"/>
  <c r="I122" i="47" s="1"/>
  <c r="I20" i="53"/>
  <c r="I34" i="53" s="1"/>
  <c r="P57" i="32"/>
  <c r="H42" i="47" l="1"/>
  <c r="I42" i="47" s="1"/>
  <c r="F26" i="38"/>
  <c r="H58" i="47"/>
  <c r="I58" i="47" s="1"/>
  <c r="H26" i="38"/>
  <c r="K20" i="53"/>
  <c r="L20" i="53" s="1"/>
  <c r="M20" i="53" s="1"/>
  <c r="O20" i="53" s="1"/>
  <c r="M34" i="53"/>
  <c r="K34" i="53"/>
  <c r="K30" i="53"/>
  <c r="L30" i="53" s="1"/>
  <c r="M30" i="53" s="1"/>
  <c r="K32" i="53"/>
  <c r="L32" i="53" s="1"/>
  <c r="M32" i="53" s="1"/>
  <c r="O32" i="53" s="1"/>
  <c r="O39" i="51" s="1"/>
  <c r="K26" i="53"/>
  <c r="L26" i="53" s="1"/>
  <c r="M26" i="53" s="1"/>
  <c r="K22" i="53"/>
  <c r="L22" i="53" s="1"/>
  <c r="M22" i="53" s="1"/>
  <c r="O22" i="53" s="1"/>
  <c r="O19" i="51" s="1"/>
  <c r="K28" i="53"/>
  <c r="L28" i="53" s="1"/>
  <c r="M28" i="53" s="1"/>
  <c r="K24" i="53"/>
  <c r="L24" i="53" s="1"/>
  <c r="M24" i="53" s="1"/>
  <c r="O24" i="53" s="1"/>
  <c r="O23" i="51" s="1"/>
  <c r="F42" i="47" l="1"/>
  <c r="G42" i="47" s="1"/>
  <c r="E26" i="38"/>
  <c r="O30" i="53"/>
  <c r="O35" i="51" s="1"/>
  <c r="M48" i="53"/>
  <c r="O48" i="53" s="1"/>
  <c r="O36" i="51" s="1"/>
  <c r="O26" i="53"/>
  <c r="O27" i="51" s="1"/>
  <c r="M44" i="53"/>
  <c r="O28" i="53"/>
  <c r="O31" i="51" s="1"/>
  <c r="M46" i="53"/>
  <c r="O46" i="53" s="1"/>
  <c r="O32" i="51" s="1"/>
  <c r="G26" i="38"/>
  <c r="F58" i="47"/>
  <c r="G58" i="47" s="1"/>
  <c r="O26" i="38"/>
  <c r="F122" i="47"/>
  <c r="G122" i="47" s="1"/>
  <c r="O15" i="51"/>
  <c r="L26" i="38" l="1"/>
  <c r="H90" i="47"/>
  <c r="I90" i="47" s="1"/>
  <c r="H106" i="47"/>
  <c r="I106" i="47" s="1"/>
  <c r="N26" i="38"/>
  <c r="K26" i="38"/>
  <c r="F90" i="47"/>
  <c r="G90" i="47" s="1"/>
  <c r="F106" i="47"/>
  <c r="G106" i="47" s="1"/>
  <c r="M26" i="38"/>
  <c r="C26" i="38"/>
  <c r="F26" i="47"/>
  <c r="G26" i="47" s="1"/>
  <c r="O55" i="51"/>
  <c r="F74" i="47"/>
  <c r="G74" i="47" s="1"/>
  <c r="I26" i="38"/>
  <c r="O34" i="53"/>
  <c r="Q34" i="53" s="1"/>
  <c r="O44" i="53"/>
  <c r="M52" i="53"/>
  <c r="O28" i="51" l="1"/>
  <c r="O52" i="53"/>
  <c r="H74" i="47" l="1"/>
  <c r="I74" i="47" s="1"/>
  <c r="J26" i="38"/>
  <c r="O56" i="51"/>
</calcChain>
</file>

<file path=xl/comments1.xml><?xml version="1.0" encoding="utf-8"?>
<comments xmlns="http://schemas.openxmlformats.org/spreadsheetml/2006/main">
  <authors>
    <author>Author</author>
  </authors>
  <commentList>
    <comment ref="F39" authorId="0" shapeId="0">
      <text>
        <r>
          <rPr>
            <b/>
            <sz val="9"/>
            <color indexed="81"/>
            <rFont val="Tahoma"/>
            <family val="2"/>
          </rPr>
          <t>Author:</t>
        </r>
        <r>
          <rPr>
            <sz val="9"/>
            <color indexed="81"/>
            <rFont val="Tahoma"/>
            <family val="2"/>
          </rPr>
          <t xml:space="preserve">
Where the measured cumulative CDM savings do not meet the 2011-14 target, the cell value will be shown in red. This is for information purposes only in the application.</t>
        </r>
      </text>
    </comment>
    <comment ref="B117" authorId="0" shapeId="0">
      <text>
        <r>
          <rPr>
            <b/>
            <sz val="9"/>
            <color indexed="81"/>
            <rFont val="Tahoma"/>
            <family val="2"/>
          </rPr>
          <t>Author:</t>
        </r>
        <r>
          <rPr>
            <sz val="9"/>
            <color indexed="81"/>
            <rFont val="Tahoma"/>
            <family val="2"/>
          </rPr>
          <t xml:space="preserve">
Value will be entered in one of B118 or C118, depending on the test year for the distributor's last rebasing.</t>
        </r>
      </text>
    </comment>
  </commentList>
</comments>
</file>

<file path=xl/connections.xml><?xml version="1.0" encoding="utf-8"?>
<connections xmlns="http://schemas.openxmlformats.org/spreadsheetml/2006/main">
  <connection id="1" name="M2006-SSS-MKT" type="6" refreshedVersion="3" background="1" saveData="1">
    <textPr codePage="437" sourceFile="S:\Rate Application Data\M2006-SSS-MKT.TXT" delimited="0">
      <textFields count="9">
        <textField/>
        <textField position="59"/>
        <textField position="79"/>
        <textField position="94"/>
        <textField position="123"/>
        <textField position="126"/>
        <textField position="130"/>
        <textField position="147"/>
        <textField position="155"/>
      </textFields>
    </textPr>
  </connection>
</connections>
</file>

<file path=xl/sharedStrings.xml><?xml version="1.0" encoding="utf-8"?>
<sst xmlns="http://schemas.openxmlformats.org/spreadsheetml/2006/main" count="1225" uniqueCount="455">
  <si>
    <t>Connections</t>
  </si>
  <si>
    <t>HDD</t>
  </si>
  <si>
    <t>CDD</t>
  </si>
  <si>
    <t>Date</t>
  </si>
  <si>
    <t>Geomean</t>
  </si>
  <si>
    <t>Growth Rate</t>
  </si>
  <si>
    <t>Residential</t>
  </si>
  <si>
    <t>Regression Statistics</t>
  </si>
  <si>
    <t>Multiple R</t>
  </si>
  <si>
    <t>R Square</t>
  </si>
  <si>
    <t>Adjusted R Square</t>
  </si>
  <si>
    <t>Standard Error</t>
  </si>
  <si>
    <t>Observations</t>
  </si>
  <si>
    <t>ANOVA</t>
  </si>
  <si>
    <t>Regression</t>
  </si>
  <si>
    <t>Residual</t>
  </si>
  <si>
    <t>Total</t>
  </si>
  <si>
    <t>Intercept</t>
  </si>
  <si>
    <t>df</t>
  </si>
  <si>
    <t>SS</t>
  </si>
  <si>
    <t>MS</t>
  </si>
  <si>
    <t>F</t>
  </si>
  <si>
    <t>Significance F</t>
  </si>
  <si>
    <t>Coefficients</t>
  </si>
  <si>
    <t>t Stat</t>
  </si>
  <si>
    <t>P-value</t>
  </si>
  <si>
    <t>Lower 95%</t>
  </si>
  <si>
    <t>Upper 95%</t>
  </si>
  <si>
    <t>Lower 95.0%</t>
  </si>
  <si>
    <t>Upper 95.0%</t>
  </si>
  <si>
    <t xml:space="preserve"> </t>
  </si>
  <si>
    <t>Adjusted</t>
  </si>
  <si>
    <t>Yearly Total</t>
  </si>
  <si>
    <t>Year</t>
  </si>
  <si>
    <t>Weather Normal</t>
  </si>
  <si>
    <t>Customer</t>
  </si>
  <si>
    <t>kWh</t>
  </si>
  <si>
    <t>kW</t>
  </si>
  <si>
    <t>Per customer</t>
  </si>
  <si>
    <t>Added Load</t>
  </si>
  <si>
    <t>New Customer</t>
  </si>
  <si>
    <t>KW/kWh Ratio</t>
  </si>
  <si>
    <t>Non-Weather Sensitive</t>
  </si>
  <si>
    <t>kWh Purchased</t>
  </si>
  <si>
    <t>Weather Sensitive Load</t>
  </si>
  <si>
    <t>year over year</t>
  </si>
  <si>
    <t>Purch. VS Adj.</t>
  </si>
  <si>
    <t>Mean Average Percentage Error (Mape) :</t>
  </si>
  <si>
    <t>per cust kWh</t>
  </si>
  <si>
    <t>Cust</t>
  </si>
  <si>
    <t>4 Year (2011-2014) kWh Target:</t>
  </si>
  <si>
    <t>2011 CDM Programs</t>
  </si>
  <si>
    <t>2012 CDM Programs</t>
  </si>
  <si>
    <t>2013 CDM Programs</t>
  </si>
  <si>
    <t>2014 CDM Programs</t>
  </si>
  <si>
    <t>Total in Year</t>
  </si>
  <si>
    <t>"Gross"</t>
  </si>
  <si>
    <t>"Net"</t>
  </si>
  <si>
    <t>Difference</t>
  </si>
  <si>
    <t xml:space="preserve">Average per customer </t>
  </si>
  <si>
    <t>Share</t>
  </si>
  <si>
    <t>Target</t>
  </si>
  <si>
    <t>%chg</t>
  </si>
  <si>
    <t>Median</t>
  </si>
  <si>
    <t xml:space="preserve">Notes: </t>
  </si>
  <si>
    <r>
      <t xml:space="preserve">Consumption should reflect usage in the month, </t>
    </r>
    <r>
      <rPr>
        <b/>
        <u/>
        <sz val="11"/>
        <rFont val="Arial"/>
        <family val="2"/>
      </rPr>
      <t>not the month in which it was billed</t>
    </r>
    <r>
      <rPr>
        <b/>
        <sz val="11"/>
        <rFont val="Arial"/>
        <family val="2"/>
      </rPr>
      <t xml:space="preserve"> (e.g what was used in January not what was billed in January, etc.).</t>
    </r>
  </si>
  <si>
    <t>4) Number of customers is defined as number of connections (i.e., meters). Add or delete rate classes as appropriate.</t>
  </si>
  <si>
    <t>2) "Metered" or Class consumption is monthly usage measured at the retail meter, unadjusted for losses (i.e., the retail consumption amount)</t>
  </si>
  <si>
    <t xml:space="preserve">1) "Wholesale" purchases are purchases measured at the wholesale meter. </t>
  </si>
  <si>
    <t>3) "Consumed" consumption (retail) is the uplifted consumption billed</t>
  </si>
  <si>
    <t>Net-to-Gross Conversion</t>
  </si>
  <si>
    <t>Is CDM adjustment being done on a "net" or "gross" basis?</t>
  </si>
  <si>
    <t>net</t>
  </si>
  <si>
    <t>"Net-to-Gross" Conversion Factor</t>
  </si>
  <si>
    <t>Persistence of Historical CDM programs to 2014</t>
  </si>
  <si>
    <t>('g')</t>
  </si>
  <si>
    <t>2006-2010 CDM programs</t>
  </si>
  <si>
    <t>2011 CDM program</t>
  </si>
  <si>
    <t>2012 CDM program</t>
  </si>
  <si>
    <t>The default values represent the factor that each year's CDM program is factored into the manual CDM adjustment.  Distributors can choose alternative weights of "0", "0.5" or "1" from the drop-down menu for each cell, but must support its alternatives.</t>
  </si>
  <si>
    <t>These factors do not mean that CDM programs are excluded, but also reflect the assumption that impacts of 2011 and 2012 programs are already implicitly reflected in the actual data for those years that are the basis for the load forecast prior to any manual CDM adjustment.</t>
  </si>
  <si>
    <t>Weight Factor for Inclusion in CDM Adjustment to 2014 Load Forecast</t>
  </si>
  <si>
    <t>Weight Factor for each year's CDM program impact on 2014 load forecast</t>
  </si>
  <si>
    <t xml:space="preserve">Default Value selection rationale.  </t>
  </si>
  <si>
    <t>Amount used for CDM threshold for LRAMVA (2014)</t>
  </si>
  <si>
    <t>2015</t>
  </si>
  <si>
    <t>Customer Growth Chart</t>
  </si>
  <si>
    <t>Sentinel Lighting</t>
  </si>
  <si>
    <t xml:space="preserve">Utility Name   </t>
  </si>
  <si>
    <t>Service Territory</t>
  </si>
  <si>
    <t>Assigned EB Number</t>
  </si>
  <si>
    <t>Name of Contact and Title</t>
  </si>
  <si>
    <t xml:space="preserve">Phone Number   </t>
  </si>
  <si>
    <t xml:space="preserve">Email Address   </t>
  </si>
  <si>
    <t>Bridge Year</t>
  </si>
  <si>
    <t>Test Year</t>
  </si>
  <si>
    <t>Last Rebasing Year</t>
  </si>
  <si>
    <t>Customer Class Name</t>
  </si>
  <si>
    <t>General Service &lt; 50 kW</t>
  </si>
  <si>
    <t>Regression Analysis</t>
  </si>
  <si>
    <t>kW and Non-Weather Sensitive Load</t>
  </si>
  <si>
    <t>Consumption by Rate Class</t>
  </si>
  <si>
    <t>LDC Info</t>
  </si>
  <si>
    <t>Weather Adjusted Load Forecast Results</t>
  </si>
  <si>
    <t>Streetlighting</t>
  </si>
  <si>
    <t>Unmetered Scattered Load</t>
  </si>
  <si>
    <t>other</t>
  </si>
  <si>
    <t>Montth</t>
  </si>
  <si>
    <t>December</t>
  </si>
  <si>
    <t>September</t>
  </si>
  <si>
    <t>October</t>
  </si>
  <si>
    <t>November</t>
  </si>
  <si>
    <t>January</t>
  </si>
  <si>
    <t>February</t>
  </si>
  <si>
    <t>March</t>
  </si>
  <si>
    <t>April</t>
  </si>
  <si>
    <t>May</t>
  </si>
  <si>
    <t>June</t>
  </si>
  <si>
    <t>July</t>
  </si>
  <si>
    <t>August</t>
  </si>
  <si>
    <t>Customers or Connections</t>
  </si>
  <si>
    <t>Unadjusted</t>
  </si>
  <si>
    <t>Unadjusted Wholesale Purchases kWh</t>
  </si>
  <si>
    <t>Revised Wholesale Purchases</t>
  </si>
  <si>
    <t>Variables Used</t>
  </si>
  <si>
    <t>Note: Statistically, MAPE is defined as the average of percentage errors</t>
  </si>
  <si>
    <t>Weather-Sensitive</t>
  </si>
  <si>
    <t>Energy (kWh) Weather Sensitive / Non-weather sensitive</t>
  </si>
  <si>
    <t>Demand (kW) Weather Sensitive / Non-weather sensitive</t>
  </si>
  <si>
    <t>n/a</t>
  </si>
  <si>
    <t>Note: The model computes an average customer count. Utility may chose to overwrite the customer/connection count if a year end count is more appropriate.</t>
  </si>
  <si>
    <t>Cust/Conn</t>
  </si>
  <si>
    <t>per cust kW</t>
  </si>
  <si>
    <t>Customer Count</t>
  </si>
  <si>
    <t>Spring Fall Flag</t>
  </si>
  <si>
    <t>Summary of Variables</t>
  </si>
  <si>
    <t>Adjustments to Wholesale Purchases (i.e. CDM, Loss of customer etc)</t>
  </si>
  <si>
    <t>Jan</t>
  </si>
  <si>
    <t>Feb</t>
  </si>
  <si>
    <t>Mar</t>
  </si>
  <si>
    <t>Apr</t>
  </si>
  <si>
    <t>Jun</t>
  </si>
  <si>
    <t>Jul</t>
  </si>
  <si>
    <t>Aug</t>
  </si>
  <si>
    <t>Sept</t>
  </si>
  <si>
    <t>Nov</t>
  </si>
  <si>
    <t>Dec</t>
  </si>
  <si>
    <t>Oct</t>
  </si>
  <si>
    <t>Weather Normalized</t>
  </si>
  <si>
    <t>Variables</t>
  </si>
  <si>
    <t>Customer Classes</t>
  </si>
  <si>
    <t>Wholesale Purchases</t>
  </si>
  <si>
    <t>Ratio%    *</t>
  </si>
  <si>
    <t>Residential Metered kWh</t>
  </si>
  <si>
    <t>GS&lt;50 Metered kWh</t>
  </si>
  <si>
    <t>GS&gt;50 Metered kWh</t>
  </si>
  <si>
    <t>* the model uses metered per class to determine the wholesale per class</t>
  </si>
  <si>
    <t>Days in Month</t>
  </si>
  <si>
    <t>SUMMARY OUTPUT</t>
  </si>
  <si>
    <t>FINAL ADJUSTED NUMBERS</t>
  </si>
  <si>
    <t>Per Customer Weather Normalized (based on 2014 cust count)</t>
  </si>
  <si>
    <t>Total for 2015</t>
  </si>
  <si>
    <t>Avg - Years =</t>
  </si>
  <si>
    <t>Summary of Years (Average)</t>
  </si>
  <si>
    <t>Total Customers</t>
  </si>
  <si>
    <t>GDP</t>
  </si>
  <si>
    <t>kWh Predicted Vs. Actual</t>
  </si>
  <si>
    <t>FORECAST METHODOLOGY</t>
  </si>
  <si>
    <t>Note: the median is the numerical value separating the higher half of a data sample, from the lower half</t>
  </si>
  <si>
    <t xml:space="preserve">Average </t>
  </si>
  <si>
    <t>Utility Adjusted Customer Growth %</t>
  </si>
  <si>
    <t>Forecasting Calculation Methodology</t>
  </si>
  <si>
    <r>
      <t xml:space="preserve">Enter </t>
    </r>
    <r>
      <rPr>
        <b/>
        <sz val="10"/>
        <rFont val="Helvetica"/>
        <family val="2"/>
      </rPr>
      <t>Only</t>
    </r>
    <r>
      <rPr>
        <sz val="10"/>
        <rFont val="Helvetica"/>
        <family val="2"/>
      </rPr>
      <t xml:space="preserve"> Customer Clasess in which Distribution Volumetric is billed in </t>
    </r>
    <r>
      <rPr>
        <b/>
        <u/>
        <sz val="10"/>
        <rFont val="Helvetica"/>
        <family val="2"/>
      </rPr>
      <t>kWh</t>
    </r>
  </si>
  <si>
    <r>
      <t xml:space="preserve">Enter </t>
    </r>
    <r>
      <rPr>
        <b/>
        <sz val="10"/>
        <rFont val="Helvetica"/>
        <family val="2"/>
      </rPr>
      <t>Only</t>
    </r>
    <r>
      <rPr>
        <sz val="10"/>
        <rFont val="Helvetica"/>
        <family val="2"/>
      </rPr>
      <t xml:space="preserve"> Customer Clasess in which Distribution Volumetric is billed in </t>
    </r>
    <r>
      <rPr>
        <b/>
        <u/>
        <sz val="10"/>
        <rFont val="Helvetica"/>
        <family val="2"/>
      </rPr>
      <t>kW</t>
    </r>
  </si>
  <si>
    <t>Customers &amp; Connections</t>
  </si>
  <si>
    <t>In the section below, LDCs can adjust the computed customer count for the Bridge and Test Year for special circumstance such as new subdivision or loss of customer or other utility specific reasons.</t>
  </si>
  <si>
    <t>Load corrected for Utility Growth based on utility input</t>
  </si>
  <si>
    <t>Load Growth Corrected</t>
  </si>
  <si>
    <t>Yes</t>
  </si>
  <si>
    <t>No</t>
  </si>
  <si>
    <t>Does Your Utility need to Adjust for Load Correct Growth?</t>
  </si>
  <si>
    <t>kWh per connection</t>
  </si>
  <si>
    <t>KW per connection</t>
  </si>
  <si>
    <t>Customer/ Connection</t>
  </si>
  <si>
    <t>Average kWh</t>
  </si>
  <si>
    <t>Average kW</t>
  </si>
  <si>
    <t>Total kWh</t>
  </si>
  <si>
    <t>Total kW</t>
  </si>
  <si>
    <t>Growth Corrected?</t>
  </si>
  <si>
    <t>Growth Corrected</t>
  </si>
  <si>
    <t>Note: This worksheet uses average actual usage for customer load, and not weather normalized used in worksheet 7. Weather Sensitive Class</t>
  </si>
  <si>
    <t>WN</t>
  </si>
  <si>
    <t>-</t>
  </si>
  <si>
    <t>Class Selection</t>
  </si>
  <si>
    <t>General Service &lt; 50 kW-WN</t>
  </si>
  <si>
    <t>Residential-WN</t>
  </si>
  <si>
    <t>2015-2020 CDM Program - 2015, first year of the current CDM plan</t>
  </si>
  <si>
    <t>For the first year of the new 2015-2020 CDM plan, it is assumed that each year's program will achieve an equal amount of new CDM savings.  The new targets for 2015-2020 do not take into account persistence beyond the first year, but the OPA will encourage distributors to promote and implement  CDM plans that will have longer term persistence of savings.  This results in each year's program being about 1/6 (18.67%) of the cumulative 2015-2020 CDM target for kWh savings.  A distributor may propose an alternative approach but would be expected to document in its application why it believes that its proposal is more reasonable.  In its proposal, the distributor should ensure that the sum of the results for each year's CDM program from 2015 to 2020 add up to its 2015-2020 CDM target as established by the OPA.</t>
  </si>
  <si>
    <t>6 Year (2015-2020) kWh Target:</t>
  </si>
  <si>
    <t>%</t>
  </si>
  <si>
    <t>2015 CDM Programs</t>
  </si>
  <si>
    <t>2016 CDM Programs</t>
  </si>
  <si>
    <t>2017 CDM Programs</t>
  </si>
  <si>
    <t>2018 CDM Programs</t>
  </si>
  <si>
    <t>2019 CDM Programs</t>
  </si>
  <si>
    <t>2020 CDM Programs</t>
  </si>
  <si>
    <t>Determination of 2015 Load Forecast Adjustment</t>
  </si>
  <si>
    <t>The Board has determined that the "net" number should be used in its Decision and Order with respect to Centre Wellington Hydro Ltd.'s 2013 Cost of Service rates (EB-2012-0113).  This approach has also been used in Settlement Agreements accepted by the Board in other 2013 and 2-14 applications.  The distributor should select whether the adjustment is done on a "net" or "gross" basis, but must support a proposal for the adjustment being done on a "gross" basis.  Sheet 2-I defaults to the adjustment being done on a "net" basis consistent with Board policy and practice.</t>
  </si>
  <si>
    <t>From each of the 2006-2010 CDM Final Report,  and the 2011, 2012 and 2013 CDM Final Reports, issued by the OPA for the distributor, the distributor should input the "gross" and "net" results of the cumulative CDM savings for 2014 into cells D31 to E33.  The model will calculate the cumulative savings for all programs from 2006 to 2012 and determine the "net" to "gross" factor "g".</t>
  </si>
  <si>
    <t>2013 CDM program</t>
  </si>
  <si>
    <t>2006 to 2013 OPA CDM programs:  Persistence to 2015</t>
  </si>
  <si>
    <t>Load Forecast CDM Adjustment Work Form (2015)</t>
  </si>
  <si>
    <t>2011-2014 CDM Program - 2014, last year of the current CDM plan</t>
  </si>
  <si>
    <t>Distributor can select "0", "0.5", or "1" from drop-down list</t>
  </si>
  <si>
    <t>Full year persistence of 2011 CDM programs on 2015 load forecast.  Full impact assumed because of 50% impact in 2011 (first year) but full year persistence impact on 2012 and 2013, and thus reflected in base forecast before the CDM adjustment.</t>
  </si>
  <si>
    <t>Full year persistence of 2012 CDM programs on 2015 load forecast.  Full impact assumed because of 50% impact in 2012 (first year) but full year persistence impact on 2013, and thus reflected in base forecast before the CDM adjustment.</t>
  </si>
  <si>
    <t>Full year impact of persistence of 2013 CDM programs on 2015 load forecast, but 50% impact in base forecast (first year impact of 2013 CDM programs on 2013 load forecast, which is part of the data for the load forecast.</t>
  </si>
  <si>
    <t>Full year impact of persistence of 2014 programs on 2015 load forecast.  2014 CDM programs not in base forecast.</t>
  </si>
  <si>
    <t>Only 50% of 2015 CDM programs are assumed to impact the 2015 load forecast based on the "half-year" rule.</t>
  </si>
  <si>
    <t>2011-2014 and 2015-2020 LRAMVA and 2015 CDM adjustment to Load Forecast</t>
  </si>
  <si>
    <t>The distributor should determine the allocation of the savings to all customer classes in a reasonable manner (e.g. taking into account what programs and what OPA-measured impacts were directed at specific customer classes), for both the LRAMVA and for the load forecast adjustment.</t>
  </si>
  <si>
    <t>Total for 2014</t>
  </si>
  <si>
    <t>2011 CDM adjustment (per Board Decision in 2011 Cost of Service Application)</t>
  </si>
  <si>
    <t>Amount used for CDM threshold for LRAMVA (2015)</t>
  </si>
  <si>
    <t>Manual Adjustment for 2015 Load Forecast (billed basis)</t>
  </si>
  <si>
    <t>CDM Allocation Worksheet</t>
  </si>
  <si>
    <t xml:space="preserve"> Adjusted load from 2015 Forecast</t>
  </si>
  <si>
    <t>This Work form was developed to help determine what would be the amount of CDM savings needed in each year to cumulatively achieve the four year 2011-2014 CDM target.  This then determined the amount of kWh (and with translation, kW of demand) savings that were converted in dollars balances for the LRAMVA, and also to determine the related adjustment to the load forecast to account for OPA-reported savings.  Beginning for the 2015 year, it has been adjusted because of the persistence of 2011-2014 CDM programs will be an adjustment to the load forecast in addition to the estimated savings for the first year (2015) for the new 2015-2020 CDM plan.</t>
  </si>
  <si>
    <t>CDM Allocation</t>
  </si>
  <si>
    <t xml:space="preserve">Adjusted (kWh) </t>
  </si>
  <si>
    <t xml:space="preserve"> Adjusted (kWh) </t>
  </si>
  <si>
    <t>Manual Reallocation</t>
  </si>
  <si>
    <t>Final Adjusted (kWh)</t>
  </si>
  <si>
    <t xml:space="preserve"> S/b Zero</t>
  </si>
  <si>
    <t>Final Load Forecast Results - CDM Adjusted</t>
  </si>
  <si>
    <t>Adjusted kWh</t>
  </si>
  <si>
    <t>Linear Trending</t>
  </si>
  <si>
    <t>Linear Trending Calculation ( y=mx+b)</t>
  </si>
  <si>
    <t>Slope (m)</t>
  </si>
  <si>
    <t>Intercept (b)</t>
  </si>
  <si>
    <t>Non-WN/kW</t>
  </si>
  <si>
    <t>Streetlighting-Non-WN/kW</t>
  </si>
  <si>
    <t>Sentinel Lighting-Non-WN/kW</t>
  </si>
  <si>
    <t>Number of Days in Month</t>
  </si>
  <si>
    <t>1995</t>
  </si>
  <si>
    <t>kWH Forecasted Purchases</t>
  </si>
  <si>
    <t>Adjustment</t>
  </si>
  <si>
    <t xml:space="preserve">1) Utilities will have the choice to manually adjust the projected growth in the bridge and test years if it is felt that the Geomean average does not represent forecasted growth. </t>
  </si>
  <si>
    <t xml:space="preserve">1) Enter Variables here that will be used to run the regression analysis in worksheet 6. WS Regression Analysis ( Maximum 6 variables)
"Wholesale" purchases are purchases measured at the wholesale meter. </t>
  </si>
  <si>
    <t xml:space="preserve">Note: Your final regression analysis does not need to include all six of the variables 
Note: Your final regression analysis does not need to include all six of the variables 
</t>
  </si>
  <si>
    <t xml:space="preserve">1) Update Wholesale Purchases. </t>
  </si>
  <si>
    <t>2) Use drop down lists to select the variables inputted from 5.Variable Worksheet and  Select Forecast Methodology</t>
  </si>
  <si>
    <t>3) Run Regression -&gt; Data -&gt; Data Analysis - &gt; Regression</t>
  </si>
  <si>
    <t xml:space="preserve">1) Examples of Correlation and Regression Results can be copied over from worksheet 6. WS Regression Analysis
Update Wholesale Purchases. </t>
  </si>
  <si>
    <t xml:space="preserve">2) This page will be overwrite by utilities specific studies
</t>
  </si>
  <si>
    <t>Scenarios</t>
  </si>
  <si>
    <t xml:space="preserve">1) Please Select Only the Weather Sensitive Customer Classes from the Drop Down List ( Include GS&gt;50 kW customers) </t>
  </si>
  <si>
    <t xml:space="preserve">2) Select if you need to manually adjust for Load Growth or not - i.e. if this was not captured through the regression analysis (this can be verified by a quick calculation, comparing weather normal kwh purchases/forecasted customer totals for the forecast year)-
</t>
  </si>
  <si>
    <t xml:space="preserve">1) Please Select All Customers billed Distribution Volumetric Rates by kW. </t>
  </si>
  <si>
    <t xml:space="preserve">2) Please update the Average Years that is used to calculate an average kW/kWh ratio and forecast kW's
</t>
  </si>
  <si>
    <t xml:space="preserve">3) If required, A Distributor may manually adjust kWh's - i.e. Wholesale Market Participant might not have been reflected through Regression for Large Customers ( Distributor must support decision)
</t>
  </si>
  <si>
    <t xml:space="preserve">4) Select if you need to manually adjust for Load Growth or not - i.e. if this was not captured through the regression analysis (Distributor must support decision)
</t>
  </si>
  <si>
    <t xml:space="preserve">1) Use the drop down selections to select the appropriate customer classes. </t>
  </si>
  <si>
    <t xml:space="preserve">1) Use this sheet to allocate Projected CDM Savings for the Test Year
. </t>
  </si>
  <si>
    <t xml:space="preserve">2) Reallocate CDM savings to specific classes if required ( Distributers must support reallocation) </t>
  </si>
  <si>
    <t xml:space="preserve">Note: This sheet is linked from Worksheet 10.CDM Adjustments
</t>
  </si>
  <si>
    <t>2010</t>
  </si>
  <si>
    <t>General Service &gt; 50 kW - 4999 kW</t>
  </si>
  <si>
    <t>Employment Stats</t>
  </si>
  <si>
    <t>General Service &gt; 50 kW - 4999 kW-Non-WN/kW</t>
  </si>
  <si>
    <t>0-Non-WN/kW</t>
  </si>
  <si>
    <t>Winter Flag</t>
  </si>
  <si>
    <t xml:space="preserve">Load Forecast Model version 1.0 © CHEC </t>
  </si>
  <si>
    <t>Input cells</t>
  </si>
  <si>
    <t>Drop down cells</t>
  </si>
  <si>
    <t>Model Notes</t>
  </si>
  <si>
    <t>Unmetered Scattered Load-Non-WN/kW</t>
  </si>
  <si>
    <t>Ottawa River Power Corporation</t>
  </si>
  <si>
    <t>EB-2014-0000</t>
  </si>
  <si>
    <t>Adjustment for loss of comemrcial customer #1</t>
  </si>
  <si>
    <t>Adjustment for loss of commercial customer #2</t>
  </si>
  <si>
    <t>#chg</t>
  </si>
  <si>
    <t>Months/Season</t>
  </si>
  <si>
    <t>Consumption</t>
  </si>
  <si>
    <t>2013-September</t>
  </si>
  <si>
    <t>2005-October</t>
  </si>
  <si>
    <t>2009-November</t>
  </si>
  <si>
    <t>2008-January</t>
  </si>
  <si>
    <t>2012-September</t>
  </si>
  <si>
    <t>2009-June</t>
  </si>
  <si>
    <t>2006-October</t>
  </si>
  <si>
    <t>2007-March</t>
  </si>
  <si>
    <t>2008-May</t>
  </si>
  <si>
    <t>2013-October</t>
  </si>
  <si>
    <t>2009-August</t>
  </si>
  <si>
    <t>2011-February</t>
  </si>
  <si>
    <t>2010-September</t>
  </si>
  <si>
    <t>2006-May</t>
  </si>
  <si>
    <t>2007-April</t>
  </si>
  <si>
    <t>2008-March</t>
  </si>
  <si>
    <t>2012-October</t>
  </si>
  <si>
    <t>2010-August</t>
  </si>
  <si>
    <t>2011-April</t>
  </si>
  <si>
    <t>2006-March</t>
  </si>
  <si>
    <t>2008-April</t>
  </si>
  <si>
    <t>2004-September</t>
  </si>
  <si>
    <t>2011-July</t>
  </si>
  <si>
    <t>2012-February</t>
  </si>
  <si>
    <t>2013-May</t>
  </si>
  <si>
    <t>2005-September</t>
  </si>
  <si>
    <t>2005-July</t>
  </si>
  <si>
    <t>2005-March</t>
  </si>
  <si>
    <t>2010-June</t>
  </si>
  <si>
    <t>2004-July</t>
  </si>
  <si>
    <t>2005-April</t>
  </si>
  <si>
    <t>2012-January</t>
  </si>
  <si>
    <t>2008-June</t>
  </si>
  <si>
    <t>2006-June</t>
  </si>
  <si>
    <t>2010-November</t>
  </si>
  <si>
    <t>2005-February</t>
  </si>
  <si>
    <t>2009-September</t>
  </si>
  <si>
    <t>2008-October</t>
  </si>
  <si>
    <t>2004-April</t>
  </si>
  <si>
    <t>2004-February</t>
  </si>
  <si>
    <t>2013-June</t>
  </si>
  <si>
    <t>2004-May</t>
  </si>
  <si>
    <t>2013-November</t>
  </si>
  <si>
    <t>2006-December</t>
  </si>
  <si>
    <t>2006-September</t>
  </si>
  <si>
    <t>2005-May</t>
  </si>
  <si>
    <t>2005-November</t>
  </si>
  <si>
    <t>2009-December</t>
  </si>
  <si>
    <t>2008-September</t>
  </si>
  <si>
    <t>2007-August</t>
  </si>
  <si>
    <t>2012-November</t>
  </si>
  <si>
    <t>2007-January</t>
  </si>
  <si>
    <t>2004-June</t>
  </si>
  <si>
    <t>2004-August</t>
  </si>
  <si>
    <t>2012-August</t>
  </si>
  <si>
    <t>2007-February</t>
  </si>
  <si>
    <t>2011-October</t>
  </si>
  <si>
    <t>2007-June</t>
  </si>
  <si>
    <t>2006-November</t>
  </si>
  <si>
    <t>2006-January</t>
  </si>
  <si>
    <t>2009-July</t>
  </si>
  <si>
    <t>2010-October</t>
  </si>
  <si>
    <t>2006-July</t>
  </si>
  <si>
    <t>2006-February</t>
  </si>
  <si>
    <t>2007-October</t>
  </si>
  <si>
    <t>2007-September</t>
  </si>
  <si>
    <t>2009-March</t>
  </si>
  <si>
    <t>2011-December</t>
  </si>
  <si>
    <t>2008-July</t>
  </si>
  <si>
    <t>2011-June</t>
  </si>
  <si>
    <t>2005-June</t>
  </si>
  <si>
    <t>2009-February</t>
  </si>
  <si>
    <t>2010-April</t>
  </si>
  <si>
    <t>2011-November</t>
  </si>
  <si>
    <t>2011-March</t>
  </si>
  <si>
    <t>2010-December</t>
  </si>
  <si>
    <t>2012-May</t>
  </si>
  <si>
    <t>2005-August</t>
  </si>
  <si>
    <t>2008-November</t>
  </si>
  <si>
    <t>2005-December</t>
  </si>
  <si>
    <t>2007-May</t>
  </si>
  <si>
    <t>2007-July</t>
  </si>
  <si>
    <t>2010-July</t>
  </si>
  <si>
    <t>2008-December</t>
  </si>
  <si>
    <t>2004-October</t>
  </si>
  <si>
    <t>2013-August</t>
  </si>
  <si>
    <t>2013-March</t>
  </si>
  <si>
    <t>2013-January</t>
  </si>
  <si>
    <t>2013-April</t>
  </si>
  <si>
    <t>2012-July</t>
  </si>
  <si>
    <t>2012-March</t>
  </si>
  <si>
    <t>2011-January</t>
  </si>
  <si>
    <t>2006-August</t>
  </si>
  <si>
    <t>2006-April</t>
  </si>
  <si>
    <t>2010-February</t>
  </si>
  <si>
    <t>2010-January</t>
  </si>
  <si>
    <t>2009-May</t>
  </si>
  <si>
    <t>2012-June</t>
  </si>
  <si>
    <t>2004-March</t>
  </si>
  <si>
    <t>2007-December</t>
  </si>
  <si>
    <t>2011-May</t>
  </si>
  <si>
    <t>2009-October</t>
  </si>
  <si>
    <t>2012-December</t>
  </si>
  <si>
    <t>2009-January</t>
  </si>
  <si>
    <t>2011-September</t>
  </si>
  <si>
    <t>2013-July</t>
  </si>
  <si>
    <t>2004-November</t>
  </si>
  <si>
    <t>2004-December</t>
  </si>
  <si>
    <t>2010-May</t>
  </si>
  <si>
    <t>2009-April</t>
  </si>
  <si>
    <t>2007-November</t>
  </si>
  <si>
    <t>2013-December</t>
  </si>
  <si>
    <t>2011-August</t>
  </si>
  <si>
    <t>2010-March</t>
  </si>
  <si>
    <t>2008-February</t>
  </si>
  <si>
    <t>2004-January</t>
  </si>
  <si>
    <t>2012-April</t>
  </si>
  <si>
    <t>2008-August</t>
  </si>
  <si>
    <t>2013-February</t>
  </si>
  <si>
    <t>2005-January</t>
  </si>
  <si>
    <t>Winter months</t>
  </si>
  <si>
    <t>Summer Months</t>
  </si>
  <si>
    <t>Spring Months</t>
  </si>
  <si>
    <t>Fall Months</t>
  </si>
  <si>
    <t>Holiday Months</t>
  </si>
  <si>
    <t>Jane Donnelly</t>
  </si>
  <si>
    <t>2016</t>
  </si>
  <si>
    <t>X Variable 1</t>
  </si>
  <si>
    <t>X Variable 2</t>
  </si>
  <si>
    <t>X Variable 3</t>
  </si>
  <si>
    <t>X Variable 4</t>
  </si>
  <si>
    <t>X Variable 5</t>
  </si>
  <si>
    <t>WinterFlag</t>
  </si>
  <si>
    <t>Days in Months</t>
  </si>
  <si>
    <t>Load Forecast CDM Adjustment Work Form (2016)</t>
  </si>
  <si>
    <r>
      <t>2014 is the last year of the current four year (2011-2014) CDM program, and 2015 is the first year of a new six year (2015-2020) CDM program, per the Ministerial directives of March 31</t>
    </r>
    <r>
      <rPr>
        <sz val="10"/>
        <rFont val="Arial"/>
        <family val="2"/>
      </rPr>
      <t xml:space="preserve">, 2014.  With 2016, there is a need to recognize the full year impact of the current 2011-2014 CDM program, as well as to estimate reasonable impacts for each year for the new 2015-2020 CDM program.  These are combined to estimate the adjustment for CDM program impacts on the 2016 load forecast.  </t>
    </r>
  </si>
  <si>
    <t>Appendix 2-I was developed to help determine what would be the amount of CDM savings needed in each year to cumulatively achieve the four year 2011-2014 CDM target.  This then determined the amount of kWh (and with translation, kW of demand) savings that were converted in dollars balances for the LRAMVA, and also to determine the related adjustment to the load forecast to account for OPA-reported savings.  Beginning for the 2015 year, it has been adjusted because of the persistence of 2011-2014 CDM programs will be an adjustment to the load forecast in addition to the estimated savings for the first year (2015) for the new 2015-2020 CDM plan.</t>
  </si>
  <si>
    <t>It is assumed that the new six year (2015-2020) CDM program will work similar to the existing 2011-2014 CDM program, meaning that distributors will offer programs each year that, cumulatively over the six years (from January 1, 2015 to December 31, 2020) will cumulatively achieve the new six year CDM target.  This is the approach contemplated in the Ministerial directive letters of March 31, 2014 to the Board and to the OPA.  Thus, distributors will be able to offer programs on a basis so that cumulatively over the period, the impacts, including persistence, of the CDM programs will accumulate towards achieving each distributor's 2015-2020 CDM target.</t>
  </si>
  <si>
    <t xml:space="preserve">With this approach, it is necessary to account for estimated savings for the last year of the current program, particularly the estimated savings for new CDM programs offered in 2014, as well as the estimated savings for new CDM programs that the distributor will offer in 2015 towards achievement of the new six year (2015-2020) CDM program.   This necessitates expansion of this Appendix 2-I to deal with both the 2011-2014 and 2015-2020 CDM plans.  It is expected that this approach will be updated each year. </t>
  </si>
  <si>
    <t>Input the 2011-2014 CDM target in Cell B21.</t>
  </si>
  <si>
    <t>Input the measured results for 2011 CDM programs for each of the years 2011 and persistence into 2012, 2013 and 2014 into cells B31 to E31.  These results are taken from the final 2011 CDM Report issued by the OPA for that distributor in the fall of 2012.</t>
  </si>
  <si>
    <t>Measured results for 2012 CDM programs for each of the years 2012 and persistence into 2013 and 2014 are input into cells C32 to E32.  These results are taken from the final 2012 CDM Report issued by the OPA for that distributor in the fall of 2013.</t>
  </si>
  <si>
    <t>Measured results for 2013 CDM programs for each of the years 2013 and persistence into 2014 are input into cells C33 to E33.  These results are taken from the final 2013 CDM Report issued by the OPA for that distributor in the fall of 2014.  Until that report is issued, the distributor should use the results from the preliminary 2013 CDM Report issued in the spring of 2014.</t>
  </si>
  <si>
    <t>Measured results for 2014 CDM programs for each of the years 2013 and persistence into 2014 are input into cells C33 to E33.  These results are taken from the final 2013 CDM Report issued by the OPA for that distributor in the fall of 2014.  Until that report is issued, the distributor should use the results from the preliminary 2013 CDM Report issued in the spring of 2014. The distributor also needs to input the persistence of 2014 CDM programs into 2015 and 2016 in cells G45 and G46.</t>
  </si>
  <si>
    <t>Persistence of 2014 CDM Program into 2015 and 2016</t>
  </si>
  <si>
    <t>2015-2020 CDM Program - 2016, second year of the current CDM plan</t>
  </si>
  <si>
    <t>For the first year of the new 2015-2020 CDM plan, it is assumed that each year's program will achieve an equal amount of new CDM savings.  The new targets for 2015-2020 do not take into account persistence beyond the first year, but the IESO will encourage distributors to promote and implement  CDM plans that will have longer term persistence of savings.  This results in each year's program being about 1/6 (18.67%) of the cumulative 2015-2020 CDM target for kWh savings.  A distributor may propose an alternative approach but would be expected to document in its application why it believes that its proposal is more reasonable.  In its proposal, the distributor should ensure that the sum of the results for each year's CDM program from 2015 to 2020 add up to its 2015-2020 CDM target as established by the IESO.</t>
  </si>
  <si>
    <t>Determination of 2016 Load Forecast Adjustment</t>
  </si>
  <si>
    <t>From each of the 2006-2010 CDM Final Report,  and the 2011, 2012, 2013 and 2014 CDM Final Reports, issued by the OPA (now IESO) for the distributor, the distributor should input the "gross" and "net" results of the cumulative CDM savings for 2014 into cells D84 to E88.  The model will calculate the cumulative savings for all programs from 2006 to 2012 and determine the "net" to "gross" factor "g".</t>
  </si>
  <si>
    <t>2014 CDM program</t>
  </si>
  <si>
    <t>2006 to 2014 OPA CDM programs:  Persistence to 2016</t>
  </si>
  <si>
    <t>These factors do not mean that CDM programs are excluded, but the assumption that impacts of previous year CDM programs are already implicitly reflected in the actual data for the historical years that are the basis for the load forecast prior to any manual CDM adjustment for the 2016 test year.</t>
  </si>
  <si>
    <t>Default is 0, but one option is for full year impact of persistence of 2013 CDM programs on 2015 load forecast, but 50% impact in base forecast (first year impact of 2013 CDM programs on 2013 load forecast, which is part of the data for the load forecast.</t>
  </si>
  <si>
    <t>Default is 0, but one option is for full year impact of persistence of 2014 CDM programs on 2014 load forecast, but 50% impact in base forecast (first year impact of 2014 CDM programs on 2014 actuals, which is part of the data for the load forecast.</t>
  </si>
  <si>
    <t>Full year impact of persistence of 2015 programs on 2015 load forecast.  2015 CDM program impacts are not in the base forecast.</t>
  </si>
  <si>
    <t>Only 50% of 2016 CDM programs are assumed to impact the 2016 load forecast based on the "half-year" rule.</t>
  </si>
  <si>
    <t>One manual adjustment for CDM impacts to the 2015 load forecast is made.  However, the distributor will have two associated annualized CDM impacts, one for the 2011-2014 CDM program and the second for the 2015-2020 CDM plan.  In addition, the distributor needs to reflect the CDM adjustment that was explicitly factored into its 2011 load forecast in its 2011 cost of service application (assuming that it rebased in that year).  this amount, and equal persistence for 2012, 2013 and 2014 is used as an offset to determine what the net balance of the 2011-2014 LRAMVA balance should be for disposition.</t>
  </si>
  <si>
    <t>The Amount used for the CDM threshold of the LRAMVA is the kWh that will be used to determine the base amount for the LRAMVA balance for 2014, for assessing performance against the four-year target.  The base amount for 2011-2013 is 0 (zero) for 2014 Cost of Service applications, as the utility rebased prior to the 2011-2014 CDM programs, and there was no adjustment to reflect the impacts of the 2011-2014 programs on the load forecast used to determine their last cost of service-based rates.</t>
  </si>
  <si>
    <t xml:space="preserve">The proposed loss factor should correspond with the loss factor calculated in Appendix 2-R </t>
  </si>
  <si>
    <t xml:space="preserve">The Manual Adjustment for the 2016 Load Forecast is the amount manually subtracted from the load forecast derived from the base forecast from historical data. </t>
  </si>
  <si>
    <t>If the distributor has developed their load forecast on a system purchased basis, then the manual adjustment should be on system purchased basis, including the adjustment for losses.  If the load forecast has been developed on a billed basis, either on a system basis or on a class-specific basis, the manual adjustment should be on a billed basis, excluding losses.</t>
  </si>
  <si>
    <t>Total for 2016</t>
  </si>
  <si>
    <t>CDM adjustment for test year forecast (per Board Decision in distributor's most recent Cost of Service Application) (enter as negative)</t>
  </si>
  <si>
    <t>Amount used for CDM threshold for LRAMVA (2016)</t>
  </si>
  <si>
    <t>Manual Adjustment for 2016 Load Forecast (billed basis)</t>
  </si>
  <si>
    <t>Proposed Loss Factor (TLF)</t>
  </si>
  <si>
    <t xml:space="preserve"> Format: X.XX%</t>
  </si>
  <si>
    <t>Manual Adjustment for 2016 Load Forecast (system purchased basis)</t>
  </si>
  <si>
    <t>Manual adjustment uses "gross" versus "net" (i.e. numbers multiplied by (1 + g).  The Weight factor is also used calculate the impact of each year's program on the CDM adjustment to the 2016 load forecast.</t>
  </si>
  <si>
    <t>Persistence Factor</t>
  </si>
  <si>
    <t>Appendix 2-I (Revised for IRs)</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</si>
</sst>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44" formatCode="_-&quot;$&quot;* #,##0.00_-;\-&quot;$&quot;* #,##0.00_-;_-&quot;$&quot;* &quot;-&quot;??_-;_-@_-"/>
    <numFmt numFmtId="43" formatCode="_-* #,##0.00_-;\-* #,##0.00_-;_-* &quot;-&quot;??_-;_-@_-"/>
    <numFmt numFmtId="164" formatCode="&quot;$&quot;#,##0_);\(&quot;$&quot;#,##0\)"/>
    <numFmt numFmtId="165" formatCode="_(&quot;$&quot;* #,##0.00_);_(&quot;$&quot;* \(#,##0.00\);_(&quot;$&quot;* &quot;-&quot;??_);_(@_)"/>
    <numFmt numFmtId="166" formatCode="_(* #,##0.00_);_(* \(#,##0.00\);_(* &quot;-&quot;??_);_(@_)"/>
    <numFmt numFmtId="167" formatCode="0.0000"/>
    <numFmt numFmtId="168" formatCode="0.0%"/>
    <numFmt numFmtId="169" formatCode="#,##0.00000"/>
    <numFmt numFmtId="170" formatCode="_-* #,##0_-;\-* #,##0_-;_-* &quot;-&quot;??_-;_-@_-"/>
    <numFmt numFmtId="171" formatCode="#,##0_ ;\-#,##0\ "/>
    <numFmt numFmtId="172" formatCode="_-&quot;$&quot;* #,##0_-;\-&quot;$&quot;* #,##0_-;_-&quot;$&quot;* &quot;-&quot;??_-;_-@_-"/>
    <numFmt numFmtId="173" formatCode="_-* #,##0.00000_-;\-* #,##0.00000_-;_-* &quot;-&quot;??_-;_-@_-"/>
    <numFmt numFmtId="174" formatCode="#,##0.000000"/>
    <numFmt numFmtId="175" formatCode="#,##0.0000000"/>
    <numFmt numFmtId="176" formatCode="_-* #,##0.000_-;\-* #,##0.000_-;_-* &quot;-&quot;??_-;_-@_-"/>
    <numFmt numFmtId="177" formatCode="#,##0.0000"/>
    <numFmt numFmtId="178" formatCode="_(* #,##0.0_);_(* \(#,##0.0\);_(* &quot;-&quot;??_);_(@_)"/>
    <numFmt numFmtId="179" formatCode="#,##0.0"/>
    <numFmt numFmtId="180" formatCode="mm/dd/yyyy"/>
    <numFmt numFmtId="181" formatCode="0\-0"/>
    <numFmt numFmtId="182" formatCode="##\-#"/>
    <numFmt numFmtId="183" formatCode="_(* #,##0_);_(* \(#,##0\);_(* &quot;-&quot;??_);_(@_)"/>
    <numFmt numFmtId="184" formatCode="&quot;£ &quot;#,##0.00;[Red]\-&quot;£ &quot;#,##0.00"/>
    <numFmt numFmtId="185" formatCode="_-* #,##0.0000000_-;\-* #,##0.0000000_-;_-* &quot;-&quot;??_-;_-@_-"/>
  </numFmts>
  <fonts count="129" x14ac:knownFonts="1">
    <font>
      <sz val="10"/>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color indexed="8"/>
      <name val="Arial"/>
      <family val="2"/>
    </font>
    <font>
      <sz val="10"/>
      <name val="Arial"/>
      <family val="2"/>
    </font>
    <font>
      <sz val="10"/>
      <name val="Times New Roman"/>
      <family val="1"/>
    </font>
    <font>
      <sz val="10"/>
      <name val="Times New Roman"/>
      <family val="1"/>
    </font>
    <font>
      <i/>
      <sz val="10"/>
      <name val="Arial"/>
      <family val="2"/>
    </font>
    <font>
      <b/>
      <sz val="10"/>
      <name val="Arial"/>
      <family val="2"/>
    </font>
    <font>
      <sz val="6"/>
      <name val="Arial"/>
      <family val="2"/>
    </font>
    <font>
      <i/>
      <sz val="9"/>
      <name val="Arial"/>
      <family val="2"/>
    </font>
    <font>
      <sz val="11"/>
      <name val="Arial"/>
      <family val="2"/>
    </font>
    <font>
      <b/>
      <sz val="11"/>
      <name val="Arial"/>
      <family val="2"/>
    </font>
    <font>
      <b/>
      <u/>
      <sz val="11"/>
      <name val="Arial"/>
      <family val="2"/>
    </font>
    <font>
      <sz val="11"/>
      <color indexed="8"/>
      <name val="Calibri"/>
      <family val="2"/>
    </font>
    <font>
      <b/>
      <sz val="14"/>
      <name val="Arial"/>
      <family val="2"/>
    </font>
    <font>
      <b/>
      <sz val="18"/>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sz val="11"/>
      <color theme="1"/>
      <name val="Calibri"/>
      <family val="2"/>
      <scheme val="minor"/>
    </font>
    <font>
      <b/>
      <sz val="10"/>
      <color rgb="FF3F3F3F"/>
      <name val="Arial"/>
      <family val="2"/>
    </font>
    <font>
      <b/>
      <sz val="18"/>
      <color theme="3"/>
      <name val="Cambria"/>
      <family val="2"/>
      <scheme val="major"/>
    </font>
    <font>
      <b/>
      <sz val="10"/>
      <color theme="1"/>
      <name val="Arial"/>
      <family val="2"/>
    </font>
    <font>
      <sz val="10"/>
      <color rgb="FFFF0000"/>
      <name val="Arial"/>
      <family val="2"/>
    </font>
    <font>
      <i/>
      <sz val="12"/>
      <color rgb="FF000000"/>
      <name val="Arial"/>
      <family val="2"/>
    </font>
    <font>
      <sz val="10"/>
      <color rgb="FF000000"/>
      <name val="Arial"/>
      <family val="2"/>
    </font>
    <font>
      <b/>
      <i/>
      <u/>
      <sz val="12"/>
      <color rgb="FF000000"/>
      <name val="Arial"/>
      <family val="2"/>
    </font>
    <font>
      <i/>
      <sz val="9"/>
      <color rgb="FF000000"/>
      <name val="Arial"/>
      <family val="2"/>
    </font>
    <font>
      <b/>
      <sz val="10"/>
      <color rgb="FFFF0000"/>
      <name val="Arial"/>
      <family val="2"/>
    </font>
    <font>
      <sz val="11"/>
      <color theme="1"/>
      <name val="Arial"/>
      <family val="2"/>
    </font>
    <font>
      <b/>
      <sz val="11"/>
      <color theme="1"/>
      <name val="Arial"/>
      <family val="2"/>
    </font>
    <font>
      <i/>
      <sz val="10"/>
      <color theme="1"/>
      <name val="Arial"/>
      <family val="2"/>
    </font>
    <font>
      <b/>
      <i/>
      <u/>
      <sz val="10"/>
      <color rgb="FF000000"/>
      <name val="Arial"/>
      <family val="2"/>
    </font>
    <font>
      <b/>
      <sz val="18"/>
      <color rgb="FF000000"/>
      <name val="Arial"/>
      <family val="2"/>
    </font>
    <font>
      <b/>
      <sz val="10"/>
      <color rgb="FF000000"/>
      <name val="Arial"/>
      <family val="2"/>
    </font>
    <font>
      <sz val="9"/>
      <color rgb="FF000000"/>
      <name val="Arial"/>
      <family val="2"/>
    </font>
    <font>
      <sz val="10"/>
      <color theme="0" tint="-0.34998626667073579"/>
      <name val="Arial"/>
      <family val="2"/>
    </font>
    <font>
      <b/>
      <sz val="10"/>
      <color theme="0" tint="-0.34998626667073579"/>
      <name val="Arial"/>
      <family val="2"/>
    </font>
    <font>
      <sz val="10"/>
      <name val="Arial"/>
      <family val="2"/>
    </font>
    <font>
      <i/>
      <sz val="10"/>
      <name val="Times New Roman"/>
      <family val="1"/>
    </font>
    <font>
      <sz val="10"/>
      <name val="Times New Roman"/>
      <family val="1"/>
    </font>
    <font>
      <sz val="9"/>
      <name val="Arial"/>
      <family val="2"/>
    </font>
    <font>
      <sz val="10"/>
      <name val="Helvetica"/>
      <family val="2"/>
    </font>
    <font>
      <b/>
      <sz val="10"/>
      <name val="Helvetica"/>
      <family val="2"/>
    </font>
    <font>
      <b/>
      <u/>
      <sz val="10"/>
      <name val="Helvetica"/>
      <family val="2"/>
    </font>
    <font>
      <b/>
      <sz val="10"/>
      <color theme="0" tint="-0.499984740745262"/>
      <name val="Arial"/>
      <family val="2"/>
    </font>
    <font>
      <sz val="10"/>
      <color theme="0" tint="-0.499984740745262"/>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name val="Helvetica"/>
      <family val="2"/>
    </font>
    <font>
      <u/>
      <sz val="10"/>
      <color theme="10"/>
      <name val="Times New Roman"/>
      <family val="1"/>
    </font>
    <font>
      <b/>
      <sz val="12"/>
      <name val="Helvetica"/>
      <family val="2"/>
    </font>
    <font>
      <i/>
      <sz val="10"/>
      <name val="Helvetica"/>
      <family val="2"/>
    </font>
    <font>
      <sz val="10"/>
      <color theme="0" tint="-0.499984740745262"/>
      <name val="Helvetica"/>
      <family val="2"/>
    </font>
    <font>
      <u/>
      <sz val="10"/>
      <color indexed="12"/>
      <name val="Arial"/>
      <family val="2"/>
    </font>
    <font>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4"/>
      <name val="Times New Roman"/>
      <family val="1"/>
    </font>
    <font>
      <sz val="10"/>
      <color theme="0"/>
      <name val="Times New Roman"/>
      <family val="1"/>
    </font>
    <font>
      <sz val="11"/>
      <color theme="0" tint="-0.499984740745262"/>
      <name val="Arial"/>
      <family val="2"/>
    </font>
    <font>
      <u/>
      <sz val="10"/>
      <color theme="10"/>
      <name val="Arial"/>
      <family val="2"/>
    </font>
    <font>
      <b/>
      <sz val="11"/>
      <color rgb="FF0033CC"/>
      <name val="Arial"/>
      <family val="2"/>
    </font>
    <font>
      <sz val="12"/>
      <name val="Arial"/>
      <family val="2"/>
    </font>
    <font>
      <b/>
      <sz val="10"/>
      <name val="Times New Roman"/>
      <family val="1"/>
    </font>
    <font>
      <b/>
      <i/>
      <sz val="14"/>
      <color theme="1"/>
      <name val="Arial"/>
      <family val="2"/>
    </font>
    <font>
      <b/>
      <sz val="18"/>
      <color theme="1"/>
      <name val="Arial"/>
      <family val="2"/>
    </font>
    <font>
      <b/>
      <i/>
      <sz val="11"/>
      <color theme="1"/>
      <name val="Arial"/>
      <family val="2"/>
    </font>
    <font>
      <i/>
      <sz val="11"/>
      <color theme="1"/>
      <name val="Arial"/>
      <family val="2"/>
    </font>
    <font>
      <b/>
      <sz val="11"/>
      <color theme="0"/>
      <name val="Arial"/>
      <family val="2"/>
    </font>
    <font>
      <b/>
      <sz val="8"/>
      <name val="Arial"/>
      <family val="2"/>
    </font>
    <font>
      <b/>
      <i/>
      <sz val="8"/>
      <color theme="0" tint="-0.14999847407452621"/>
      <name val="Arial"/>
      <family val="2"/>
      <charset val="1"/>
    </font>
    <font>
      <b/>
      <sz val="14"/>
      <color theme="1"/>
      <name val="Calibri"/>
      <family val="2"/>
      <scheme val="minor"/>
    </font>
    <font>
      <sz val="11"/>
      <name val="Calibri"/>
      <family val="2"/>
      <scheme val="minor"/>
    </font>
    <font>
      <sz val="10"/>
      <name val="Calibri"/>
      <family val="2"/>
      <scheme val="minor"/>
    </font>
    <font>
      <b/>
      <i/>
      <sz val="14"/>
      <color theme="1"/>
      <name val="Calibri"/>
      <family val="2"/>
      <scheme val="minor"/>
    </font>
    <font>
      <b/>
      <sz val="11"/>
      <name val="Calibri"/>
      <family val="2"/>
      <scheme val="minor"/>
    </font>
    <font>
      <b/>
      <i/>
      <sz val="11"/>
      <color theme="1"/>
      <name val="Calibri"/>
      <family val="2"/>
      <scheme val="minor"/>
    </font>
    <font>
      <i/>
      <sz val="11"/>
      <color theme="1"/>
      <name val="Calibri"/>
      <family val="2"/>
      <scheme val="minor"/>
    </font>
    <font>
      <b/>
      <sz val="9"/>
      <color indexed="81"/>
      <name val="Tahoma"/>
      <family val="2"/>
    </font>
    <font>
      <sz val="9"/>
      <color indexed="81"/>
      <name val="Tahoma"/>
      <family val="2"/>
    </font>
    <font>
      <b/>
      <sz val="10"/>
      <color rgb="FF0033CC"/>
      <name val="Arial"/>
      <family val="2"/>
    </font>
  </fonts>
  <fills count="7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79998168889431442"/>
        <bgColor indexed="58"/>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indexed="26"/>
        <bgColor indexed="64"/>
      </patternFill>
    </fill>
    <fill>
      <patternFill patternType="solid">
        <fgColor theme="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59999389629810485"/>
        <bgColor indexed="58"/>
      </patternFill>
    </fill>
    <fill>
      <patternFill patternType="solid">
        <fgColor rgb="FFFFC000"/>
        <bgColor indexed="64"/>
      </patternFill>
    </fill>
    <fill>
      <patternFill patternType="solid">
        <fgColor rgb="FF00B0F0"/>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s>
  <borders count="1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right/>
      <top/>
      <bottom style="thin">
        <color indexed="64"/>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top/>
      <bottom style="double">
        <color indexed="64"/>
      </bottom>
      <diagonal/>
    </border>
    <border>
      <left/>
      <right style="double">
        <color indexed="64"/>
      </right>
      <top/>
      <bottom/>
      <diagonal/>
    </border>
    <border>
      <left/>
      <right style="double">
        <color indexed="64"/>
      </right>
      <top/>
      <bottom style="double">
        <color indexed="64"/>
      </bottom>
      <diagonal/>
    </border>
    <border>
      <left/>
      <right style="double">
        <color indexed="64"/>
      </right>
      <top/>
      <bottom style="medium">
        <color indexed="64"/>
      </bottom>
      <diagonal/>
    </border>
    <border>
      <left/>
      <right style="double">
        <color indexed="64"/>
      </right>
      <top style="thin">
        <color theme="0"/>
      </top>
      <bottom/>
      <diagonal/>
    </border>
    <border>
      <left/>
      <right/>
      <top style="thin">
        <color theme="0"/>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top style="double">
        <color indexed="64"/>
      </top>
      <bottom style="thin">
        <color indexed="64"/>
      </bottom>
      <diagonal/>
    </border>
    <border>
      <left/>
      <right style="thin">
        <color indexed="64"/>
      </right>
      <top style="thin">
        <color theme="0"/>
      </top>
      <bottom/>
      <diagonal/>
    </border>
    <border>
      <left/>
      <right style="thin">
        <color indexed="64"/>
      </right>
      <top/>
      <bottom style="double">
        <color indexed="64"/>
      </bottom>
      <diagonal/>
    </border>
    <border>
      <left style="medium">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right/>
      <top style="thin">
        <color theme="0"/>
      </top>
      <bottom style="thin">
        <color theme="0"/>
      </bottom>
      <diagonal/>
    </border>
    <border>
      <left/>
      <right style="thin">
        <color indexed="64"/>
      </right>
      <top style="double">
        <color indexed="64"/>
      </top>
      <bottom style="thin">
        <color indexed="64"/>
      </bottom>
      <diagonal/>
    </border>
  </borders>
  <cellStyleXfs count="1446">
    <xf numFmtId="0" fontId="0" fillId="0" borderId="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7" fillId="25"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8" fillId="26" borderId="0" applyNumberFormat="0" applyBorder="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29" fillId="27" borderId="57"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0" fontId="30" fillId="28" borderId="58" applyNumberFormat="0" applyAlignment="0" applyProtection="0"/>
    <xf numFmtId="43" fontId="14" fillId="0" borderId="0" applyFont="0" applyFill="0" applyBorder="0" applyAlignment="0" applyProtection="0"/>
    <xf numFmtId="166" fontId="23" fillId="0" borderId="0" applyFont="0" applyFill="0" applyBorder="0" applyAlignment="0" applyProtection="0"/>
    <xf numFmtId="44" fontId="11" fillId="0" borderId="0" applyFont="0" applyFill="0" applyBorder="0" applyAlignment="0" applyProtection="0"/>
    <xf numFmtId="165" fontId="11" fillId="0" borderId="0" applyFont="0" applyFill="0" applyBorder="0" applyAlignment="0" applyProtection="0"/>
    <xf numFmtId="44" fontId="10" fillId="0" borderId="0" applyFon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2" fillId="29" borderId="0" applyNumberFormat="0" applyBorder="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3" fillId="0" borderId="59"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4" fillId="0" borderId="60"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61" applyNumberFormat="0" applyFill="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6" fillId="30" borderId="57" applyNumberFormat="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7" fillId="0" borderId="62" applyNumberFormat="0" applyFill="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38" fillId="31"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39" fillId="0" borderId="0"/>
    <xf numFmtId="0" fontId="39" fillId="0" borderId="0"/>
    <xf numFmtId="0" fontId="10" fillId="0" borderId="0"/>
    <xf numFmtId="0" fontId="13" fillId="0" borderId="0"/>
    <xf numFmtId="0" fontId="26" fillId="0" borderId="0"/>
    <xf numFmtId="0" fontId="1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2" fillId="32" borderId="63" applyNumberFormat="0" applyFont="0" applyAlignment="0" applyProtection="0"/>
    <xf numFmtId="0" fontId="12" fillId="32" borderId="63" applyNumberFormat="0" applyFont="0" applyAlignment="0" applyProtection="0"/>
    <xf numFmtId="0" fontId="12" fillId="32" borderId="63" applyNumberFormat="0" applyFont="0" applyAlignment="0" applyProtection="0"/>
    <xf numFmtId="0" fontId="12" fillId="32" borderId="63" applyNumberFormat="0" applyFont="0" applyAlignment="0" applyProtection="0"/>
    <xf numFmtId="0" fontId="12" fillId="32" borderId="63" applyNumberFormat="0" applyFont="0" applyAlignment="0" applyProtection="0"/>
    <xf numFmtId="0" fontId="12" fillId="32" borderId="63" applyNumberFormat="0" applyFont="0" applyAlignment="0" applyProtection="0"/>
    <xf numFmtId="0" fontId="12" fillId="32" borderId="63" applyNumberFormat="0" applyFont="0" applyAlignment="0" applyProtection="0"/>
    <xf numFmtId="0" fontId="12" fillId="32" borderId="63" applyNumberFormat="0" applyFont="0" applyAlignment="0" applyProtection="0"/>
    <xf numFmtId="0" fontId="12" fillId="32" borderId="63" applyNumberFormat="0" applyFont="0" applyAlignment="0" applyProtection="0"/>
    <xf numFmtId="0" fontId="12" fillId="32" borderId="63" applyNumberFormat="0" applyFont="0" applyAlignment="0" applyProtection="0"/>
    <xf numFmtId="0" fontId="12" fillId="32" borderId="63" applyNumberFormat="0" applyFont="0" applyAlignment="0" applyProtection="0"/>
    <xf numFmtId="0" fontId="12" fillId="32" borderId="63" applyNumberFormat="0" applyFont="0" applyAlignment="0" applyProtection="0"/>
    <xf numFmtId="0" fontId="12" fillId="32" borderId="63" applyNumberFormat="0" applyFont="0" applyAlignment="0" applyProtection="0"/>
    <xf numFmtId="0" fontId="12" fillId="32" borderId="63" applyNumberFormat="0" applyFon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0" fontId="40" fillId="27" borderId="64" applyNumberFormat="0" applyAlignment="0" applyProtection="0"/>
    <xf numFmtId="9" fontId="15" fillId="0" borderId="0" applyFont="0" applyFill="0" applyBorder="0" applyAlignment="0" applyProtection="0"/>
    <xf numFmtId="9" fontId="14" fillId="0" borderId="0" applyFont="0" applyFill="0" applyBorder="0" applyAlignment="0" applyProtection="0"/>
    <xf numFmtId="9" fontId="23" fillId="0" borderId="0" applyFont="0" applyFill="0" applyBorder="0" applyAlignment="0" applyProtection="0"/>
    <xf numFmtId="0" fontId="41" fillId="0" borderId="0" applyNumberFormat="0" applyFill="0" applyBorder="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2" fillId="0" borderId="65" applyNumberFormat="0" applyFill="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44" fontId="10" fillId="0" borderId="0" applyFont="0" applyFill="0" applyBorder="0" applyAlignment="0" applyProtection="0"/>
    <xf numFmtId="165" fontId="10" fillId="0" borderId="0" applyFont="0" applyFill="0" applyBorder="0" applyAlignment="0" applyProtection="0"/>
    <xf numFmtId="0" fontId="9" fillId="0" borderId="0"/>
    <xf numFmtId="0" fontId="9" fillId="0" borderId="0"/>
    <xf numFmtId="0" fontId="10" fillId="0" borderId="0"/>
    <xf numFmtId="166" fontId="10" fillId="0" borderId="0" applyFont="0" applyFill="0" applyBorder="0" applyAlignment="0" applyProtection="0"/>
    <xf numFmtId="166" fontId="10" fillId="0" borderId="0" applyFont="0" applyFill="0" applyBorder="0" applyAlignment="0" applyProtection="0"/>
    <xf numFmtId="166" fontId="58" fillId="0" borderId="0" applyFont="0" applyFill="0" applyBorder="0" applyAlignment="0" applyProtection="0"/>
    <xf numFmtId="166" fontId="10" fillId="0" borderId="0" applyFont="0" applyFill="0" applyBorder="0" applyAlignment="0" applyProtection="0"/>
    <xf numFmtId="43" fontId="9" fillId="0" borderId="0" applyFont="0" applyFill="0" applyBorder="0" applyAlignment="0" applyProtection="0"/>
    <xf numFmtId="44" fontId="10" fillId="0" borderId="0" applyFont="0" applyFill="0" applyBorder="0" applyAlignment="0" applyProtection="0"/>
    <xf numFmtId="165" fontId="10" fillId="0" borderId="0" applyFont="0" applyFill="0" applyBorder="0" applyAlignment="0" applyProtection="0"/>
    <xf numFmtId="0" fontId="10" fillId="0" borderId="0"/>
    <xf numFmtId="0" fontId="9" fillId="0" borderId="0"/>
    <xf numFmtId="0" fontId="9" fillId="0" borderId="0"/>
    <xf numFmtId="0" fontId="10" fillId="0" borderId="0"/>
    <xf numFmtId="0" fontId="9" fillId="0" borderId="0"/>
    <xf numFmtId="0" fontId="10" fillId="0" borderId="0"/>
    <xf numFmtId="0" fontId="10" fillId="0" borderId="0"/>
    <xf numFmtId="0" fontId="58" fillId="0" borderId="0"/>
    <xf numFmtId="0" fontId="10" fillId="0" borderId="0"/>
    <xf numFmtId="9" fontId="9"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58" fillId="37" borderId="1" applyNumberFormat="0" applyProtection="0">
      <alignment horizontal="left" vertical="center"/>
    </xf>
    <xf numFmtId="0" fontId="10" fillId="37" borderId="1" applyNumberFormat="0" applyProtection="0">
      <alignment horizontal="left" vertical="center"/>
    </xf>
    <xf numFmtId="9" fontId="9" fillId="0" borderId="0" applyFont="0" applyFill="0" applyBorder="0" applyAlignment="0" applyProtection="0"/>
    <xf numFmtId="0" fontId="8"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0" fontId="6" fillId="0" borderId="0"/>
    <xf numFmtId="0" fontId="60" fillId="0" borderId="0"/>
    <xf numFmtId="166" fontId="14" fillId="0" borderId="0" applyFont="0" applyFill="0" applyBorder="0" applyAlignment="0" applyProtection="0"/>
    <xf numFmtId="9" fontId="14" fillId="0" borderId="0" applyFont="0" applyFill="0" applyBorder="0" applyAlignment="0" applyProtection="0"/>
    <xf numFmtId="0" fontId="14"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0" fontId="14" fillId="0" borderId="0"/>
    <xf numFmtId="43" fontId="14" fillId="0" borderId="0" applyFont="0" applyFill="0" applyBorder="0" applyAlignment="0" applyProtection="0"/>
    <xf numFmtId="0" fontId="5" fillId="0" borderId="0"/>
    <xf numFmtId="0" fontId="5" fillId="0" borderId="0"/>
    <xf numFmtId="9" fontId="14"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23" fillId="38" borderId="0" applyNumberFormat="0" applyBorder="0" applyAlignment="0" applyProtection="0"/>
    <xf numFmtId="0" fontId="23" fillId="39" borderId="0" applyNumberFormat="0" applyBorder="0" applyAlignment="0" applyProtection="0"/>
    <xf numFmtId="0" fontId="23" fillId="40"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23" fillId="43" borderId="0" applyNumberFormat="0" applyBorder="0" applyAlignment="0" applyProtection="0"/>
    <xf numFmtId="0" fontId="23" fillId="44" borderId="0" applyNumberFormat="0" applyBorder="0" applyAlignment="0" applyProtection="0"/>
    <xf numFmtId="0" fontId="23" fillId="45" borderId="0" applyNumberFormat="0" applyBorder="0" applyAlignment="0" applyProtection="0"/>
    <xf numFmtId="0" fontId="23" fillId="46" borderId="0" applyNumberFormat="0" applyBorder="0" applyAlignment="0" applyProtection="0"/>
    <xf numFmtId="0" fontId="23" fillId="41" borderId="0" applyNumberFormat="0" applyBorder="0" applyAlignment="0" applyProtection="0"/>
    <xf numFmtId="0" fontId="23" fillId="44" borderId="0" applyNumberFormat="0" applyBorder="0" applyAlignment="0" applyProtection="0"/>
    <xf numFmtId="0" fontId="23" fillId="47" borderId="0" applyNumberFormat="0" applyBorder="0" applyAlignment="0" applyProtection="0"/>
    <xf numFmtId="0" fontId="89" fillId="48" borderId="0" applyNumberFormat="0" applyBorder="0" applyAlignment="0" applyProtection="0"/>
    <xf numFmtId="0" fontId="89" fillId="45" borderId="0" applyNumberFormat="0" applyBorder="0" applyAlignment="0" applyProtection="0"/>
    <xf numFmtId="0" fontId="89" fillId="46" borderId="0" applyNumberFormat="0" applyBorder="0" applyAlignment="0" applyProtection="0"/>
    <xf numFmtId="0" fontId="89" fillId="49" borderId="0" applyNumberFormat="0" applyBorder="0" applyAlignment="0" applyProtection="0"/>
    <xf numFmtId="0" fontId="89" fillId="50" borderId="0" applyNumberFormat="0" applyBorder="0" applyAlignment="0" applyProtection="0"/>
    <xf numFmtId="0" fontId="89" fillId="51" borderId="0" applyNumberFormat="0" applyBorder="0" applyAlignment="0" applyProtection="0"/>
    <xf numFmtId="0" fontId="89" fillId="52" borderId="0" applyNumberFormat="0" applyBorder="0" applyAlignment="0" applyProtection="0"/>
    <xf numFmtId="0" fontId="89" fillId="53" borderId="0" applyNumberFormat="0" applyBorder="0" applyAlignment="0" applyProtection="0"/>
    <xf numFmtId="0" fontId="89" fillId="54" borderId="0" applyNumberFormat="0" applyBorder="0" applyAlignment="0" applyProtection="0"/>
    <xf numFmtId="0" fontId="91" fillId="56" borderId="83" applyNumberFormat="0" applyAlignment="0" applyProtection="0"/>
    <xf numFmtId="0" fontId="87" fillId="0" borderId="0" applyNumberFormat="0" applyFill="0" applyBorder="0" applyAlignment="0" applyProtection="0">
      <alignment vertical="top"/>
      <protection locked="0"/>
    </xf>
    <xf numFmtId="0" fontId="100" fillId="58" borderId="0" applyNumberFormat="0" applyBorder="0" applyAlignment="0" applyProtection="0"/>
    <xf numFmtId="0" fontId="102" fillId="0" borderId="0" applyNumberFormat="0" applyFill="0" applyBorder="0" applyAlignment="0" applyProtection="0"/>
    <xf numFmtId="0" fontId="103" fillId="0" borderId="91" applyNumberFormat="0" applyFill="0" applyAlignment="0" applyProtection="0"/>
    <xf numFmtId="0" fontId="104" fillId="0" borderId="0" applyNumberFormat="0" applyFill="0" applyBorder="0" applyAlignment="0" applyProtection="0"/>
    <xf numFmtId="0" fontId="10" fillId="0" borderId="0"/>
    <xf numFmtId="0" fontId="41" fillId="0" borderId="0" applyNumberFormat="0" applyFill="0" applyBorder="0" applyAlignment="0" applyProtection="0"/>
    <xf numFmtId="0" fontId="68" fillId="0" borderId="60" applyNumberFormat="0" applyFill="0" applyAlignment="0" applyProtection="0"/>
    <xf numFmtId="0" fontId="67" fillId="0" borderId="59" applyNumberFormat="0" applyFill="0" applyAlignment="0" applyProtection="0"/>
    <xf numFmtId="0" fontId="4" fillId="0" borderId="0"/>
    <xf numFmtId="0" fontId="69" fillId="0" borderId="61" applyNumberFormat="0" applyFill="0" applyAlignment="0" applyProtection="0"/>
    <xf numFmtId="0" fontId="69" fillId="0" borderId="0" applyNumberFormat="0" applyFill="0" applyBorder="0" applyAlignment="0" applyProtection="0"/>
    <xf numFmtId="0" fontId="70" fillId="29" borderId="0" applyNumberFormat="0" applyBorder="0" applyAlignment="0" applyProtection="0"/>
    <xf numFmtId="0" fontId="71" fillId="26" borderId="0" applyNumberFormat="0" applyBorder="0" applyAlignment="0" applyProtection="0"/>
    <xf numFmtId="0" fontId="72" fillId="31" borderId="0" applyNumberFormat="0" applyBorder="0" applyAlignment="0" applyProtection="0"/>
    <xf numFmtId="0" fontId="73" fillId="30" borderId="57" applyNumberFormat="0" applyAlignment="0" applyProtection="0"/>
    <xf numFmtId="0" fontId="74" fillId="27" borderId="64" applyNumberFormat="0" applyAlignment="0" applyProtection="0"/>
    <xf numFmtId="0" fontId="75" fillId="27" borderId="57" applyNumberFormat="0" applyAlignment="0" applyProtection="0"/>
    <xf numFmtId="0" fontId="76" fillId="0" borderId="62" applyNumberFormat="0" applyFill="0" applyAlignment="0" applyProtection="0"/>
    <xf numFmtId="0" fontId="77" fillId="28" borderId="58" applyNumberFormat="0" applyAlignment="0" applyProtection="0"/>
    <xf numFmtId="0" fontId="78" fillId="0" borderId="0" applyNumberFormat="0" applyFill="0" applyBorder="0" applyAlignment="0" applyProtection="0"/>
    <xf numFmtId="0" fontId="4" fillId="32" borderId="63" applyNumberFormat="0" applyFont="0" applyAlignment="0" applyProtection="0"/>
    <xf numFmtId="0" fontId="79" fillId="0" borderId="0" applyNumberFormat="0" applyFill="0" applyBorder="0" applyAlignment="0" applyProtection="0"/>
    <xf numFmtId="0" fontId="80" fillId="0" borderId="65" applyNumberFormat="0" applyFill="0" applyAlignment="0" applyProtection="0"/>
    <xf numFmtId="0" fontId="81" fillId="20" borderId="0" applyNumberFormat="0" applyBorder="0" applyAlignment="0" applyProtection="0"/>
    <xf numFmtId="0" fontId="4" fillId="2" borderId="0" applyNumberFormat="0" applyBorder="0" applyAlignment="0" applyProtection="0"/>
    <xf numFmtId="0" fontId="4" fillId="8" borderId="0" applyNumberFormat="0" applyBorder="0" applyAlignment="0" applyProtection="0"/>
    <xf numFmtId="0" fontId="81" fillId="14" borderId="0" applyNumberFormat="0" applyBorder="0" applyAlignment="0" applyProtection="0"/>
    <xf numFmtId="0" fontId="81" fillId="21" borderId="0" applyNumberFormat="0" applyBorder="0" applyAlignment="0" applyProtection="0"/>
    <xf numFmtId="0" fontId="4" fillId="3" borderId="0" applyNumberFormat="0" applyBorder="0" applyAlignment="0" applyProtection="0"/>
    <xf numFmtId="0" fontId="4" fillId="9" borderId="0" applyNumberFormat="0" applyBorder="0" applyAlignment="0" applyProtection="0"/>
    <xf numFmtId="0" fontId="81" fillId="15" borderId="0" applyNumberFormat="0" applyBorder="0" applyAlignment="0" applyProtection="0"/>
    <xf numFmtId="0" fontId="81" fillId="22"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81" fillId="16" borderId="0" applyNumberFormat="0" applyBorder="0" applyAlignment="0" applyProtection="0"/>
    <xf numFmtId="0" fontId="81" fillId="23" borderId="0" applyNumberFormat="0" applyBorder="0" applyAlignment="0" applyProtection="0"/>
    <xf numFmtId="0" fontId="4" fillId="5" borderId="0" applyNumberFormat="0" applyBorder="0" applyAlignment="0" applyProtection="0"/>
    <xf numFmtId="0" fontId="4" fillId="11" borderId="0" applyNumberFormat="0" applyBorder="0" applyAlignment="0" applyProtection="0"/>
    <xf numFmtId="0" fontId="81" fillId="17" borderId="0" applyNumberFormat="0" applyBorder="0" applyAlignment="0" applyProtection="0"/>
    <xf numFmtId="0" fontId="81" fillId="24" borderId="0" applyNumberFormat="0" applyBorder="0" applyAlignment="0" applyProtection="0"/>
    <xf numFmtId="0" fontId="4" fillId="6" borderId="0" applyNumberFormat="0" applyBorder="0" applyAlignment="0" applyProtection="0"/>
    <xf numFmtId="0" fontId="4" fillId="12" borderId="0" applyNumberFormat="0" applyBorder="0" applyAlignment="0" applyProtection="0"/>
    <xf numFmtId="0" fontId="81" fillId="18" borderId="0" applyNumberFormat="0" applyBorder="0" applyAlignment="0" applyProtection="0"/>
    <xf numFmtId="0" fontId="81" fillId="25" borderId="0" applyNumberFormat="0" applyBorder="0" applyAlignment="0" applyProtection="0"/>
    <xf numFmtId="0" fontId="4" fillId="7" borderId="0" applyNumberFormat="0" applyBorder="0" applyAlignment="0" applyProtection="0"/>
    <xf numFmtId="0" fontId="4" fillId="13" borderId="0" applyNumberFormat="0" applyBorder="0" applyAlignment="0" applyProtection="0"/>
    <xf numFmtId="0" fontId="81" fillId="19" borderId="0" applyNumberFormat="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178" fontId="10" fillId="0" borderId="0"/>
    <xf numFmtId="179" fontId="10" fillId="0" borderId="0"/>
    <xf numFmtId="178" fontId="10" fillId="0" borderId="0"/>
    <xf numFmtId="178" fontId="10" fillId="0" borderId="0"/>
    <xf numFmtId="178" fontId="10" fillId="0" borderId="0"/>
    <xf numFmtId="178" fontId="10" fillId="0" borderId="0"/>
    <xf numFmtId="180" fontId="10" fillId="0" borderId="0"/>
    <xf numFmtId="181" fontId="10" fillId="0" borderId="0"/>
    <xf numFmtId="180" fontId="10" fillId="0" borderId="0"/>
    <xf numFmtId="3" fontId="10" fillId="0" borderId="0" applyFont="0" applyFill="0" applyBorder="0" applyAlignment="0" applyProtection="0"/>
    <xf numFmtId="164" fontId="10" fillId="0" borderId="0" applyFont="0" applyFill="0" applyBorder="0" applyAlignment="0" applyProtection="0"/>
    <xf numFmtId="14" fontId="10" fillId="0" borderId="0" applyFont="0" applyFill="0" applyBorder="0" applyAlignment="0" applyProtection="0"/>
    <xf numFmtId="2" fontId="10" fillId="0" borderId="0" applyFont="0" applyFill="0" applyBorder="0" applyAlignment="0" applyProtection="0"/>
    <xf numFmtId="38" fontId="88" fillId="60" borderId="0" applyNumberFormat="0" applyBorder="0" applyAlignment="0" applyProtection="0"/>
    <xf numFmtId="10" fontId="88" fillId="63" borderId="1" applyNumberFormat="0" applyBorder="0" applyAlignment="0" applyProtection="0"/>
    <xf numFmtId="182" fontId="10" fillId="0" borderId="0"/>
    <xf numFmtId="182" fontId="10" fillId="0" borderId="0"/>
    <xf numFmtId="182" fontId="10" fillId="0" borderId="0"/>
    <xf numFmtId="182" fontId="10" fillId="0" borderId="0"/>
    <xf numFmtId="182" fontId="10" fillId="0" borderId="0"/>
    <xf numFmtId="184" fontId="10" fillId="0" borderId="0"/>
    <xf numFmtId="10" fontId="10"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44" fontId="10" fillId="0" borderId="0" applyFont="0" applyFill="0" applyBorder="0" applyAlignment="0" applyProtection="0"/>
    <xf numFmtId="0" fontId="4" fillId="0" borderId="0"/>
    <xf numFmtId="0" fontId="4" fillId="0" borderId="0"/>
    <xf numFmtId="183" fontId="10" fillId="0" borderId="0"/>
    <xf numFmtId="0" fontId="101" fillId="56" borderId="90" applyNumberFormat="0" applyAlignment="0" applyProtection="0"/>
    <xf numFmtId="0" fontId="92" fillId="57" borderId="84" applyNumberFormat="0" applyAlignment="0" applyProtection="0"/>
    <xf numFmtId="0" fontId="98" fillId="43" borderId="83" applyNumberFormat="0" applyAlignment="0" applyProtection="0"/>
    <xf numFmtId="0" fontId="10" fillId="59" borderId="89" applyNumberFormat="0" applyFont="0" applyAlignment="0" applyProtection="0"/>
    <xf numFmtId="0" fontId="94" fillId="40" borderId="0" applyNumberFormat="0" applyBorder="0" applyAlignment="0" applyProtection="0"/>
    <xf numFmtId="0" fontId="90" fillId="39" borderId="0" applyNumberFormat="0" applyBorder="0" applyAlignment="0" applyProtection="0"/>
    <xf numFmtId="0" fontId="97" fillId="0" borderId="87" applyNumberFormat="0" applyFill="0" applyAlignment="0" applyProtection="0"/>
    <xf numFmtId="0" fontId="96" fillId="0" borderId="86" applyNumberFormat="0" applyFill="0" applyAlignment="0" applyProtection="0"/>
    <xf numFmtId="0" fontId="93" fillId="0" borderId="0" applyNumberFormat="0" applyFill="0" applyBorder="0" applyAlignment="0" applyProtection="0"/>
    <xf numFmtId="0" fontId="95" fillId="0" borderId="85" applyNumberFormat="0" applyFill="0" applyAlignment="0" applyProtection="0"/>
    <xf numFmtId="0" fontId="83" fillId="0" borderId="0" applyNumberFormat="0" applyFill="0" applyBorder="0" applyAlignment="0" applyProtection="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44" fontId="4" fillId="0" borderId="0" applyFont="0" applyFill="0" applyBorder="0" applyAlignment="0" applyProtection="0"/>
    <xf numFmtId="0" fontId="89" fillId="50" borderId="0" applyNumberFormat="0" applyBorder="0" applyAlignment="0" applyProtection="0"/>
    <xf numFmtId="0" fontId="4" fillId="0" borderId="0"/>
    <xf numFmtId="0" fontId="4" fillId="0" borderId="0"/>
    <xf numFmtId="0" fontId="4" fillId="0" borderId="0"/>
    <xf numFmtId="0" fontId="89" fillId="55" borderId="0" applyNumberFormat="0" applyBorder="0" applyAlignment="0" applyProtection="0"/>
    <xf numFmtId="0" fontId="89" fillId="49" borderId="0" applyNumberFormat="0" applyBorder="0" applyAlignment="0" applyProtection="0"/>
    <xf numFmtId="43"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14" fillId="0" borderId="0"/>
    <xf numFmtId="0" fontId="99" fillId="0" borderId="88" applyNumberFormat="0" applyFill="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97" fillId="0" borderId="0" applyNumberForma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10" fillId="0" borderId="0"/>
    <xf numFmtId="0" fontId="10" fillId="0" borderId="0"/>
    <xf numFmtId="0" fontId="98" fillId="43" borderId="83" applyNumberFormat="0" applyAlignment="0" applyProtection="0"/>
    <xf numFmtId="0" fontId="98" fillId="43" borderId="83" applyNumberFormat="0" applyAlignment="0" applyProtection="0"/>
    <xf numFmtId="0" fontId="98" fillId="43" borderId="83" applyNumberFormat="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9" fontId="10" fillId="0" borderId="0" applyFont="0" applyFill="0" applyBorder="0" applyAlignment="0" applyProtection="0"/>
    <xf numFmtId="9" fontId="10" fillId="0" borderId="0" applyFont="0" applyFill="0" applyBorder="0" applyAlignment="0" applyProtection="0"/>
    <xf numFmtId="0" fontId="98" fillId="43" borderId="83" applyNumberFormat="0" applyAlignment="0" applyProtection="0"/>
    <xf numFmtId="0" fontId="10" fillId="0" borderId="0"/>
    <xf numFmtId="0" fontId="14" fillId="0" borderId="0"/>
    <xf numFmtId="0" fontId="3" fillId="0" borderId="0"/>
    <xf numFmtId="0" fontId="3" fillId="0" borderId="0"/>
    <xf numFmtId="9" fontId="14"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2" fillId="0" borderId="0"/>
    <xf numFmtId="0" fontId="10" fillId="0" borderId="0"/>
    <xf numFmtId="9" fontId="14" fillId="0" borderId="0" applyFont="0" applyFill="0" applyBorder="0" applyAlignment="0" applyProtection="0"/>
    <xf numFmtId="0" fontId="14" fillId="0" borderId="0"/>
    <xf numFmtId="9" fontId="10" fillId="0" borderId="0" applyFont="0" applyFill="0" applyBorder="0" applyAlignment="0" applyProtection="0"/>
    <xf numFmtId="0" fontId="10" fillId="0" borderId="0"/>
    <xf numFmtId="9" fontId="14" fillId="0" borderId="0" applyFont="0" applyFill="0" applyBorder="0" applyAlignment="0" applyProtection="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165" fontId="10" fillId="0" borderId="0" applyFont="0" applyFill="0" applyBorder="0" applyAlignment="0" applyProtection="0"/>
    <xf numFmtId="166" fontId="2" fillId="0" borderId="0" applyFont="0" applyFill="0" applyBorder="0" applyAlignment="0" applyProtection="0"/>
    <xf numFmtId="0" fontId="10" fillId="0" borderId="0"/>
    <xf numFmtId="0" fontId="2" fillId="0" borderId="0"/>
    <xf numFmtId="0" fontId="2"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02" fillId="0" borderId="0" applyNumberFormat="0" applyFill="0" applyBorder="0" applyAlignment="0" applyProtection="0"/>
    <xf numFmtId="0" fontId="2" fillId="0" borderId="0"/>
    <xf numFmtId="44" fontId="1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108" fillId="0" borderId="0" applyNumberForma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2" fillId="0" borderId="0"/>
    <xf numFmtId="0" fontId="14" fillId="0" borderId="0"/>
    <xf numFmtId="43" fontId="14" fillId="0" borderId="0" applyFont="0" applyFill="0" applyBorder="0" applyAlignment="0" applyProtection="0"/>
    <xf numFmtId="0" fontId="2" fillId="0" borderId="0"/>
    <xf numFmtId="0" fontId="2" fillId="0" borderId="0"/>
    <xf numFmtId="9" fontId="14"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2" fillId="0" borderId="0"/>
    <xf numFmtId="166"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14" fillId="0" borderId="0"/>
    <xf numFmtId="9" fontId="14" fillId="0" borderId="0" applyFont="0" applyFill="0" applyBorder="0" applyAlignment="0" applyProtection="0"/>
    <xf numFmtId="9" fontId="10" fillId="0" borderId="0" applyFont="0" applyFill="0" applyBorder="0" applyAlignment="0" applyProtection="0"/>
    <xf numFmtId="9" fontId="14" fillId="0" borderId="0" applyFont="0" applyFill="0" applyBorder="0" applyAlignment="0" applyProtection="0"/>
    <xf numFmtId="9" fontId="10"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cellStyleXfs>
  <cellXfs count="1127">
    <xf numFmtId="0" fontId="0" fillId="0" borderId="0" xfId="0"/>
    <xf numFmtId="0" fontId="10" fillId="0" borderId="0" xfId="0" applyFont="1"/>
    <xf numFmtId="1" fontId="10" fillId="33" borderId="2" xfId="379" applyNumberFormat="1" applyFont="1" applyFill="1" applyBorder="1" applyAlignment="1">
      <alignment horizontal="center"/>
    </xf>
    <xf numFmtId="0" fontId="44" fillId="0" borderId="0" xfId="0" applyFont="1" applyBorder="1" applyAlignment="1">
      <alignment horizontal="left" vertical="center"/>
    </xf>
    <xf numFmtId="0" fontId="10" fillId="0" borderId="3" xfId="0" applyFont="1" applyBorder="1" applyAlignment="1">
      <alignment horizontal="center"/>
    </xf>
    <xf numFmtId="0" fontId="10" fillId="0" borderId="4" xfId="0" applyFont="1" applyBorder="1" applyAlignment="1">
      <alignment horizontal="center"/>
    </xf>
    <xf numFmtId="0" fontId="10" fillId="0" borderId="5" xfId="0" applyFont="1" applyBorder="1" applyAlignment="1">
      <alignment horizontal="center"/>
    </xf>
    <xf numFmtId="0" fontId="10" fillId="0" borderId="6" xfId="0" applyFont="1" applyBorder="1" applyAlignment="1">
      <alignment horizontal="center"/>
    </xf>
    <xf numFmtId="49" fontId="10" fillId="0" borderId="7" xfId="0" applyNumberFormat="1" applyFont="1" applyBorder="1" applyAlignment="1">
      <alignment horizontal="center"/>
    </xf>
    <xf numFmtId="49" fontId="10" fillId="0" borderId="2" xfId="0" applyNumberFormat="1" applyFont="1" applyBorder="1" applyAlignment="1">
      <alignment horizontal="center"/>
    </xf>
    <xf numFmtId="167" fontId="10" fillId="0" borderId="1" xfId="0" applyNumberFormat="1" applyFont="1" applyBorder="1" applyAlignment="1">
      <alignment horizontal="center"/>
    </xf>
    <xf numFmtId="167" fontId="10" fillId="0" borderId="8" xfId="0" applyNumberFormat="1" applyFont="1" applyBorder="1" applyAlignment="1">
      <alignment horizontal="center"/>
    </xf>
    <xf numFmtId="14" fontId="10" fillId="0" borderId="2" xfId="0" applyNumberFormat="1" applyFont="1" applyBorder="1" applyAlignment="1">
      <alignment horizontal="center"/>
    </xf>
    <xf numFmtId="0" fontId="10" fillId="0" borderId="1" xfId="0" applyFont="1" applyBorder="1" applyAlignment="1">
      <alignment horizontal="center"/>
    </xf>
    <xf numFmtId="14" fontId="16" fillId="0" borderId="2" xfId="0" applyNumberFormat="1" applyFont="1" applyBorder="1" applyAlignment="1">
      <alignment horizontal="center"/>
    </xf>
    <xf numFmtId="167" fontId="16" fillId="0" borderId="1" xfId="0" applyNumberFormat="1" applyFont="1" applyBorder="1" applyAlignment="1">
      <alignment horizontal="center"/>
    </xf>
    <xf numFmtId="0" fontId="16" fillId="0" borderId="1" xfId="0" applyFont="1" applyBorder="1" applyAlignment="1">
      <alignment horizontal="center"/>
    </xf>
    <xf numFmtId="167" fontId="16" fillId="0" borderId="8" xfId="0" applyNumberFormat="1" applyFont="1" applyBorder="1" applyAlignment="1">
      <alignment horizontal="center"/>
    </xf>
    <xf numFmtId="1" fontId="10" fillId="0" borderId="1" xfId="0" applyNumberFormat="1" applyFont="1" applyFill="1" applyBorder="1" applyAlignment="1">
      <alignment horizontal="center"/>
    </xf>
    <xf numFmtId="0" fontId="10" fillId="0" borderId="1" xfId="0" applyFont="1" applyFill="1" applyBorder="1" applyAlignment="1">
      <alignment horizontal="center"/>
    </xf>
    <xf numFmtId="0" fontId="10" fillId="0" borderId="8" xfId="0" applyFont="1" applyFill="1" applyBorder="1" applyAlignment="1">
      <alignment horizontal="center"/>
    </xf>
    <xf numFmtId="49" fontId="10" fillId="0" borderId="9" xfId="0" applyNumberFormat="1" applyFont="1" applyBorder="1" applyAlignment="1">
      <alignment horizontal="center"/>
    </xf>
    <xf numFmtId="167" fontId="10" fillId="0" borderId="10" xfId="0" applyNumberFormat="1" applyFont="1" applyBorder="1" applyAlignment="1">
      <alignment horizontal="center"/>
    </xf>
    <xf numFmtId="0" fontId="10" fillId="0" borderId="10" xfId="0" applyFont="1" applyFill="1" applyBorder="1" applyAlignment="1">
      <alignment horizontal="center"/>
    </xf>
    <xf numFmtId="0" fontId="10" fillId="0" borderId="11" xfId="0" applyFont="1" applyFill="1" applyBorder="1" applyAlignment="1">
      <alignment horizontal="center"/>
    </xf>
    <xf numFmtId="0" fontId="10" fillId="0" borderId="12" xfId="0" applyFont="1" applyFill="1" applyBorder="1"/>
    <xf numFmtId="0" fontId="10" fillId="0" borderId="13" xfId="0" applyFont="1" applyFill="1" applyBorder="1"/>
    <xf numFmtId="1" fontId="10" fillId="33" borderId="1" xfId="0" applyNumberFormat="1" applyFont="1" applyFill="1" applyBorder="1" applyAlignment="1">
      <alignment horizontal="center"/>
    </xf>
    <xf numFmtId="1" fontId="10" fillId="33" borderId="10" xfId="0" applyNumberFormat="1" applyFont="1" applyFill="1" applyBorder="1" applyAlignment="1">
      <alignment horizontal="center"/>
    </xf>
    <xf numFmtId="167" fontId="10" fillId="0" borderId="11" xfId="0" applyNumberFormat="1" applyFont="1" applyBorder="1" applyAlignment="1">
      <alignment horizontal="center"/>
    </xf>
    <xf numFmtId="0" fontId="10" fillId="0" borderId="0" xfId="0" applyFont="1" applyFill="1" applyBorder="1"/>
    <xf numFmtId="2" fontId="43" fillId="0" borderId="0" xfId="0" applyNumberFormat="1" applyFont="1" applyFill="1" applyBorder="1" applyAlignment="1">
      <alignment horizontal="center"/>
    </xf>
    <xf numFmtId="0" fontId="10" fillId="0" borderId="0" xfId="0" applyFont="1" applyFill="1" applyBorder="1" applyAlignment="1">
      <alignment horizontal="center"/>
    </xf>
    <xf numFmtId="0" fontId="10" fillId="0" borderId="14" xfId="0" applyFont="1" applyFill="1" applyBorder="1" applyAlignment="1">
      <alignment horizontal="center"/>
    </xf>
    <xf numFmtId="0" fontId="10" fillId="0" borderId="15" xfId="0" applyFont="1" applyFill="1" applyBorder="1" applyAlignment="1">
      <alignment horizontal="center"/>
    </xf>
    <xf numFmtId="0" fontId="10" fillId="0" borderId="2" xfId="0" applyFont="1" applyFill="1" applyBorder="1" applyAlignment="1">
      <alignment horizontal="center"/>
    </xf>
    <xf numFmtId="2" fontId="43" fillId="0" borderId="8" xfId="0" applyNumberFormat="1" applyFont="1" applyFill="1" applyBorder="1" applyAlignment="1">
      <alignment horizontal="center"/>
    </xf>
    <xf numFmtId="0" fontId="10" fillId="0" borderId="16" xfId="0" applyFont="1" applyFill="1" applyBorder="1" applyAlignment="1">
      <alignment horizontal="center"/>
    </xf>
    <xf numFmtId="0" fontId="10" fillId="0" borderId="9" xfId="0" applyFont="1" applyFill="1" applyBorder="1" applyAlignment="1">
      <alignment horizontal="center"/>
    </xf>
    <xf numFmtId="2" fontId="43" fillId="0" borderId="11" xfId="0" applyNumberFormat="1" applyFont="1" applyFill="1" applyBorder="1" applyAlignment="1">
      <alignment horizontal="center"/>
    </xf>
    <xf numFmtId="0" fontId="10" fillId="0" borderId="17" xfId="0" applyFont="1" applyFill="1" applyBorder="1" applyAlignment="1">
      <alignment horizontal="center"/>
    </xf>
    <xf numFmtId="2" fontId="43" fillId="0" borderId="18" xfId="0" applyNumberFormat="1" applyFont="1" applyFill="1" applyBorder="1" applyAlignment="1">
      <alignment horizontal="center"/>
    </xf>
    <xf numFmtId="2" fontId="43" fillId="0" borderId="13" xfId="0" applyNumberFormat="1" applyFont="1" applyFill="1" applyBorder="1" applyAlignment="1">
      <alignment horizontal="center"/>
    </xf>
    <xf numFmtId="0" fontId="10" fillId="0" borderId="20" xfId="0" applyFont="1" applyFill="1" applyBorder="1" applyAlignment="1">
      <alignment horizontal="left"/>
    </xf>
    <xf numFmtId="17" fontId="10" fillId="0" borderId="15" xfId="0" applyNumberFormat="1" applyFont="1" applyFill="1" applyBorder="1" applyAlignment="1">
      <alignment horizontal="center"/>
    </xf>
    <xf numFmtId="1" fontId="10" fillId="33" borderId="2" xfId="0" applyNumberFormat="1" applyFont="1" applyFill="1" applyBorder="1" applyAlignment="1">
      <alignment horizontal="center"/>
    </xf>
    <xf numFmtId="1" fontId="43" fillId="33" borderId="8" xfId="0" applyNumberFormat="1" applyFont="1" applyFill="1" applyBorder="1" applyAlignment="1">
      <alignment horizontal="center"/>
    </xf>
    <xf numFmtId="1" fontId="10" fillId="33" borderId="21" xfId="0" applyNumberFormat="1" applyFont="1" applyFill="1" applyBorder="1" applyAlignment="1">
      <alignment horizontal="center"/>
    </xf>
    <xf numFmtId="1" fontId="10" fillId="33" borderId="1" xfId="379" applyNumberFormat="1" applyFont="1" applyFill="1" applyBorder="1" applyAlignment="1">
      <alignment horizontal="center"/>
    </xf>
    <xf numFmtId="1" fontId="10" fillId="33" borderId="21" xfId="379" applyNumberFormat="1" applyFont="1" applyFill="1" applyBorder="1" applyAlignment="1">
      <alignment horizontal="center"/>
    </xf>
    <xf numFmtId="1" fontId="10" fillId="33" borderId="2" xfId="379" applyNumberFormat="1" applyFont="1" applyFill="1" applyBorder="1" applyAlignment="1">
      <alignment horizontal="center" vertical="center"/>
    </xf>
    <xf numFmtId="1" fontId="45" fillId="33" borderId="2" xfId="0" applyNumberFormat="1" applyFont="1" applyFill="1" applyBorder="1" applyAlignment="1">
      <alignment horizontal="center"/>
    </xf>
    <xf numFmtId="1" fontId="26" fillId="33" borderId="2" xfId="0" applyNumberFormat="1" applyFont="1" applyFill="1" applyBorder="1" applyAlignment="1">
      <alignment horizontal="center"/>
    </xf>
    <xf numFmtId="1" fontId="10" fillId="33" borderId="9" xfId="0" applyNumberFormat="1" applyFont="1" applyFill="1" applyBorder="1" applyAlignment="1">
      <alignment horizontal="center"/>
    </xf>
    <xf numFmtId="1" fontId="43" fillId="33" borderId="11" xfId="0" applyNumberFormat="1" applyFont="1" applyFill="1" applyBorder="1" applyAlignment="1">
      <alignment horizontal="center"/>
    </xf>
    <xf numFmtId="1" fontId="10" fillId="33" borderId="10" xfId="379" applyNumberFormat="1" applyFont="1" applyFill="1" applyBorder="1" applyAlignment="1">
      <alignment horizontal="center"/>
    </xf>
    <xf numFmtId="1" fontId="10" fillId="33" borderId="22" xfId="0" applyNumberFormat="1" applyFont="1" applyFill="1" applyBorder="1" applyAlignment="1">
      <alignment horizontal="center"/>
    </xf>
    <xf numFmtId="3" fontId="10" fillId="0" borderId="0" xfId="0" applyNumberFormat="1" applyFont="1" applyFill="1" applyBorder="1" applyAlignment="1">
      <alignment horizontal="center"/>
    </xf>
    <xf numFmtId="0" fontId="10" fillId="0" borderId="0" xfId="0" applyFont="1" applyAlignment="1">
      <alignment horizontal="center"/>
    </xf>
    <xf numFmtId="0" fontId="10" fillId="0" borderId="1" xfId="0" applyFont="1" applyBorder="1"/>
    <xf numFmtId="17" fontId="10" fillId="0" borderId="0" xfId="0" applyNumberFormat="1" applyFont="1" applyBorder="1"/>
    <xf numFmtId="0" fontId="10" fillId="0" borderId="0" xfId="0" applyFont="1" applyAlignment="1">
      <alignment horizontal="left"/>
    </xf>
    <xf numFmtId="0" fontId="10" fillId="0" borderId="0" xfId="0" applyFont="1" applyFill="1"/>
    <xf numFmtId="0" fontId="46" fillId="0" borderId="0" xfId="0" applyFont="1" applyBorder="1" applyAlignment="1">
      <alignment horizontal="left" vertical="center"/>
    </xf>
    <xf numFmtId="0" fontId="10" fillId="0" borderId="0" xfId="0" applyFont="1" applyBorder="1"/>
    <xf numFmtId="0" fontId="45" fillId="0" borderId="27" xfId="0" applyFont="1" applyBorder="1" applyAlignment="1">
      <alignment horizontal="center" vertical="center" wrapText="1"/>
    </xf>
    <xf numFmtId="0" fontId="45" fillId="0" borderId="28" xfId="0" applyFont="1" applyBorder="1" applyAlignment="1">
      <alignment horizontal="center" vertical="center" wrapText="1"/>
    </xf>
    <xf numFmtId="0" fontId="47" fillId="0" borderId="28" xfId="0" applyFont="1" applyBorder="1" applyAlignment="1">
      <alignment horizontal="center" vertical="center" wrapText="1"/>
    </xf>
    <xf numFmtId="0" fontId="45" fillId="0" borderId="29" xfId="0" applyFont="1" applyFill="1" applyBorder="1" applyAlignment="1">
      <alignment horizontal="center" vertical="center" wrapText="1"/>
    </xf>
    <xf numFmtId="0" fontId="45" fillId="0" borderId="7" xfId="0" applyFont="1" applyBorder="1" applyAlignment="1">
      <alignment horizontal="center" vertical="center" wrapText="1"/>
    </xf>
    <xf numFmtId="3" fontId="45" fillId="0" borderId="23" xfId="0" applyNumberFormat="1" applyFont="1" applyBorder="1" applyAlignment="1">
      <alignment horizontal="center" vertical="center" wrapText="1"/>
    </xf>
    <xf numFmtId="10" fontId="45" fillId="0" borderId="23" xfId="0" applyNumberFormat="1" applyFont="1" applyBorder="1" applyAlignment="1">
      <alignment horizontal="center" vertical="center" wrapText="1"/>
    </xf>
    <xf numFmtId="3" fontId="45" fillId="0" borderId="1" xfId="0" applyNumberFormat="1" applyFont="1" applyBorder="1" applyAlignment="1">
      <alignment horizontal="center" vertical="center" wrapText="1"/>
    </xf>
    <xf numFmtId="10" fontId="45" fillId="0" borderId="1" xfId="0" applyNumberFormat="1" applyFont="1" applyBorder="1" applyAlignment="1">
      <alignment horizontal="center" vertical="center" wrapText="1"/>
    </xf>
    <xf numFmtId="0" fontId="43" fillId="0" borderId="2" xfId="0" applyFont="1" applyBorder="1" applyAlignment="1">
      <alignment horizontal="center" vertical="center" wrapText="1"/>
    </xf>
    <xf numFmtId="0" fontId="43" fillId="0" borderId="1" xfId="0" applyFont="1" applyBorder="1" applyAlignment="1">
      <alignment horizontal="center" vertical="center" wrapText="1"/>
    </xf>
    <xf numFmtId="10" fontId="43" fillId="0" borderId="1" xfId="0" applyNumberFormat="1" applyFont="1" applyBorder="1" applyAlignment="1">
      <alignment horizontal="center" vertical="center" wrapText="1"/>
    </xf>
    <xf numFmtId="0" fontId="43" fillId="0" borderId="10" xfId="0" applyFont="1" applyBorder="1" applyAlignment="1">
      <alignment horizontal="center" vertical="center" wrapText="1"/>
    </xf>
    <xf numFmtId="10" fontId="43" fillId="0" borderId="10" xfId="0" applyNumberFormat="1" applyFont="1" applyBorder="1" applyAlignment="1">
      <alignment horizontal="center" vertical="center" wrapText="1"/>
    </xf>
    <xf numFmtId="0" fontId="43" fillId="0" borderId="0" xfId="0" applyFont="1" applyBorder="1" applyAlignment="1">
      <alignment horizontal="center" vertical="center" wrapText="1"/>
    </xf>
    <xf numFmtId="3" fontId="43" fillId="0" borderId="0" xfId="0" applyNumberFormat="1" applyFont="1" applyBorder="1" applyAlignment="1">
      <alignment horizontal="center" vertical="center" wrapText="1"/>
    </xf>
    <xf numFmtId="0" fontId="45" fillId="0" borderId="30" xfId="0" applyFont="1" applyFill="1" applyBorder="1" applyAlignment="1">
      <alignment horizontal="center" vertical="center" wrapText="1"/>
    </xf>
    <xf numFmtId="3" fontId="45" fillId="0" borderId="0" xfId="0" applyNumberFormat="1" applyFont="1" applyBorder="1" applyAlignment="1">
      <alignment horizontal="center" vertical="center" wrapText="1"/>
    </xf>
    <xf numFmtId="3" fontId="48" fillId="0" borderId="8" xfId="0" applyNumberFormat="1" applyFont="1" applyBorder="1" applyAlignment="1">
      <alignment horizontal="center" vertical="center" wrapText="1"/>
    </xf>
    <xf numFmtId="3" fontId="48" fillId="0" borderId="11" xfId="0" applyNumberFormat="1" applyFont="1" applyBorder="1" applyAlignment="1">
      <alignment horizontal="center" vertical="center" wrapText="1"/>
    </xf>
    <xf numFmtId="169" fontId="45" fillId="0" borderId="8" xfId="0" applyNumberFormat="1" applyFont="1" applyBorder="1" applyAlignment="1">
      <alignment horizontal="center" vertical="center" wrapText="1"/>
    </xf>
    <xf numFmtId="3" fontId="43" fillId="0" borderId="8" xfId="0" applyNumberFormat="1" applyFont="1" applyBorder="1" applyAlignment="1">
      <alignment horizontal="center" vertical="center" wrapText="1"/>
    </xf>
    <xf numFmtId="0" fontId="10" fillId="0" borderId="39" xfId="0" applyFont="1" applyBorder="1"/>
    <xf numFmtId="0" fontId="10" fillId="0" borderId="23" xfId="0" applyFont="1" applyBorder="1"/>
    <xf numFmtId="0" fontId="10" fillId="0" borderId="2" xfId="0" applyFont="1" applyBorder="1"/>
    <xf numFmtId="0" fontId="10" fillId="0" borderId="9" xfId="0" applyFont="1" applyBorder="1"/>
    <xf numFmtId="0" fontId="10" fillId="0" borderId="10" xfId="0" applyFont="1" applyBorder="1"/>
    <xf numFmtId="0" fontId="45" fillId="0" borderId="2" xfId="0" applyFont="1" applyFill="1" applyBorder="1" applyAlignment="1">
      <alignment horizontal="center" vertical="center" wrapText="1"/>
    </xf>
    <xf numFmtId="0" fontId="45" fillId="0" borderId="1" xfId="0" applyFont="1" applyFill="1" applyBorder="1" applyAlignment="1">
      <alignment horizontal="center" vertical="center" wrapText="1"/>
    </xf>
    <xf numFmtId="0" fontId="45" fillId="0" borderId="8" xfId="0" applyFont="1" applyFill="1" applyBorder="1" applyAlignment="1">
      <alignment horizontal="center" vertical="center" wrapText="1"/>
    </xf>
    <xf numFmtId="3" fontId="45" fillId="0" borderId="1" xfId="0" applyNumberFormat="1" applyFont="1" applyFill="1" applyBorder="1" applyAlignment="1">
      <alignment horizontal="center" vertical="center" wrapText="1"/>
    </xf>
    <xf numFmtId="3" fontId="45" fillId="0" borderId="8" xfId="0" applyNumberFormat="1" applyFont="1" applyFill="1" applyBorder="1" applyAlignment="1">
      <alignment horizontal="center" vertical="center" wrapText="1"/>
    </xf>
    <xf numFmtId="3" fontId="45" fillId="0" borderId="10" xfId="0" applyNumberFormat="1" applyFont="1" applyFill="1" applyBorder="1" applyAlignment="1">
      <alignment horizontal="center" vertical="center" wrapText="1"/>
    </xf>
    <xf numFmtId="3" fontId="45" fillId="0" borderId="11" xfId="0" applyNumberFormat="1" applyFont="1" applyFill="1" applyBorder="1" applyAlignment="1">
      <alignment horizontal="center" vertical="center" wrapText="1"/>
    </xf>
    <xf numFmtId="0" fontId="20" fillId="0" borderId="0" xfId="0" applyFont="1" applyFill="1" applyAlignment="1">
      <alignment horizontal="center"/>
    </xf>
    <xf numFmtId="0" fontId="20" fillId="0" borderId="0" xfId="0" applyFont="1" applyFill="1" applyAlignment="1">
      <alignment horizontal="left"/>
    </xf>
    <xf numFmtId="0" fontId="21" fillId="0" borderId="0" xfId="0" applyFont="1" applyFill="1" applyAlignment="1">
      <alignment horizontal="left"/>
    </xf>
    <xf numFmtId="0" fontId="10" fillId="0" borderId="0" xfId="521" applyFont="1"/>
    <xf numFmtId="0" fontId="26" fillId="0" borderId="0" xfId="524" applyFont="1" applyFill="1"/>
    <xf numFmtId="0" fontId="10" fillId="0" borderId="0" xfId="521" applyFont="1" applyAlignment="1">
      <alignment horizontal="left"/>
    </xf>
    <xf numFmtId="0" fontId="26" fillId="0" borderId="0" xfId="524" applyFont="1"/>
    <xf numFmtId="9" fontId="10" fillId="0" borderId="0" xfId="559" applyFont="1" applyFill="1"/>
    <xf numFmtId="9" fontId="26" fillId="0" borderId="0" xfId="524" applyNumberFormat="1" applyFont="1" applyFill="1"/>
    <xf numFmtId="9" fontId="26" fillId="0" borderId="0" xfId="524" applyNumberFormat="1" applyFont="1"/>
    <xf numFmtId="0" fontId="49" fillId="0" borderId="0" xfId="524" applyFont="1"/>
    <xf numFmtId="0" fontId="50" fillId="0" borderId="0" xfId="524" applyFont="1"/>
    <xf numFmtId="0" fontId="10" fillId="0" borderId="39" xfId="521" applyFont="1" applyBorder="1"/>
    <xf numFmtId="0" fontId="10" fillId="0" borderId="26" xfId="521" applyFont="1" applyBorder="1" applyAlignment="1">
      <alignment horizontal="center"/>
    </xf>
    <xf numFmtId="0" fontId="10" fillId="0" borderId="7" xfId="521" applyFont="1" applyBorder="1"/>
    <xf numFmtId="0" fontId="10" fillId="0" borderId="2" xfId="521" applyFont="1" applyBorder="1"/>
    <xf numFmtId="3" fontId="10" fillId="0" borderId="1" xfId="521" applyNumberFormat="1" applyFont="1" applyFill="1" applyBorder="1" applyAlignment="1">
      <alignment horizontal="center"/>
    </xf>
    <xf numFmtId="168" fontId="10" fillId="0" borderId="2" xfId="558" applyNumberFormat="1" applyFont="1" applyFill="1" applyBorder="1" applyAlignment="1">
      <alignment horizontal="center"/>
    </xf>
    <xf numFmtId="10" fontId="10" fillId="0" borderId="2" xfId="558" applyNumberFormat="1" applyFont="1" applyFill="1" applyBorder="1" applyAlignment="1">
      <alignment horizontal="center"/>
    </xf>
    <xf numFmtId="0" fontId="10" fillId="0" borderId="43" xfId="521" applyFont="1" applyBorder="1"/>
    <xf numFmtId="0" fontId="10" fillId="0" borderId="9" xfId="521" applyFont="1" applyBorder="1"/>
    <xf numFmtId="10" fontId="10" fillId="0" borderId="9" xfId="558" applyNumberFormat="1" applyFont="1" applyFill="1" applyBorder="1" applyAlignment="1">
      <alignment horizontal="center"/>
    </xf>
    <xf numFmtId="0" fontId="10" fillId="0" borderId="0" xfId="521" applyFont="1" applyFill="1" applyBorder="1"/>
    <xf numFmtId="1" fontId="10" fillId="0" borderId="0" xfId="521" applyNumberFormat="1" applyFont="1" applyFill="1" applyBorder="1" applyAlignment="1">
      <alignment horizontal="center"/>
    </xf>
    <xf numFmtId="1" fontId="43" fillId="0" borderId="0" xfId="521" applyNumberFormat="1" applyFont="1" applyFill="1" applyBorder="1" applyAlignment="1">
      <alignment horizontal="center"/>
    </xf>
    <xf numFmtId="0" fontId="10" fillId="0" borderId="0" xfId="521" applyFont="1" applyFill="1"/>
    <xf numFmtId="0" fontId="10" fillId="0" borderId="0" xfId="521" applyFont="1" applyFill="1" applyBorder="1" applyAlignment="1">
      <alignment horizontal="center"/>
    </xf>
    <xf numFmtId="3" fontId="10" fillId="0" borderId="0" xfId="521" applyNumberFormat="1" applyFont="1" applyFill="1" applyBorder="1" applyAlignment="1">
      <alignment horizontal="center"/>
    </xf>
    <xf numFmtId="3" fontId="43" fillId="0" borderId="0" xfId="521" applyNumberFormat="1" applyFont="1" applyFill="1" applyBorder="1" applyAlignment="1">
      <alignment horizontal="center"/>
    </xf>
    <xf numFmtId="0" fontId="52" fillId="0" borderId="0" xfId="521" applyFont="1" applyFill="1" applyBorder="1" applyAlignment="1">
      <alignment horizontal="left" vertical="center"/>
    </xf>
    <xf numFmtId="0" fontId="10" fillId="0" borderId="1" xfId="521" applyFont="1" applyBorder="1" applyAlignment="1">
      <alignment horizontal="center"/>
    </xf>
    <xf numFmtId="0" fontId="10" fillId="0" borderId="23" xfId="521" applyFont="1" applyBorder="1" applyAlignment="1">
      <alignment horizontal="center"/>
    </xf>
    <xf numFmtId="3" fontId="43" fillId="0" borderId="1" xfId="0" applyNumberFormat="1" applyFont="1" applyBorder="1" applyAlignment="1">
      <alignment horizontal="center" vertical="center" wrapText="1"/>
    </xf>
    <xf numFmtId="3" fontId="43" fillId="0" borderId="10" xfId="0" applyNumberFormat="1" applyFont="1" applyBorder="1" applyAlignment="1">
      <alignment horizontal="center" vertical="center" wrapText="1"/>
    </xf>
    <xf numFmtId="0" fontId="53" fillId="0" borderId="0" xfId="0" applyFont="1" applyBorder="1" applyAlignment="1">
      <alignment horizontal="left" vertical="center"/>
    </xf>
    <xf numFmtId="0" fontId="45" fillId="0" borderId="0" xfId="0" applyFont="1" applyFill="1" applyBorder="1" applyAlignment="1">
      <alignment vertical="top"/>
    </xf>
    <xf numFmtId="0" fontId="10" fillId="0" borderId="0" xfId="0" applyFont="1" applyProtection="1"/>
    <xf numFmtId="0" fontId="0" fillId="0" borderId="0" xfId="0" applyAlignment="1">
      <alignment horizontal="center"/>
    </xf>
    <xf numFmtId="0" fontId="24" fillId="0" borderId="0" xfId="0" applyFont="1" applyAlignment="1">
      <alignment horizontal="center" vertical="top"/>
    </xf>
    <xf numFmtId="0" fontId="10" fillId="0" borderId="0" xfId="0" applyFont="1" applyBorder="1" applyAlignment="1" applyProtection="1">
      <alignment vertical="center"/>
    </xf>
    <xf numFmtId="0" fontId="10" fillId="0" borderId="0" xfId="0" applyFont="1" applyFill="1" applyBorder="1" applyAlignment="1" applyProtection="1">
      <alignment vertical="center"/>
    </xf>
    <xf numFmtId="172" fontId="10" fillId="0" borderId="0" xfId="383" applyNumberFormat="1" applyFont="1" applyFill="1" applyBorder="1" applyAlignment="1">
      <alignment horizontal="left"/>
    </xf>
    <xf numFmtId="0" fontId="10" fillId="0" borderId="0" xfId="0" applyFont="1" applyBorder="1" applyProtection="1"/>
    <xf numFmtId="0" fontId="10" fillId="0" borderId="0" xfId="0" applyFont="1" applyAlignment="1" applyProtection="1">
      <alignment vertical="center"/>
    </xf>
    <xf numFmtId="0" fontId="10" fillId="0" borderId="0" xfId="0" applyFont="1" applyFill="1" applyAlignment="1" applyProtection="1">
      <alignment vertical="center"/>
    </xf>
    <xf numFmtId="1" fontId="10" fillId="33" borderId="9" xfId="379" applyNumberFormat="1" applyFont="1" applyFill="1" applyBorder="1" applyAlignment="1">
      <alignment horizontal="center"/>
    </xf>
    <xf numFmtId="0" fontId="10" fillId="0" borderId="0" xfId="0" applyFont="1" applyBorder="1" applyAlignment="1">
      <alignment horizontal="center"/>
    </xf>
    <xf numFmtId="0" fontId="45" fillId="0" borderId="0" xfId="0" applyFont="1" applyFill="1" applyBorder="1" applyAlignment="1">
      <alignment horizontal="center" vertical="center" wrapText="1"/>
    </xf>
    <xf numFmtId="3" fontId="48" fillId="0" borderId="0" xfId="0" applyNumberFormat="1" applyFont="1" applyBorder="1" applyAlignment="1">
      <alignment horizontal="center" vertical="center" wrapText="1"/>
    </xf>
    <xf numFmtId="0" fontId="43" fillId="34" borderId="0" xfId="0" applyFont="1" applyFill="1" applyBorder="1" applyAlignment="1">
      <alignment horizontal="center" vertical="center" wrapText="1"/>
    </xf>
    <xf numFmtId="3" fontId="43" fillId="34" borderId="0" xfId="0" applyNumberFormat="1" applyFont="1" applyFill="1" applyBorder="1" applyAlignment="1">
      <alignment horizontal="center" vertical="center" wrapText="1"/>
    </xf>
    <xf numFmtId="10" fontId="43" fillId="34" borderId="0" xfId="0" applyNumberFormat="1" applyFont="1" applyFill="1" applyBorder="1" applyAlignment="1">
      <alignment horizontal="center" vertical="center" wrapText="1"/>
    </xf>
    <xf numFmtId="3" fontId="43" fillId="34" borderId="0" xfId="0" applyNumberFormat="1" applyFont="1" applyFill="1" applyBorder="1" applyAlignment="1">
      <alignment horizontal="left" vertical="center"/>
    </xf>
    <xf numFmtId="0" fontId="10" fillId="34" borderId="0" xfId="0" applyFont="1" applyFill="1"/>
    <xf numFmtId="0" fontId="10" fillId="34" borderId="0" xfId="0" applyFont="1" applyFill="1" applyBorder="1"/>
    <xf numFmtId="0" fontId="53" fillId="0" borderId="0" xfId="0" applyFont="1" applyFill="1" applyBorder="1" applyAlignment="1">
      <alignment horizontal="left" vertical="center"/>
    </xf>
    <xf numFmtId="0" fontId="50" fillId="0" borderId="0" xfId="0" applyFont="1" applyAlignment="1" applyProtection="1">
      <alignment horizontal="left" vertical="center"/>
    </xf>
    <xf numFmtId="0" fontId="10" fillId="0" borderId="0" xfId="0" applyFont="1" applyAlignment="1" applyProtection="1">
      <alignment horizontal="left" vertical="center"/>
    </xf>
    <xf numFmtId="0" fontId="10" fillId="0" borderId="0" xfId="0" applyFont="1" applyAlignment="1" applyProtection="1">
      <alignment horizontal="left"/>
    </xf>
    <xf numFmtId="0" fontId="10" fillId="0" borderId="0" xfId="0" applyFont="1" applyAlignment="1">
      <alignment horizontal="left" indent="1"/>
    </xf>
    <xf numFmtId="49" fontId="10" fillId="33" borderId="0" xfId="383" applyNumberFormat="1" applyFont="1" applyFill="1" applyBorder="1" applyAlignment="1">
      <alignment horizontal="center"/>
    </xf>
    <xf numFmtId="49" fontId="10" fillId="0" borderId="0" xfId="383" applyNumberFormat="1" applyFont="1" applyFill="1" applyBorder="1" applyAlignment="1">
      <alignment horizontal="center"/>
    </xf>
    <xf numFmtId="0" fontId="10" fillId="0" borderId="0" xfId="0" applyFont="1" applyFill="1" applyAlignment="1">
      <alignment horizontal="center"/>
    </xf>
    <xf numFmtId="0" fontId="25" fillId="0" borderId="0" xfId="0" applyFont="1" applyAlignment="1">
      <alignment horizontal="left" vertical="top"/>
    </xf>
    <xf numFmtId="3" fontId="43" fillId="0" borderId="1" xfId="0" applyNumberFormat="1" applyFont="1" applyBorder="1" applyAlignment="1">
      <alignment horizontal="center" vertical="center" wrapText="1"/>
    </xf>
    <xf numFmtId="3" fontId="43" fillId="0" borderId="10" xfId="0" applyNumberFormat="1" applyFont="1" applyBorder="1" applyAlignment="1">
      <alignment horizontal="center" vertical="center" wrapText="1"/>
    </xf>
    <xf numFmtId="0" fontId="10" fillId="0" borderId="38" xfId="0" applyFont="1" applyFill="1" applyBorder="1" applyAlignment="1">
      <alignment horizontal="center"/>
    </xf>
    <xf numFmtId="49" fontId="10" fillId="0" borderId="15" xfId="0" applyNumberFormat="1" applyFont="1" applyFill="1" applyBorder="1" applyAlignment="1">
      <alignment horizontal="center"/>
    </xf>
    <xf numFmtId="49" fontId="17" fillId="0" borderId="9" xfId="516" applyNumberFormat="1" applyFont="1" applyFill="1" applyBorder="1" applyAlignment="1">
      <alignment horizontal="center"/>
    </xf>
    <xf numFmtId="49" fontId="17" fillId="0" borderId="2" xfId="516" applyNumberFormat="1" applyFont="1" applyFill="1" applyBorder="1" applyAlignment="1">
      <alignment horizontal="center"/>
    </xf>
    <xf numFmtId="0" fontId="10" fillId="0" borderId="23" xfId="0" applyFont="1" applyFill="1" applyBorder="1" applyAlignment="1">
      <alignment horizontal="center"/>
    </xf>
    <xf numFmtId="0" fontId="10" fillId="0" borderId="4" xfId="0" applyFont="1" applyBorder="1" applyAlignment="1">
      <alignment horizontal="center" wrapText="1"/>
    </xf>
    <xf numFmtId="1" fontId="10" fillId="0" borderId="23" xfId="0" applyNumberFormat="1" applyFont="1" applyFill="1" applyBorder="1" applyAlignment="1">
      <alignment horizontal="center"/>
    </xf>
    <xf numFmtId="0" fontId="10" fillId="0" borderId="30" xfId="0" applyFont="1" applyFill="1" applyBorder="1" applyAlignment="1">
      <alignment horizontal="center"/>
    </xf>
    <xf numFmtId="167" fontId="10" fillId="0" borderId="1" xfId="0" applyNumberFormat="1" applyFont="1" applyFill="1" applyBorder="1" applyAlignment="1">
      <alignment horizontal="center"/>
    </xf>
    <xf numFmtId="167" fontId="10" fillId="0" borderId="8" xfId="0" applyNumberFormat="1" applyFont="1" applyFill="1" applyBorder="1" applyAlignment="1">
      <alignment horizontal="center"/>
    </xf>
    <xf numFmtId="17" fontId="10" fillId="0" borderId="23" xfId="0" applyNumberFormat="1" applyFont="1" applyBorder="1" applyAlignment="1">
      <alignment horizontal="center"/>
    </xf>
    <xf numFmtId="17" fontId="10" fillId="0" borderId="0" xfId="0" applyNumberFormat="1" applyFont="1" applyBorder="1" applyAlignment="1">
      <alignment horizontal="center"/>
    </xf>
    <xf numFmtId="0" fontId="17" fillId="0" borderId="0" xfId="0" applyFont="1"/>
    <xf numFmtId="49" fontId="45" fillId="0" borderId="7" xfId="0" applyNumberFormat="1" applyFont="1" applyBorder="1" applyAlignment="1">
      <alignment horizontal="center" vertical="center" wrapText="1"/>
    </xf>
    <xf numFmtId="49" fontId="43" fillId="0" borderId="7" xfId="0" applyNumberFormat="1" applyFont="1" applyBorder="1" applyAlignment="1">
      <alignment horizontal="center" vertical="center" wrapText="1"/>
    </xf>
    <xf numFmtId="49" fontId="43" fillId="0" borderId="27" xfId="0" applyNumberFormat="1" applyFont="1" applyBorder="1" applyAlignment="1">
      <alignment horizontal="center" vertical="center" wrapText="1"/>
    </xf>
    <xf numFmtId="49" fontId="43" fillId="0" borderId="2" xfId="0" applyNumberFormat="1" applyFont="1" applyBorder="1" applyAlignment="1">
      <alignment horizontal="center" vertical="center" wrapText="1"/>
    </xf>
    <xf numFmtId="1" fontId="10" fillId="0" borderId="0" xfId="0" applyNumberFormat="1" applyFont="1"/>
    <xf numFmtId="169" fontId="45" fillId="0" borderId="0" xfId="0" applyNumberFormat="1" applyFont="1" applyBorder="1" applyAlignment="1">
      <alignment horizontal="center" vertical="center" wrapText="1"/>
    </xf>
    <xf numFmtId="169" fontId="16" fillId="0" borderId="0" xfId="0" applyNumberFormat="1" applyFont="1" applyBorder="1" applyAlignment="1">
      <alignment horizontal="center" vertical="center" wrapText="1"/>
    </xf>
    <xf numFmtId="0" fontId="54" fillId="0" borderId="0" xfId="0" applyFont="1" applyBorder="1" applyAlignment="1">
      <alignment horizontal="center" vertical="center" wrapText="1"/>
    </xf>
    <xf numFmtId="0" fontId="54" fillId="0" borderId="0" xfId="0" applyFont="1" applyFill="1" applyBorder="1" applyAlignment="1">
      <alignment horizontal="center" vertical="center" wrapText="1"/>
    </xf>
    <xf numFmtId="9" fontId="45" fillId="0" borderId="1" xfId="557" applyFont="1" applyFill="1" applyBorder="1" applyAlignment="1">
      <alignment horizontal="center" vertical="center" wrapText="1"/>
    </xf>
    <xf numFmtId="9" fontId="43" fillId="0" borderId="1" xfId="557" applyFont="1" applyFill="1" applyBorder="1" applyAlignment="1">
      <alignment horizontal="center" vertical="center" wrapText="1"/>
    </xf>
    <xf numFmtId="3" fontId="16" fillId="0" borderId="1" xfId="0" applyNumberFormat="1" applyFont="1" applyBorder="1" applyAlignment="1">
      <alignment horizontal="center" vertical="center" wrapText="1"/>
    </xf>
    <xf numFmtId="49" fontId="45" fillId="0" borderId="2" xfId="0" applyNumberFormat="1" applyFont="1" applyBorder="1" applyAlignment="1">
      <alignment horizontal="center" vertical="center" wrapText="1"/>
    </xf>
    <xf numFmtId="169" fontId="16" fillId="0" borderId="8" xfId="0" applyNumberFormat="1" applyFont="1" applyBorder="1" applyAlignment="1">
      <alignment horizontal="center" vertical="center" wrapText="1"/>
    </xf>
    <xf numFmtId="0" fontId="10" fillId="0" borderId="9" xfId="0" applyFont="1" applyBorder="1" applyAlignment="1">
      <alignment horizontal="center"/>
    </xf>
    <xf numFmtId="0" fontId="10" fillId="0" borderId="10" xfId="0" applyFont="1" applyBorder="1" applyAlignment="1">
      <alignment horizontal="center"/>
    </xf>
    <xf numFmtId="0" fontId="10" fillId="0" borderId="11" xfId="0" applyFont="1" applyBorder="1"/>
    <xf numFmtId="49" fontId="10" fillId="0" borderId="42" xfId="0" applyNumberFormat="1" applyFont="1" applyBorder="1" applyAlignment="1">
      <alignment horizontal="center"/>
    </xf>
    <xf numFmtId="49" fontId="10" fillId="0" borderId="26" xfId="0" applyNumberFormat="1" applyFont="1" applyBorder="1" applyAlignment="1">
      <alignment horizontal="center"/>
    </xf>
    <xf numFmtId="0" fontId="10" fillId="0" borderId="43" xfId="0" applyFont="1" applyBorder="1"/>
    <xf numFmtId="0" fontId="10" fillId="0" borderId="44" xfId="0" applyFont="1" applyBorder="1"/>
    <xf numFmtId="49" fontId="10" fillId="0" borderId="43" xfId="0" applyNumberFormat="1" applyFont="1" applyBorder="1"/>
    <xf numFmtId="170" fontId="10" fillId="0" borderId="23" xfId="379" applyNumberFormat="1" applyFont="1" applyFill="1" applyBorder="1" applyAlignment="1">
      <alignment horizontal="center"/>
    </xf>
    <xf numFmtId="170" fontId="10" fillId="0" borderId="1" xfId="379" applyNumberFormat="1" applyFont="1" applyFill="1" applyBorder="1" applyAlignment="1">
      <alignment horizontal="center"/>
    </xf>
    <xf numFmtId="0" fontId="10" fillId="0" borderId="19" xfId="0" applyFont="1" applyFill="1" applyBorder="1"/>
    <xf numFmtId="49" fontId="10" fillId="0" borderId="2" xfId="0" applyNumberFormat="1" applyFont="1" applyFill="1" applyBorder="1" applyAlignment="1">
      <alignment horizontal="center" vertical="center" wrapText="1"/>
    </xf>
    <xf numFmtId="49" fontId="43" fillId="0" borderId="2" xfId="0" applyNumberFormat="1" applyFont="1" applyFill="1" applyBorder="1" applyAlignment="1">
      <alignment horizontal="center" vertical="center" wrapText="1"/>
    </xf>
    <xf numFmtId="49" fontId="43" fillId="0" borderId="9" xfId="0" applyNumberFormat="1" applyFont="1" applyFill="1" applyBorder="1" applyAlignment="1">
      <alignment horizontal="center" vertical="center" wrapText="1"/>
    </xf>
    <xf numFmtId="0" fontId="43" fillId="0" borderId="0" xfId="0" applyFont="1"/>
    <xf numFmtId="0" fontId="10" fillId="0" borderId="44" xfId="521" applyFont="1" applyBorder="1" applyAlignment="1">
      <alignment horizontal="center"/>
    </xf>
    <xf numFmtId="0" fontId="10" fillId="0" borderId="10" xfId="521" applyFont="1" applyBorder="1" applyAlignment="1">
      <alignment horizontal="center"/>
    </xf>
    <xf numFmtId="0" fontId="10" fillId="0" borderId="0" xfId="521" applyFont="1" applyAlignment="1">
      <alignment horizontal="center"/>
    </xf>
    <xf numFmtId="49" fontId="10" fillId="0" borderId="26" xfId="521" applyNumberFormat="1" applyFont="1" applyBorder="1" applyAlignment="1">
      <alignment horizontal="center"/>
    </xf>
    <xf numFmtId="2" fontId="10" fillId="0" borderId="26" xfId="521" applyNumberFormat="1" applyFont="1" applyBorder="1" applyAlignment="1">
      <alignment horizontal="center"/>
    </xf>
    <xf numFmtId="2" fontId="10" fillId="0" borderId="42" xfId="521" applyNumberFormat="1" applyFont="1" applyBorder="1" applyAlignment="1">
      <alignment horizontal="center"/>
    </xf>
    <xf numFmtId="0" fontId="10" fillId="0" borderId="26" xfId="521" applyNumberFormat="1" applyFont="1" applyBorder="1" applyAlignment="1">
      <alignment horizontal="center"/>
    </xf>
    <xf numFmtId="0" fontId="17" fillId="0" borderId="43" xfId="0" applyFont="1" applyBorder="1"/>
    <xf numFmtId="0" fontId="17" fillId="0" borderId="44" xfId="0" applyFont="1" applyBorder="1"/>
    <xf numFmtId="0" fontId="17" fillId="0" borderId="9" xfId="0" applyFont="1" applyBorder="1"/>
    <xf numFmtId="0" fontId="17" fillId="0" borderId="10" xfId="0" applyFont="1" applyBorder="1"/>
    <xf numFmtId="0" fontId="27" fillId="0" borderId="0" xfId="0" applyFont="1" applyFill="1" applyBorder="1"/>
    <xf numFmtId="0" fontId="45" fillId="0" borderId="28" xfId="0" applyFont="1" applyBorder="1" applyAlignment="1">
      <alignment horizontal="center" wrapText="1"/>
    </xf>
    <xf numFmtId="0" fontId="17" fillId="0" borderId="39" xfId="0" applyFont="1" applyBorder="1" applyAlignment="1">
      <alignment horizontal="center"/>
    </xf>
    <xf numFmtId="43" fontId="10" fillId="0" borderId="1" xfId="379" applyFont="1" applyFill="1" applyBorder="1"/>
    <xf numFmtId="1" fontId="43" fillId="33" borderId="8" xfId="0" applyNumberFormat="1" applyFont="1" applyFill="1" applyBorder="1" applyAlignment="1">
      <alignment horizontal="center"/>
    </xf>
    <xf numFmtId="167" fontId="10" fillId="0" borderId="26" xfId="0" applyNumberFormat="1" applyFont="1" applyBorder="1"/>
    <xf numFmtId="1" fontId="10" fillId="33" borderId="21" xfId="0" applyNumberFormat="1" applyFont="1" applyFill="1" applyBorder="1" applyAlignment="1">
      <alignment horizontal="center"/>
    </xf>
    <xf numFmtId="3" fontId="45" fillId="0" borderId="1" xfId="0" applyNumberFormat="1" applyFont="1" applyBorder="1" applyAlignment="1">
      <alignment horizontal="center" vertical="center" wrapText="1"/>
    </xf>
    <xf numFmtId="174" fontId="26" fillId="0" borderId="0" xfId="524" applyNumberFormat="1" applyFont="1"/>
    <xf numFmtId="175" fontId="26" fillId="0" borderId="0" xfId="524" applyNumberFormat="1" applyFont="1"/>
    <xf numFmtId="0" fontId="10" fillId="0" borderId="66" xfId="521" applyFont="1" applyBorder="1"/>
    <xf numFmtId="0" fontId="10" fillId="0" borderId="55" xfId="521" applyFont="1" applyBorder="1"/>
    <xf numFmtId="0" fontId="10" fillId="0" borderId="21" xfId="521" applyFont="1" applyBorder="1"/>
    <xf numFmtId="49" fontId="10" fillId="0" borderId="21" xfId="521" applyNumberFormat="1" applyFont="1" applyBorder="1"/>
    <xf numFmtId="0" fontId="10" fillId="0" borderId="17" xfId="521" applyFont="1" applyBorder="1"/>
    <xf numFmtId="0" fontId="10" fillId="0" borderId="22" xfId="521" applyFont="1" applyBorder="1"/>
    <xf numFmtId="176" fontId="26" fillId="0" borderId="0" xfId="379" applyNumberFormat="1" applyFont="1"/>
    <xf numFmtId="0" fontId="16" fillId="0" borderId="2" xfId="0" quotePrefix="1" applyFont="1" applyBorder="1" applyAlignment="1">
      <alignment horizontal="center" vertical="center" wrapText="1"/>
    </xf>
    <xf numFmtId="171" fontId="10" fillId="0" borderId="0" xfId="379" applyNumberFormat="1" applyFont="1" applyFill="1" applyBorder="1" applyAlignment="1">
      <alignment horizontal="center"/>
    </xf>
    <xf numFmtId="171" fontId="43" fillId="0" borderId="0" xfId="379" applyNumberFormat="1" applyFont="1" applyFill="1" applyBorder="1" applyAlignment="1">
      <alignment horizontal="center"/>
    </xf>
    <xf numFmtId="170" fontId="10" fillId="0" borderId="0" xfId="379" applyNumberFormat="1" applyFont="1" applyAlignment="1">
      <alignment horizontal="center"/>
    </xf>
    <xf numFmtId="170" fontId="10" fillId="0" borderId="0" xfId="379" applyNumberFormat="1" applyFont="1"/>
    <xf numFmtId="167" fontId="10" fillId="0" borderId="52" xfId="0" applyNumberFormat="1" applyFont="1" applyFill="1" applyBorder="1" applyAlignment="1">
      <alignment horizontal="center"/>
    </xf>
    <xf numFmtId="170" fontId="10" fillId="0" borderId="2" xfId="379" applyNumberFormat="1" applyFont="1" applyBorder="1"/>
    <xf numFmtId="0" fontId="10" fillId="0" borderId="8" xfId="0" applyFont="1" applyBorder="1"/>
    <xf numFmtId="167" fontId="10" fillId="0" borderId="11" xfId="0" applyNumberFormat="1" applyFont="1" applyFill="1" applyBorder="1" applyAlignment="1">
      <alignment horizontal="center"/>
    </xf>
    <xf numFmtId="0" fontId="17" fillId="0" borderId="1" xfId="0" applyFont="1" applyFill="1" applyBorder="1" applyAlignment="1" applyProtection="1">
      <alignment horizontal="center" wrapText="1"/>
      <protection locked="0"/>
    </xf>
    <xf numFmtId="0" fontId="10" fillId="0" borderId="0" xfId="0" applyFont="1" applyProtection="1">
      <protection locked="0"/>
    </xf>
    <xf numFmtId="0" fontId="10" fillId="0" borderId="0" xfId="0" applyFont="1" applyAlignment="1" applyProtection="1">
      <alignment horizontal="center"/>
      <protection locked="0"/>
    </xf>
    <xf numFmtId="0" fontId="25" fillId="0" borderId="0" xfId="0" applyFont="1" applyAlignment="1" applyProtection="1">
      <alignment horizontal="left"/>
      <protection locked="0"/>
    </xf>
    <xf numFmtId="0" fontId="10" fillId="0" borderId="0" xfId="0" applyFont="1" applyBorder="1" applyProtection="1">
      <protection locked="0"/>
    </xf>
    <xf numFmtId="0" fontId="10" fillId="0" borderId="1" xfId="0" applyFont="1" applyBorder="1" applyAlignment="1" applyProtection="1">
      <alignment horizontal="center"/>
      <protection locked="0"/>
    </xf>
    <xf numFmtId="49" fontId="10" fillId="0" borderId="1" xfId="0" applyNumberFormat="1" applyFont="1" applyBorder="1" applyAlignment="1" applyProtection="1">
      <alignment horizontal="center"/>
      <protection locked="0"/>
    </xf>
    <xf numFmtId="17" fontId="10" fillId="0" borderId="0" xfId="0" applyNumberFormat="1" applyFont="1" applyBorder="1" applyAlignment="1" applyProtection="1">
      <alignment horizontal="center"/>
      <protection locked="0"/>
    </xf>
    <xf numFmtId="49" fontId="10" fillId="0" borderId="1" xfId="0" applyNumberFormat="1" applyFont="1" applyBorder="1" applyAlignment="1" applyProtection="1">
      <alignment horizontal="center" wrapText="1"/>
      <protection locked="0"/>
    </xf>
    <xf numFmtId="0" fontId="17" fillId="33" borderId="1" xfId="0" applyFont="1" applyFill="1" applyBorder="1" applyAlignment="1" applyProtection="1">
      <alignment horizontal="center" wrapText="1"/>
      <protection locked="0"/>
    </xf>
    <xf numFmtId="0" fontId="57" fillId="0" borderId="0" xfId="0" applyFont="1" applyAlignment="1" applyProtection="1">
      <alignment horizontal="center"/>
      <protection locked="0"/>
    </xf>
    <xf numFmtId="0" fontId="56" fillId="0" borderId="0" xfId="0" applyFont="1" applyAlignment="1" applyProtection="1">
      <alignment horizontal="center"/>
      <protection locked="0"/>
    </xf>
    <xf numFmtId="0" fontId="56" fillId="0" borderId="1" xfId="0" applyFont="1" applyBorder="1" applyAlignment="1" applyProtection="1">
      <alignment horizontal="center"/>
      <protection locked="0"/>
    </xf>
    <xf numFmtId="167" fontId="10" fillId="0" borderId="30" xfId="0" applyNumberFormat="1" applyFont="1" applyBorder="1" applyAlignment="1">
      <alignment horizontal="center"/>
    </xf>
    <xf numFmtId="167" fontId="10" fillId="0" borderId="29" xfId="0" applyNumberFormat="1" applyFont="1" applyBorder="1" applyAlignment="1">
      <alignment horizontal="center"/>
    </xf>
    <xf numFmtId="0" fontId="0" fillId="0" borderId="0" xfId="0" applyProtection="1">
      <protection locked="0"/>
    </xf>
    <xf numFmtId="0" fontId="53" fillId="0" borderId="0" xfId="0" applyFont="1" applyBorder="1" applyAlignment="1" applyProtection="1">
      <alignment horizontal="left" vertical="center"/>
      <protection locked="0"/>
    </xf>
    <xf numFmtId="0" fontId="10" fillId="0" borderId="0" xfId="0" applyFont="1" applyFill="1" applyProtection="1">
      <protection locked="0"/>
    </xf>
    <xf numFmtId="17" fontId="10" fillId="0" borderId="23" xfId="0" applyNumberFormat="1" applyFont="1" applyBorder="1" applyAlignment="1" applyProtection="1">
      <alignment horizontal="center"/>
      <protection locked="0"/>
    </xf>
    <xf numFmtId="170" fontId="10" fillId="0" borderId="23" xfId="379" applyNumberFormat="1" applyFont="1" applyFill="1" applyBorder="1" applyAlignment="1" applyProtection="1">
      <alignment horizontal="center"/>
      <protection locked="0"/>
    </xf>
    <xf numFmtId="0" fontId="10" fillId="0" borderId="1" xfId="0" applyFont="1" applyFill="1" applyBorder="1" applyProtection="1">
      <protection locked="0"/>
    </xf>
    <xf numFmtId="43" fontId="10" fillId="0" borderId="1" xfId="379" applyFont="1" applyFill="1" applyBorder="1" applyProtection="1">
      <protection locked="0"/>
    </xf>
    <xf numFmtId="0" fontId="14" fillId="0" borderId="0" xfId="0" applyFont="1" applyProtection="1">
      <protection locked="0"/>
    </xf>
    <xf numFmtId="43" fontId="10" fillId="0" borderId="1" xfId="379" applyFont="1" applyBorder="1" applyAlignment="1" applyProtection="1">
      <alignment horizontal="center"/>
      <protection locked="0"/>
    </xf>
    <xf numFmtId="10" fontId="10" fillId="0" borderId="1" xfId="557" applyNumberFormat="1" applyFont="1" applyBorder="1" applyAlignment="1" applyProtection="1">
      <alignment horizontal="center"/>
      <protection locked="0"/>
    </xf>
    <xf numFmtId="0" fontId="18" fillId="0" borderId="0" xfId="0" applyFont="1" applyAlignment="1" applyProtection="1">
      <alignment horizontal="center"/>
      <protection locked="0"/>
    </xf>
    <xf numFmtId="0" fontId="18" fillId="0" borderId="0" xfId="0" quotePrefix="1" applyFont="1" applyAlignment="1" applyProtection="1">
      <alignment horizontal="center"/>
      <protection locked="0"/>
    </xf>
    <xf numFmtId="9" fontId="10" fillId="0" borderId="0" xfId="557" applyFont="1" applyProtection="1">
      <protection locked="0"/>
    </xf>
    <xf numFmtId="0" fontId="17" fillId="0" borderId="0" xfId="0" applyFont="1" applyProtection="1">
      <protection locked="0"/>
    </xf>
    <xf numFmtId="10" fontId="17" fillId="0" borderId="0" xfId="0" applyNumberFormat="1" applyFont="1" applyAlignment="1" applyProtection="1">
      <alignment horizontal="center"/>
      <protection locked="0"/>
    </xf>
    <xf numFmtId="0" fontId="19" fillId="0" borderId="0" xfId="0" applyFont="1" applyAlignment="1" applyProtection="1">
      <alignment horizontal="left" indent="1"/>
      <protection locked="0"/>
    </xf>
    <xf numFmtId="17" fontId="10" fillId="0" borderId="0" xfId="0" applyNumberFormat="1" applyFont="1" applyBorder="1" applyProtection="1">
      <protection locked="0"/>
    </xf>
    <xf numFmtId="9" fontId="10" fillId="0" borderId="0" xfId="0" applyNumberFormat="1" applyFont="1" applyProtection="1">
      <protection locked="0"/>
    </xf>
    <xf numFmtId="3" fontId="10" fillId="0" borderId="0" xfId="0" applyNumberFormat="1" applyFont="1"/>
    <xf numFmtId="0" fontId="17" fillId="0" borderId="19" xfId="0" applyFont="1" applyFill="1" applyBorder="1" applyAlignment="1">
      <alignment horizontal="center"/>
    </xf>
    <xf numFmtId="3" fontId="43" fillId="0" borderId="10" xfId="0" applyNumberFormat="1" applyFont="1" applyBorder="1" applyAlignment="1">
      <alignment horizontal="center" vertical="center" wrapText="1"/>
    </xf>
    <xf numFmtId="3" fontId="43" fillId="0" borderId="1" xfId="0" applyNumberFormat="1" applyFont="1" applyBorder="1" applyAlignment="1">
      <alignment horizontal="center" vertical="center" wrapText="1"/>
    </xf>
    <xf numFmtId="3" fontId="43" fillId="0" borderId="50" xfId="0" applyNumberFormat="1" applyFont="1" applyBorder="1" applyAlignment="1">
      <alignment horizontal="center" vertical="center" wrapText="1"/>
    </xf>
    <xf numFmtId="0" fontId="45" fillId="0" borderId="23" xfId="0" applyFont="1" applyBorder="1" applyAlignment="1">
      <alignment horizontal="center" vertical="center" wrapText="1"/>
    </xf>
    <xf numFmtId="3" fontId="43" fillId="0" borderId="1" xfId="0" applyNumberFormat="1" applyFont="1" applyBorder="1" applyAlignment="1">
      <alignment horizontal="center" vertical="center" wrapText="1"/>
    </xf>
    <xf numFmtId="1" fontId="43" fillId="33" borderId="51" xfId="0" applyNumberFormat="1" applyFont="1" applyFill="1" applyBorder="1" applyAlignment="1">
      <alignment horizontal="center"/>
    </xf>
    <xf numFmtId="1" fontId="43" fillId="33" borderId="67" xfId="0" applyNumberFormat="1" applyFont="1" applyFill="1" applyBorder="1" applyAlignment="1">
      <alignment horizontal="center"/>
    </xf>
    <xf numFmtId="0" fontId="10" fillId="0" borderId="39" xfId="0" applyFont="1" applyFill="1" applyBorder="1" applyAlignment="1">
      <alignment horizontal="left"/>
    </xf>
    <xf numFmtId="2" fontId="43" fillId="0" borderId="42" xfId="0" applyNumberFormat="1" applyFont="1" applyFill="1" applyBorder="1" applyAlignment="1">
      <alignment horizontal="center"/>
    </xf>
    <xf numFmtId="0" fontId="10" fillId="0" borderId="66" xfId="0" applyFont="1" applyFill="1" applyBorder="1" applyAlignment="1">
      <alignment horizontal="left"/>
    </xf>
    <xf numFmtId="0" fontId="10" fillId="0" borderId="26" xfId="0" applyFont="1" applyFill="1" applyBorder="1" applyAlignment="1">
      <alignment horizontal="center"/>
    </xf>
    <xf numFmtId="0" fontId="17" fillId="36" borderId="72" xfId="0" applyFont="1" applyFill="1" applyBorder="1" applyAlignment="1">
      <alignment horizontal="center"/>
    </xf>
    <xf numFmtId="0" fontId="17" fillId="36" borderId="73" xfId="0" applyFont="1" applyFill="1" applyBorder="1" applyAlignment="1">
      <alignment horizontal="center"/>
    </xf>
    <xf numFmtId="49" fontId="10" fillId="36" borderId="71" xfId="0" applyNumberFormat="1" applyFont="1" applyFill="1" applyBorder="1" applyAlignment="1">
      <alignment wrapText="1"/>
    </xf>
    <xf numFmtId="167" fontId="10" fillId="0" borderId="10" xfId="0" applyNumberFormat="1" applyFont="1" applyFill="1" applyBorder="1" applyAlignment="1">
      <alignment horizontal="center"/>
    </xf>
    <xf numFmtId="170" fontId="10" fillId="0" borderId="26" xfId="379" applyNumberFormat="1" applyFont="1" applyBorder="1"/>
    <xf numFmtId="170" fontId="10" fillId="0" borderId="1" xfId="379" applyNumberFormat="1" applyFont="1" applyBorder="1" applyAlignment="1">
      <alignment horizontal="center"/>
    </xf>
    <xf numFmtId="170" fontId="10" fillId="0" borderId="10" xfId="379" applyNumberFormat="1" applyFont="1" applyFill="1" applyBorder="1" applyAlignment="1">
      <alignment horizontal="center"/>
    </xf>
    <xf numFmtId="170" fontId="16" fillId="0" borderId="1" xfId="379" applyNumberFormat="1" applyFont="1" applyBorder="1" applyAlignment="1">
      <alignment horizontal="center"/>
    </xf>
    <xf numFmtId="170" fontId="10" fillId="33" borderId="1" xfId="379" applyNumberFormat="1" applyFont="1" applyFill="1" applyBorder="1" applyAlignment="1">
      <alignment horizontal="center"/>
    </xf>
    <xf numFmtId="170" fontId="10" fillId="33" borderId="10" xfId="379" applyNumberFormat="1" applyFont="1" applyFill="1" applyBorder="1" applyAlignment="1">
      <alignment horizontal="center"/>
    </xf>
    <xf numFmtId="170" fontId="10" fillId="0" borderId="0" xfId="0" applyNumberFormat="1" applyFont="1"/>
    <xf numFmtId="0" fontId="10" fillId="0" borderId="70" xfId="0" applyFont="1" applyBorder="1" applyAlignment="1">
      <alignment horizontal="center"/>
    </xf>
    <xf numFmtId="0" fontId="0" fillId="0" borderId="68" xfId="0" applyBorder="1"/>
    <xf numFmtId="0" fontId="65" fillId="0" borderId="0" xfId="0" applyFont="1" applyBorder="1"/>
    <xf numFmtId="0" fontId="66" fillId="0" borderId="50" xfId="0" applyFont="1" applyBorder="1"/>
    <xf numFmtId="0" fontId="66" fillId="0" borderId="54" xfId="0" applyFont="1" applyFill="1" applyBorder="1"/>
    <xf numFmtId="3" fontId="43" fillId="0" borderId="1" xfId="0" applyNumberFormat="1" applyFont="1" applyBorder="1" applyAlignment="1">
      <alignment horizontal="center" vertical="center" wrapText="1"/>
    </xf>
    <xf numFmtId="0" fontId="10" fillId="0" borderId="26" xfId="0" applyFont="1" applyBorder="1" applyAlignment="1">
      <alignment horizontal="center"/>
    </xf>
    <xf numFmtId="49" fontId="43" fillId="0" borderId="9" xfId="0" applyNumberFormat="1" applyFont="1" applyBorder="1" applyAlignment="1">
      <alignment horizontal="center" vertical="center" wrapText="1"/>
    </xf>
    <xf numFmtId="3" fontId="45" fillId="0" borderId="28" xfId="0" applyNumberFormat="1" applyFont="1" applyBorder="1" applyAlignment="1">
      <alignment horizontal="center" vertical="center" wrapText="1"/>
    </xf>
    <xf numFmtId="0" fontId="10" fillId="0" borderId="74" xfId="0" applyFont="1" applyBorder="1"/>
    <xf numFmtId="2" fontId="10" fillId="0" borderId="0" xfId="379" applyNumberFormat="1" applyFont="1" applyFill="1" applyBorder="1" applyAlignment="1" applyProtection="1">
      <alignment horizontal="center"/>
      <protection locked="0"/>
    </xf>
    <xf numFmtId="0" fontId="17" fillId="0" borderId="0" xfId="0" applyFont="1" applyFill="1" applyAlignment="1" applyProtection="1">
      <alignment horizontal="center" vertical="center"/>
      <protection locked="0"/>
    </xf>
    <xf numFmtId="0" fontId="56" fillId="0" borderId="1" xfId="0" applyFont="1" applyBorder="1" applyAlignment="1">
      <alignment horizontal="center"/>
    </xf>
    <xf numFmtId="169" fontId="16" fillId="0" borderId="52" xfId="0" applyNumberFormat="1" applyFont="1" applyBorder="1" applyAlignment="1">
      <alignment horizontal="center" vertical="center" wrapText="1"/>
    </xf>
    <xf numFmtId="0" fontId="56" fillId="0" borderId="15" xfId="0" applyFont="1" applyBorder="1" applyAlignment="1"/>
    <xf numFmtId="0" fontId="56" fillId="0" borderId="16" xfId="0" applyFont="1" applyBorder="1" applyAlignment="1"/>
    <xf numFmtId="0" fontId="10" fillId="0" borderId="0" xfId="0" applyFont="1" applyAlignment="1">
      <alignment horizontal="center" wrapText="1"/>
    </xf>
    <xf numFmtId="0" fontId="82" fillId="0" borderId="0" xfId="0" applyFont="1" applyAlignment="1">
      <alignment horizontal="left"/>
    </xf>
    <xf numFmtId="172" fontId="10" fillId="0" borderId="0" xfId="383" applyNumberFormat="1" applyFont="1" applyFill="1" applyBorder="1" applyAlignment="1"/>
    <xf numFmtId="0" fontId="56" fillId="0" borderId="39" xfId="0" applyFont="1" applyBorder="1" applyAlignment="1">
      <alignment horizontal="center" wrapText="1"/>
    </xf>
    <xf numFmtId="0" fontId="56" fillId="0" borderId="42" xfId="0" applyFont="1" applyBorder="1" applyAlignment="1">
      <alignment horizontal="center" wrapText="1"/>
    </xf>
    <xf numFmtId="3" fontId="56" fillId="0" borderId="30" xfId="0" applyNumberFormat="1" applyFont="1" applyBorder="1" applyAlignment="1">
      <alignment horizontal="center" vertical="center" wrapText="1"/>
    </xf>
    <xf numFmtId="3" fontId="56" fillId="0" borderId="8" xfId="0" applyNumberFormat="1" applyFont="1" applyBorder="1" applyAlignment="1">
      <alignment horizontal="center" vertical="center" wrapText="1"/>
    </xf>
    <xf numFmtId="0" fontId="56" fillId="0" borderId="51" xfId="0" applyFont="1" applyBorder="1" applyAlignment="1"/>
    <xf numFmtId="0" fontId="56" fillId="0" borderId="67" xfId="0" applyFont="1" applyBorder="1" applyAlignment="1"/>
    <xf numFmtId="3" fontId="56" fillId="0" borderId="55" xfId="0" applyNumberFormat="1" applyFont="1" applyBorder="1" applyAlignment="1">
      <alignment horizontal="center" vertical="center" wrapText="1"/>
    </xf>
    <xf numFmtId="3" fontId="56" fillId="0" borderId="21" xfId="0" applyNumberFormat="1" applyFont="1" applyBorder="1" applyAlignment="1">
      <alignment horizontal="center" vertical="center" wrapText="1"/>
    </xf>
    <xf numFmtId="3" fontId="56" fillId="0" borderId="22" xfId="0" applyNumberFormat="1" applyFont="1" applyBorder="1" applyAlignment="1">
      <alignment horizontal="center" vertical="center" wrapText="1"/>
    </xf>
    <xf numFmtId="49" fontId="56" fillId="0" borderId="1" xfId="0" applyNumberFormat="1" applyFont="1" applyBorder="1" applyAlignment="1">
      <alignment horizontal="center"/>
    </xf>
    <xf numFmtId="0" fontId="45" fillId="0" borderId="50" xfId="0" applyFont="1" applyFill="1" applyBorder="1" applyAlignment="1">
      <alignment horizontal="center" vertical="center" wrapText="1"/>
    </xf>
    <xf numFmtId="3" fontId="16" fillId="0" borderId="50" xfId="0" applyNumberFormat="1" applyFont="1" applyBorder="1" applyAlignment="1">
      <alignment horizontal="center" vertical="center" wrapText="1"/>
    </xf>
    <xf numFmtId="0" fontId="10" fillId="0" borderId="56" xfId="0" applyFont="1" applyBorder="1" applyAlignment="1">
      <alignment horizontal="center"/>
    </xf>
    <xf numFmtId="49" fontId="56" fillId="0" borderId="55" xfId="0" applyNumberFormat="1" applyFont="1" applyBorder="1" applyAlignment="1">
      <alignment horizontal="center"/>
    </xf>
    <xf numFmtId="49" fontId="56" fillId="0" borderId="21" xfId="0" applyNumberFormat="1" applyFont="1" applyBorder="1" applyAlignment="1">
      <alignment horizontal="center"/>
    </xf>
    <xf numFmtId="49" fontId="56" fillId="0" borderId="17" xfId="0" applyNumberFormat="1" applyFont="1" applyBorder="1" applyAlignment="1">
      <alignment horizontal="center"/>
    </xf>
    <xf numFmtId="0" fontId="54" fillId="0" borderId="37" xfId="636" applyFont="1" applyFill="1" applyBorder="1" applyAlignment="1">
      <alignment horizontal="center" vertical="center" wrapText="1"/>
    </xf>
    <xf numFmtId="43" fontId="16" fillId="0" borderId="1" xfId="379" applyFont="1" applyBorder="1" applyAlignment="1">
      <alignment horizontal="center" vertical="center" wrapText="1"/>
    </xf>
    <xf numFmtId="0" fontId="45" fillId="0" borderId="13" xfId="0" applyFont="1" applyFill="1" applyBorder="1" applyAlignment="1">
      <alignment horizontal="center" vertical="center" wrapText="1"/>
    </xf>
    <xf numFmtId="1" fontId="10" fillId="0" borderId="10" xfId="0" applyNumberFormat="1" applyFont="1" applyBorder="1" applyAlignment="1">
      <alignment horizontal="center"/>
    </xf>
    <xf numFmtId="3" fontId="56" fillId="0" borderId="56" xfId="0" applyNumberFormat="1" applyFont="1" applyBorder="1" applyAlignment="1">
      <alignment horizontal="center" vertical="center" wrapText="1"/>
    </xf>
    <xf numFmtId="3" fontId="56" fillId="0" borderId="50" xfId="0" applyNumberFormat="1" applyFont="1" applyBorder="1" applyAlignment="1">
      <alignment horizontal="center" vertical="center" wrapText="1"/>
    </xf>
    <xf numFmtId="173" fontId="10" fillId="0" borderId="8" xfId="379" applyNumberFormat="1" applyFont="1" applyFill="1" applyBorder="1" applyAlignment="1"/>
    <xf numFmtId="1" fontId="10" fillId="0" borderId="1" xfId="0" applyNumberFormat="1" applyFont="1" applyBorder="1" applyAlignment="1">
      <alignment horizontal="center"/>
    </xf>
    <xf numFmtId="43" fontId="10" fillId="0" borderId="1" xfId="0" applyNumberFormat="1" applyFont="1" applyBorder="1" applyAlignment="1">
      <alignment horizontal="center"/>
    </xf>
    <xf numFmtId="170" fontId="10" fillId="0" borderId="8" xfId="379" applyNumberFormat="1" applyFont="1" applyBorder="1" applyAlignment="1">
      <alignment horizontal="center"/>
    </xf>
    <xf numFmtId="170" fontId="10" fillId="0" borderId="11" xfId="379" applyNumberFormat="1" applyFont="1" applyBorder="1" applyAlignment="1">
      <alignment horizontal="center"/>
    </xf>
    <xf numFmtId="0" fontId="10" fillId="0" borderId="19" xfId="0" applyFont="1" applyBorder="1" applyAlignment="1">
      <alignment horizontal="center" wrapText="1"/>
    </xf>
    <xf numFmtId="0" fontId="10" fillId="0" borderId="12" xfId="0" applyFont="1" applyBorder="1" applyAlignment="1">
      <alignment horizontal="center" wrapText="1"/>
    </xf>
    <xf numFmtId="0" fontId="10" fillId="0" borderId="13" xfId="0" applyFont="1" applyBorder="1" applyAlignment="1">
      <alignment horizontal="center" wrapText="1"/>
    </xf>
    <xf numFmtId="176" fontId="10" fillId="0" borderId="50" xfId="0" applyNumberFormat="1" applyFont="1" applyBorder="1" applyAlignment="1">
      <alignment horizontal="center"/>
    </xf>
    <xf numFmtId="176" fontId="10" fillId="0" borderId="56" xfId="0" applyNumberFormat="1" applyFont="1" applyBorder="1" applyAlignment="1">
      <alignment horizontal="center"/>
    </xf>
    <xf numFmtId="170" fontId="10" fillId="0" borderId="21" xfId="379" applyNumberFormat="1" applyFont="1" applyBorder="1" applyAlignment="1">
      <alignment horizontal="center"/>
    </xf>
    <xf numFmtId="170" fontId="10" fillId="0" borderId="22" xfId="379" applyNumberFormat="1" applyFont="1" applyBorder="1" applyAlignment="1">
      <alignment horizontal="center"/>
    </xf>
    <xf numFmtId="0" fontId="10" fillId="0" borderId="36" xfId="0" applyFont="1" applyBorder="1" applyAlignment="1">
      <alignment horizontal="center" wrapText="1"/>
    </xf>
    <xf numFmtId="3" fontId="10" fillId="0" borderId="0" xfId="0" applyNumberFormat="1" applyFont="1" applyAlignment="1">
      <alignment horizontal="center"/>
    </xf>
    <xf numFmtId="0" fontId="85" fillId="0" borderId="0" xfId="0" applyFont="1" applyAlignment="1">
      <alignment horizontal="left"/>
    </xf>
    <xf numFmtId="1" fontId="45" fillId="0" borderId="2" xfId="0" applyNumberFormat="1" applyFont="1" applyBorder="1" applyAlignment="1">
      <alignment horizontal="center" vertical="center" wrapText="1"/>
    </xf>
    <xf numFmtId="0" fontId="45" fillId="0" borderId="19" xfId="0" applyFont="1" applyBorder="1" applyAlignment="1">
      <alignment horizontal="center" vertical="center" wrapText="1"/>
    </xf>
    <xf numFmtId="0" fontId="45" fillId="0" borderId="12" xfId="0" applyFont="1" applyBorder="1" applyAlignment="1">
      <alignment horizontal="center" vertical="center" wrapText="1"/>
    </xf>
    <xf numFmtId="0" fontId="86" fillId="0" borderId="80" xfId="0" applyFont="1" applyBorder="1"/>
    <xf numFmtId="0" fontId="86" fillId="0" borderId="81" xfId="0" quotePrefix="1" applyFont="1" applyBorder="1"/>
    <xf numFmtId="0" fontId="86" fillId="0" borderId="81" xfId="0" applyFont="1" applyBorder="1"/>
    <xf numFmtId="0" fontId="66" fillId="0" borderId="81" xfId="0" applyFont="1" applyBorder="1"/>
    <xf numFmtId="0" fontId="66" fillId="0" borderId="17" xfId="0" applyFont="1" applyBorder="1"/>
    <xf numFmtId="0" fontId="86" fillId="0" borderId="82" xfId="0" applyFont="1" applyBorder="1"/>
    <xf numFmtId="0" fontId="86" fillId="0" borderId="0" xfId="0" quotePrefix="1" applyFont="1" applyBorder="1"/>
    <xf numFmtId="0" fontId="86" fillId="0" borderId="0" xfId="0" applyFont="1" applyBorder="1"/>
    <xf numFmtId="0" fontId="66" fillId="0" borderId="0" xfId="0" applyFont="1" applyBorder="1"/>
    <xf numFmtId="0" fontId="66" fillId="0" borderId="68" xfId="0" applyFont="1" applyBorder="1"/>
    <xf numFmtId="0" fontId="86" fillId="0" borderId="54" xfId="0" applyFont="1" applyBorder="1"/>
    <xf numFmtId="0" fontId="86" fillId="0" borderId="70" xfId="0" quotePrefix="1" applyFont="1" applyBorder="1"/>
    <xf numFmtId="0" fontId="86" fillId="0" borderId="70" xfId="0" applyFont="1" applyBorder="1"/>
    <xf numFmtId="0" fontId="66" fillId="0" borderId="70" xfId="0" applyFont="1" applyBorder="1"/>
    <xf numFmtId="0" fontId="66" fillId="0" borderId="55" xfId="0" applyFont="1" applyBorder="1"/>
    <xf numFmtId="0" fontId="54" fillId="0" borderId="36" xfId="636" applyFont="1" applyFill="1" applyBorder="1" applyAlignment="1">
      <alignment horizontal="center" vertical="center" wrapText="1"/>
    </xf>
    <xf numFmtId="43" fontId="45" fillId="0" borderId="50" xfId="379" applyFont="1" applyBorder="1" applyAlignment="1">
      <alignment horizontal="center" vertical="center" wrapText="1"/>
    </xf>
    <xf numFmtId="172" fontId="10" fillId="0" borderId="8" xfId="383" applyNumberFormat="1" applyFont="1" applyFill="1" applyBorder="1" applyAlignment="1"/>
    <xf numFmtId="43" fontId="10" fillId="0" borderId="10" xfId="0" applyNumberFormat="1" applyFont="1" applyBorder="1" applyAlignment="1">
      <alignment horizontal="center"/>
    </xf>
    <xf numFmtId="176" fontId="45" fillId="0" borderId="1" xfId="379" applyNumberFormat="1" applyFont="1" applyBorder="1" applyAlignment="1">
      <alignment horizontal="center" vertical="center" wrapText="1"/>
    </xf>
    <xf numFmtId="0" fontId="54" fillId="0" borderId="35" xfId="636" applyFont="1" applyBorder="1" applyAlignment="1">
      <alignment horizontal="center" vertical="center" wrapText="1"/>
    </xf>
    <xf numFmtId="172" fontId="10" fillId="0" borderId="11" xfId="383" applyNumberFormat="1" applyFont="1" applyFill="1" applyBorder="1" applyAlignment="1"/>
    <xf numFmtId="177" fontId="16" fillId="0" borderId="1" xfId="0" applyNumberFormat="1" applyFont="1" applyBorder="1" applyAlignment="1">
      <alignment horizontal="center" vertical="center" wrapText="1"/>
    </xf>
    <xf numFmtId="176" fontId="16" fillId="0" borderId="1" xfId="379" applyNumberFormat="1" applyFont="1" applyBorder="1" applyAlignment="1">
      <alignment horizontal="center" vertical="center" wrapText="1"/>
    </xf>
    <xf numFmtId="0" fontId="26" fillId="0" borderId="0" xfId="524" applyFont="1"/>
    <xf numFmtId="10" fontId="10" fillId="0" borderId="0" xfId="559" applyNumberFormat="1" applyFont="1" applyBorder="1"/>
    <xf numFmtId="0" fontId="42" fillId="0" borderId="0" xfId="524" applyFont="1" applyBorder="1" applyAlignment="1">
      <alignment vertical="top" wrapText="1"/>
    </xf>
    <xf numFmtId="0" fontId="51" fillId="0" borderId="0" xfId="524" applyFont="1" applyBorder="1" applyAlignment="1">
      <alignment vertical="top" wrapText="1"/>
    </xf>
    <xf numFmtId="170" fontId="10" fillId="0" borderId="23" xfId="379" applyNumberFormat="1" applyFont="1" applyFill="1" applyBorder="1" applyAlignment="1">
      <alignment horizontal="center"/>
    </xf>
    <xf numFmtId="170" fontId="10" fillId="0" borderId="30" xfId="379" applyNumberFormat="1" applyFont="1" applyFill="1" applyBorder="1" applyAlignment="1">
      <alignment horizontal="center"/>
    </xf>
    <xf numFmtId="170" fontId="10" fillId="0" borderId="1" xfId="379" applyNumberFormat="1" applyFont="1" applyFill="1" applyBorder="1" applyAlignment="1">
      <alignment horizontal="center"/>
    </xf>
    <xf numFmtId="170" fontId="10" fillId="0" borderId="8" xfId="379" applyNumberFormat="1" applyFont="1" applyFill="1" applyBorder="1" applyAlignment="1">
      <alignment horizontal="center"/>
    </xf>
    <xf numFmtId="170" fontId="10" fillId="0" borderId="33" xfId="379" applyNumberFormat="1" applyFont="1" applyFill="1" applyBorder="1" applyAlignment="1">
      <alignment horizontal="center"/>
    </xf>
    <xf numFmtId="170" fontId="10" fillId="0" borderId="44" xfId="379" applyNumberFormat="1" applyFont="1" applyFill="1" applyBorder="1" applyAlignment="1">
      <alignment horizontal="center"/>
    </xf>
    <xf numFmtId="170" fontId="43" fillId="0" borderId="44" xfId="379" applyNumberFormat="1" applyFont="1" applyFill="1" applyBorder="1" applyAlignment="1">
      <alignment horizontal="center"/>
    </xf>
    <xf numFmtId="170" fontId="17" fillId="0" borderId="44" xfId="379" applyNumberFormat="1" applyFont="1" applyFill="1" applyBorder="1" applyAlignment="1">
      <alignment horizontal="center"/>
    </xf>
    <xf numFmtId="170" fontId="17" fillId="0" borderId="18" xfId="379" applyNumberFormat="1" applyFont="1" applyFill="1" applyBorder="1" applyAlignment="1">
      <alignment horizontal="center"/>
    </xf>
    <xf numFmtId="170" fontId="17" fillId="0" borderId="10" xfId="379" applyNumberFormat="1" applyFont="1" applyFill="1" applyBorder="1" applyAlignment="1">
      <alignment horizontal="center"/>
    </xf>
    <xf numFmtId="170" fontId="17" fillId="0" borderId="11" xfId="379" applyNumberFormat="1" applyFont="1" applyFill="1" applyBorder="1" applyAlignment="1">
      <alignment horizontal="center"/>
    </xf>
    <xf numFmtId="170" fontId="10" fillId="0" borderId="2" xfId="379" applyNumberFormat="1" applyFont="1" applyBorder="1"/>
    <xf numFmtId="170" fontId="10" fillId="0" borderId="9" xfId="379" applyNumberFormat="1" applyFont="1" applyBorder="1"/>
    <xf numFmtId="2" fontId="10" fillId="0" borderId="23" xfId="379" applyNumberFormat="1" applyFont="1" applyFill="1" applyBorder="1" applyAlignment="1" applyProtection="1">
      <alignment horizontal="center"/>
      <protection locked="0"/>
    </xf>
    <xf numFmtId="0" fontId="54" fillId="0" borderId="12" xfId="636" applyFont="1" applyFill="1" applyBorder="1" applyAlignment="1">
      <alignment horizontal="center" vertical="center" wrapText="1"/>
    </xf>
    <xf numFmtId="0" fontId="54" fillId="0" borderId="13" xfId="636" applyFont="1" applyFill="1" applyBorder="1" applyAlignment="1">
      <alignment horizontal="center" vertical="center" wrapText="1"/>
    </xf>
    <xf numFmtId="0" fontId="54" fillId="0" borderId="19" xfId="636" applyFont="1" applyBorder="1" applyAlignment="1">
      <alignment horizontal="center" vertical="center" wrapText="1"/>
    </xf>
    <xf numFmtId="0" fontId="17" fillId="0" borderId="17" xfId="0" applyFont="1" applyBorder="1"/>
    <xf numFmtId="0" fontId="17" fillId="0" borderId="22" xfId="0" applyFont="1" applyBorder="1"/>
    <xf numFmtId="170" fontId="10" fillId="0" borderId="1" xfId="379" applyNumberFormat="1" applyFont="1" applyFill="1" applyBorder="1" applyAlignment="1">
      <alignment horizontal="right"/>
    </xf>
    <xf numFmtId="170" fontId="43" fillId="0" borderId="1" xfId="379" applyNumberFormat="1" applyFont="1" applyFill="1" applyBorder="1" applyAlignment="1">
      <alignment horizontal="right"/>
    </xf>
    <xf numFmtId="170" fontId="43" fillId="0" borderId="8" xfId="379" applyNumberFormat="1" applyFont="1" applyFill="1" applyBorder="1" applyAlignment="1">
      <alignment horizontal="right"/>
    </xf>
    <xf numFmtId="170" fontId="10" fillId="0" borderId="44" xfId="379" applyNumberFormat="1" applyFont="1" applyFill="1" applyBorder="1" applyAlignment="1">
      <alignment horizontal="right"/>
    </xf>
    <xf numFmtId="170" fontId="43" fillId="0" borderId="44" xfId="379" applyNumberFormat="1" applyFont="1" applyFill="1" applyBorder="1" applyAlignment="1">
      <alignment horizontal="right"/>
    </xf>
    <xf numFmtId="170" fontId="43" fillId="0" borderId="18" xfId="379" applyNumberFormat="1" applyFont="1" applyFill="1" applyBorder="1" applyAlignment="1">
      <alignment horizontal="right"/>
    </xf>
    <xf numFmtId="170" fontId="17" fillId="0" borderId="44" xfId="379" applyNumberFormat="1" applyFont="1" applyFill="1" applyBorder="1" applyAlignment="1">
      <alignment horizontal="right"/>
    </xf>
    <xf numFmtId="170" fontId="17" fillId="0" borderId="18" xfId="379" applyNumberFormat="1" applyFont="1" applyFill="1" applyBorder="1" applyAlignment="1">
      <alignment horizontal="right"/>
    </xf>
    <xf numFmtId="43" fontId="17" fillId="0" borderId="44" xfId="379" applyNumberFormat="1" applyFont="1" applyFill="1" applyBorder="1" applyAlignment="1">
      <alignment horizontal="right"/>
    </xf>
    <xf numFmtId="170" fontId="17" fillId="0" borderId="10" xfId="379" applyNumberFormat="1" applyFont="1" applyFill="1" applyBorder="1" applyAlignment="1">
      <alignment horizontal="right"/>
    </xf>
    <xf numFmtId="170" fontId="17" fillId="0" borderId="11" xfId="379" applyNumberFormat="1" applyFont="1" applyFill="1" applyBorder="1" applyAlignment="1">
      <alignment horizontal="right"/>
    </xf>
    <xf numFmtId="49" fontId="10" fillId="62" borderId="26" xfId="0" applyNumberFormat="1" applyFont="1" applyFill="1" applyBorder="1" applyAlignment="1">
      <alignment horizontal="center"/>
    </xf>
    <xf numFmtId="49" fontId="10" fillId="62" borderId="42" xfId="0" applyNumberFormat="1" applyFont="1" applyFill="1" applyBorder="1" applyAlignment="1">
      <alignment horizontal="center"/>
    </xf>
    <xf numFmtId="0" fontId="10" fillId="62" borderId="26" xfId="0" applyFont="1" applyFill="1" applyBorder="1" applyAlignment="1">
      <alignment horizontal="center"/>
    </xf>
    <xf numFmtId="2" fontId="10" fillId="0" borderId="7" xfId="0" applyNumberFormat="1" applyFont="1" applyBorder="1"/>
    <xf numFmtId="2" fontId="10" fillId="0" borderId="2" xfId="0" applyNumberFormat="1" applyFont="1" applyBorder="1"/>
    <xf numFmtId="0" fontId="51" fillId="0" borderId="0" xfId="524" applyFont="1" applyAlignment="1">
      <alignment horizontal="center" vertical="center"/>
    </xf>
    <xf numFmtId="2" fontId="10" fillId="0" borderId="7" xfId="521" applyNumberFormat="1" applyFont="1" applyBorder="1"/>
    <xf numFmtId="2" fontId="10" fillId="0" borderId="2" xfId="521" applyNumberFormat="1" applyFont="1" applyBorder="1"/>
    <xf numFmtId="2" fontId="10" fillId="0" borderId="43" xfId="521" applyNumberFormat="1" applyFont="1" applyBorder="1"/>
    <xf numFmtId="49" fontId="10" fillId="0" borderId="42" xfId="521" applyNumberFormat="1" applyFont="1" applyBorder="1" applyAlignment="1">
      <alignment horizontal="center"/>
    </xf>
    <xf numFmtId="2" fontId="10" fillId="0" borderId="19" xfId="521" applyNumberFormat="1" applyFont="1" applyBorder="1"/>
    <xf numFmtId="0" fontId="10" fillId="0" borderId="20" xfId="521" applyFont="1" applyBorder="1"/>
    <xf numFmtId="0" fontId="10" fillId="0" borderId="12" xfId="521" applyFont="1" applyBorder="1" applyAlignment="1">
      <alignment horizontal="center"/>
    </xf>
    <xf numFmtId="170" fontId="10" fillId="0" borderId="18" xfId="379" applyNumberFormat="1" applyFont="1" applyFill="1" applyBorder="1" applyAlignment="1">
      <alignment horizontal="center"/>
    </xf>
    <xf numFmtId="170" fontId="26" fillId="0" borderId="12" xfId="379" applyNumberFormat="1" applyFont="1" applyBorder="1"/>
    <xf numFmtId="170" fontId="26" fillId="0" borderId="13" xfId="379" applyNumberFormat="1" applyFont="1" applyBorder="1"/>
    <xf numFmtId="170" fontId="26" fillId="0" borderId="1" xfId="379" applyNumberFormat="1" applyFont="1" applyBorder="1"/>
    <xf numFmtId="170" fontId="26" fillId="0" borderId="8" xfId="379" applyNumberFormat="1" applyFont="1" applyBorder="1"/>
    <xf numFmtId="170" fontId="10" fillId="0" borderId="11" xfId="379" applyNumberFormat="1" applyFont="1" applyFill="1" applyBorder="1" applyAlignment="1">
      <alignment horizontal="center"/>
    </xf>
    <xf numFmtId="3" fontId="10" fillId="0" borderId="1" xfId="558" applyNumberFormat="1" applyFont="1" applyFill="1" applyBorder="1" applyAlignment="1">
      <alignment horizontal="center"/>
    </xf>
    <xf numFmtId="3" fontId="10" fillId="0" borderId="1" xfId="379" applyNumberFormat="1" applyFont="1" applyFill="1" applyBorder="1" applyAlignment="1">
      <alignment horizontal="center"/>
    </xf>
    <xf numFmtId="3" fontId="10" fillId="0" borderId="10" xfId="558" applyNumberFormat="1" applyFont="1" applyFill="1" applyBorder="1" applyAlignment="1">
      <alignment horizontal="center"/>
    </xf>
    <xf numFmtId="0" fontId="10" fillId="0" borderId="39" xfId="521" applyFont="1" applyBorder="1" applyAlignment="1">
      <alignment horizontal="center" wrapText="1"/>
    </xf>
    <xf numFmtId="0" fontId="10" fillId="0" borderId="26" xfId="521" applyFont="1" applyBorder="1" applyAlignment="1">
      <alignment horizontal="center" wrapText="1"/>
    </xf>
    <xf numFmtId="0" fontId="10" fillId="0" borderId="69" xfId="521" applyFont="1" applyBorder="1" applyAlignment="1">
      <alignment horizontal="center" wrapText="1"/>
    </xf>
    <xf numFmtId="3" fontId="43" fillId="0" borderId="50" xfId="379" applyNumberFormat="1" applyFont="1" applyFill="1" applyBorder="1" applyAlignment="1">
      <alignment horizontal="center"/>
    </xf>
    <xf numFmtId="3" fontId="43" fillId="0" borderId="56" xfId="379" applyNumberFormat="1" applyFont="1" applyFill="1" applyBorder="1" applyAlignment="1">
      <alignment horizontal="center"/>
    </xf>
    <xf numFmtId="0" fontId="10" fillId="0" borderId="26" xfId="521" applyFont="1" applyFill="1" applyBorder="1" applyAlignment="1">
      <alignment horizontal="center" wrapText="1"/>
    </xf>
    <xf numFmtId="0" fontId="10" fillId="0" borderId="42" xfId="521" applyFont="1" applyFill="1" applyBorder="1" applyAlignment="1">
      <alignment horizontal="center" wrapText="1"/>
    </xf>
    <xf numFmtId="0" fontId="10" fillId="0" borderId="36" xfId="521" applyFont="1" applyFill="1" applyBorder="1" applyAlignment="1">
      <alignment horizontal="center" wrapText="1"/>
    </xf>
    <xf numFmtId="10" fontId="10" fillId="0" borderId="19" xfId="558" applyNumberFormat="1" applyFont="1" applyFill="1" applyBorder="1" applyAlignment="1">
      <alignment horizontal="center"/>
    </xf>
    <xf numFmtId="3" fontId="10" fillId="0" borderId="12" xfId="379" applyNumberFormat="1" applyFont="1" applyFill="1" applyBorder="1" applyAlignment="1">
      <alignment horizontal="center"/>
    </xf>
    <xf numFmtId="3" fontId="43" fillId="0" borderId="75" xfId="379" applyNumberFormat="1" applyFont="1" applyFill="1" applyBorder="1" applyAlignment="1">
      <alignment horizontal="center"/>
    </xf>
    <xf numFmtId="3" fontId="10" fillId="0" borderId="13" xfId="0" applyNumberFormat="1" applyFont="1" applyBorder="1"/>
    <xf numFmtId="3" fontId="10" fillId="0" borderId="8" xfId="0" applyNumberFormat="1" applyFont="1" applyBorder="1"/>
    <xf numFmtId="0" fontId="10" fillId="0" borderId="37" xfId="521" applyFont="1" applyFill="1" applyBorder="1" applyAlignment="1">
      <alignment horizontal="center" wrapText="1"/>
    </xf>
    <xf numFmtId="3" fontId="43" fillId="0" borderId="19" xfId="521" applyNumberFormat="1" applyFont="1" applyFill="1" applyBorder="1" applyAlignment="1">
      <alignment horizontal="center"/>
    </xf>
    <xf numFmtId="3" fontId="43" fillId="0" borderId="2" xfId="521" applyNumberFormat="1" applyFont="1" applyFill="1" applyBorder="1" applyAlignment="1">
      <alignment horizontal="center"/>
    </xf>
    <xf numFmtId="3" fontId="43" fillId="0" borderId="9" xfId="521" applyNumberFormat="1" applyFont="1" applyFill="1" applyBorder="1" applyAlignment="1">
      <alignment horizontal="center"/>
    </xf>
    <xf numFmtId="170" fontId="10" fillId="33" borderId="12" xfId="379" applyNumberFormat="1" applyFont="1" applyFill="1" applyBorder="1"/>
    <xf numFmtId="170" fontId="10" fillId="33" borderId="1" xfId="379" applyNumberFormat="1" applyFont="1" applyFill="1" applyBorder="1"/>
    <xf numFmtId="43" fontId="105" fillId="65" borderId="4" xfId="379" applyFont="1" applyFill="1" applyBorder="1" applyAlignment="1">
      <alignment horizontal="center" vertical="center"/>
    </xf>
    <xf numFmtId="0" fontId="14" fillId="0" borderId="0" xfId="0" applyFont="1" applyAlignment="1">
      <alignment horizontal="center" vertical="center"/>
    </xf>
    <xf numFmtId="3" fontId="10" fillId="0" borderId="12" xfId="521" applyNumberFormat="1" applyFont="1" applyFill="1" applyBorder="1" applyAlignment="1">
      <alignment horizontal="center"/>
    </xf>
    <xf numFmtId="0" fontId="10" fillId="0" borderId="35" xfId="521" applyFont="1" applyBorder="1" applyAlignment="1">
      <alignment horizontal="center" wrapText="1"/>
    </xf>
    <xf numFmtId="170" fontId="10" fillId="0" borderId="12" xfId="379" applyNumberFormat="1" applyFont="1" applyFill="1" applyBorder="1" applyAlignment="1">
      <alignment horizontal="center"/>
    </xf>
    <xf numFmtId="170" fontId="10" fillId="0" borderId="13" xfId="379" applyNumberFormat="1" applyFont="1" applyFill="1" applyBorder="1" applyAlignment="1">
      <alignment horizontal="center"/>
    </xf>
    <xf numFmtId="0" fontId="10" fillId="0" borderId="27" xfId="521" applyFont="1" applyBorder="1"/>
    <xf numFmtId="170" fontId="10" fillId="0" borderId="28" xfId="379" applyNumberFormat="1" applyFont="1" applyFill="1" applyBorder="1" applyAlignment="1">
      <alignment horizontal="center"/>
    </xf>
    <xf numFmtId="170" fontId="10" fillId="0" borderId="29" xfId="379" applyNumberFormat="1" applyFont="1" applyFill="1" applyBorder="1" applyAlignment="1">
      <alignment horizontal="center"/>
    </xf>
    <xf numFmtId="0" fontId="10" fillId="0" borderId="28" xfId="521" applyFont="1" applyBorder="1"/>
    <xf numFmtId="3" fontId="10" fillId="0" borderId="28" xfId="521" applyNumberFormat="1" applyFont="1" applyFill="1" applyBorder="1" applyAlignment="1">
      <alignment horizontal="center"/>
    </xf>
    <xf numFmtId="0" fontId="10" fillId="33" borderId="10" xfId="0" applyFont="1" applyFill="1" applyBorder="1"/>
    <xf numFmtId="3" fontId="43" fillId="0" borderId="27" xfId="521" applyNumberFormat="1" applyFont="1" applyFill="1" applyBorder="1" applyAlignment="1">
      <alignment horizontal="center"/>
    </xf>
    <xf numFmtId="3" fontId="10" fillId="0" borderId="29" xfId="521" applyNumberFormat="1" applyFont="1" applyFill="1" applyBorder="1" applyAlignment="1">
      <alignment horizontal="center"/>
    </xf>
    <xf numFmtId="0" fontId="10" fillId="62" borderId="39" xfId="0" applyFont="1" applyFill="1" applyBorder="1"/>
    <xf numFmtId="0" fontId="10" fillId="62" borderId="26" xfId="0" applyFont="1" applyFill="1" applyBorder="1"/>
    <xf numFmtId="0" fontId="17" fillId="0" borderId="32" xfId="0" applyFont="1" applyBorder="1"/>
    <xf numFmtId="0" fontId="17" fillId="0" borderId="68" xfId="0" applyFont="1" applyBorder="1"/>
    <xf numFmtId="0" fontId="17" fillId="0" borderId="33" xfId="0" applyFont="1" applyBorder="1"/>
    <xf numFmtId="170" fontId="17" fillId="0" borderId="33" xfId="379" applyNumberFormat="1" applyFont="1" applyFill="1" applyBorder="1" applyAlignment="1">
      <alignment horizontal="right"/>
    </xf>
    <xf numFmtId="170" fontId="17" fillId="0" borderId="34" xfId="379" applyNumberFormat="1" applyFont="1" applyFill="1" applyBorder="1" applyAlignment="1">
      <alignment horizontal="right"/>
    </xf>
    <xf numFmtId="0" fontId="10" fillId="0" borderId="22" xfId="0" applyFont="1" applyBorder="1"/>
    <xf numFmtId="170" fontId="10" fillId="0" borderId="10" xfId="379" applyNumberFormat="1" applyFont="1" applyFill="1" applyBorder="1" applyAlignment="1">
      <alignment horizontal="right"/>
    </xf>
    <xf numFmtId="170" fontId="43" fillId="0" borderId="10" xfId="379" applyNumberFormat="1" applyFont="1" applyFill="1" applyBorder="1" applyAlignment="1">
      <alignment horizontal="right"/>
    </xf>
    <xf numFmtId="170" fontId="43" fillId="0" borderId="11" xfId="379" applyNumberFormat="1" applyFont="1" applyFill="1" applyBorder="1" applyAlignment="1">
      <alignment horizontal="right"/>
    </xf>
    <xf numFmtId="49" fontId="10" fillId="0" borderId="32" xfId="0" applyNumberFormat="1" applyFont="1" applyBorder="1"/>
    <xf numFmtId="0" fontId="10" fillId="0" borderId="33" xfId="0" applyFont="1" applyBorder="1"/>
    <xf numFmtId="43" fontId="43" fillId="0" borderId="33" xfId="379" applyNumberFormat="1" applyFont="1" applyFill="1" applyBorder="1" applyAlignment="1">
      <alignment horizontal="center"/>
    </xf>
    <xf numFmtId="170" fontId="43" fillId="0" borderId="10" xfId="379" applyNumberFormat="1" applyFont="1" applyFill="1" applyBorder="1" applyAlignment="1">
      <alignment horizontal="center"/>
    </xf>
    <xf numFmtId="2" fontId="10" fillId="0" borderId="43" xfId="0" applyNumberFormat="1" applyFont="1" applyBorder="1"/>
    <xf numFmtId="170" fontId="10" fillId="0" borderId="34" xfId="379" applyNumberFormat="1" applyFont="1" applyFill="1" applyBorder="1" applyAlignment="1">
      <alignment horizontal="center"/>
    </xf>
    <xf numFmtId="0" fontId="54" fillId="0" borderId="20" xfId="636" applyFont="1" applyBorder="1" applyAlignment="1">
      <alignment horizontal="center" vertical="center" wrapText="1"/>
    </xf>
    <xf numFmtId="0" fontId="45" fillId="0" borderId="21" xfId="0" applyFont="1" applyFill="1" applyBorder="1" applyAlignment="1">
      <alignment horizontal="center" vertical="center" wrapText="1"/>
    </xf>
    <xf numFmtId="0" fontId="43" fillId="0" borderId="21" xfId="0" applyFont="1" applyBorder="1" applyAlignment="1">
      <alignment horizontal="center" vertical="center" wrapText="1"/>
    </xf>
    <xf numFmtId="0" fontId="16" fillId="0" borderId="55" xfId="0" quotePrefix="1" applyFont="1" applyBorder="1" applyAlignment="1">
      <alignment horizontal="center" vertical="center" wrapText="1"/>
    </xf>
    <xf numFmtId="0" fontId="10" fillId="0" borderId="22" xfId="0" applyFont="1" applyBorder="1" applyAlignment="1">
      <alignment horizontal="center"/>
    </xf>
    <xf numFmtId="0" fontId="10" fillId="0" borderId="20" xfId="0" applyFont="1" applyBorder="1" applyAlignment="1">
      <alignment horizontal="center" wrapText="1"/>
    </xf>
    <xf numFmtId="49" fontId="10" fillId="0" borderId="21" xfId="0" applyNumberFormat="1" applyFont="1" applyBorder="1" applyAlignment="1">
      <alignment horizontal="center"/>
    </xf>
    <xf numFmtId="49" fontId="10" fillId="0" borderId="22" xfId="0" applyNumberFormat="1" applyFont="1" applyBorder="1" applyAlignment="1">
      <alignment horizontal="center"/>
    </xf>
    <xf numFmtId="0" fontId="16" fillId="0" borderId="21" xfId="0" quotePrefix="1" applyFont="1" applyBorder="1" applyAlignment="1">
      <alignment horizontal="center" vertical="center" wrapText="1"/>
    </xf>
    <xf numFmtId="3" fontId="43" fillId="0" borderId="23" xfId="0" applyNumberFormat="1" applyFont="1" applyBorder="1" applyAlignment="1">
      <alignment horizontal="center" vertical="center" wrapText="1"/>
    </xf>
    <xf numFmtId="0" fontId="66" fillId="0" borderId="50" xfId="0" applyFont="1" applyBorder="1" applyAlignment="1">
      <alignment horizontal="left"/>
    </xf>
    <xf numFmtId="185" fontId="107" fillId="0" borderId="1" xfId="890" applyNumberFormat="1" applyFont="1" applyBorder="1"/>
    <xf numFmtId="0" fontId="66" fillId="0" borderId="1" xfId="860" applyFont="1" applyBorder="1" applyAlignment="1">
      <alignment horizontal="center"/>
    </xf>
    <xf numFmtId="0" fontId="106" fillId="0" borderId="0" xfId="0" applyFont="1" applyProtection="1">
      <protection locked="0"/>
    </xf>
    <xf numFmtId="0" fontId="66" fillId="0" borderId="1" xfId="860" applyFont="1" applyBorder="1"/>
    <xf numFmtId="49" fontId="10" fillId="36" borderId="115" xfId="0" applyNumberFormat="1" applyFont="1" applyFill="1" applyBorder="1" applyAlignment="1">
      <alignment wrapText="1"/>
    </xf>
    <xf numFmtId="0" fontId="17" fillId="36" borderId="116" xfId="0" applyFont="1" applyFill="1" applyBorder="1" applyAlignment="1">
      <alignment horizontal="center"/>
    </xf>
    <xf numFmtId="0" fontId="17" fillId="36" borderId="117" xfId="0" applyFont="1" applyFill="1" applyBorder="1" applyAlignment="1">
      <alignment horizontal="center"/>
    </xf>
    <xf numFmtId="0" fontId="62" fillId="0" borderId="0" xfId="0" applyFont="1" applyAlignment="1">
      <alignment vertical="center" wrapText="1"/>
    </xf>
    <xf numFmtId="170" fontId="45" fillId="0" borderId="23" xfId="379" applyNumberFormat="1" applyFont="1" applyBorder="1" applyAlignment="1">
      <alignment horizontal="right" vertical="center" wrapText="1"/>
    </xf>
    <xf numFmtId="170" fontId="45" fillId="0" borderId="30" xfId="379" applyNumberFormat="1" applyFont="1" applyBorder="1" applyAlignment="1">
      <alignment horizontal="right" vertical="center" wrapText="1"/>
    </xf>
    <xf numFmtId="170" fontId="10" fillId="0" borderId="8" xfId="379" applyNumberFormat="1" applyFont="1" applyFill="1" applyBorder="1" applyAlignment="1">
      <alignment horizontal="right"/>
    </xf>
    <xf numFmtId="170" fontId="45" fillId="0" borderId="1" xfId="379" applyNumberFormat="1" applyFont="1" applyBorder="1" applyAlignment="1">
      <alignment horizontal="right" vertical="center" wrapText="1"/>
    </xf>
    <xf numFmtId="170" fontId="45" fillId="0" borderId="8" xfId="379" applyNumberFormat="1" applyFont="1" applyBorder="1" applyAlignment="1">
      <alignment horizontal="right" vertical="center" wrapText="1"/>
    </xf>
    <xf numFmtId="0" fontId="24" fillId="0" borderId="0" xfId="0" applyFont="1" applyAlignment="1">
      <alignment horizontal="center" vertical="top"/>
    </xf>
    <xf numFmtId="0" fontId="14" fillId="0" borderId="0" xfId="0" applyFont="1"/>
    <xf numFmtId="1" fontId="10" fillId="33" borderId="67" xfId="0" applyNumberFormat="1" applyFont="1" applyFill="1" applyBorder="1" applyAlignment="1">
      <alignment horizontal="center"/>
    </xf>
    <xf numFmtId="170" fontId="10" fillId="0" borderId="28" xfId="379" applyNumberFormat="1" applyFont="1" applyBorder="1"/>
    <xf numFmtId="0" fontId="10" fillId="0" borderId="51" xfId="0" applyFont="1" applyFill="1" applyBorder="1" applyAlignment="1">
      <alignment horizontal="center"/>
    </xf>
    <xf numFmtId="0" fontId="109" fillId="0" borderId="0" xfId="0" applyFont="1" applyAlignment="1" applyProtection="1">
      <alignment horizontal="right"/>
      <protection locked="0"/>
    </xf>
    <xf numFmtId="167" fontId="10" fillId="0" borderId="28" xfId="0" applyNumberFormat="1" applyFont="1" applyBorder="1"/>
    <xf numFmtId="1" fontId="10" fillId="33" borderId="51" xfId="0" applyNumberFormat="1" applyFont="1" applyFill="1" applyBorder="1" applyAlignment="1">
      <alignment horizontal="center"/>
    </xf>
    <xf numFmtId="17" fontId="10" fillId="65" borderId="23" xfId="0" applyNumberFormat="1" applyFont="1" applyFill="1" applyBorder="1" applyAlignment="1" applyProtection="1">
      <alignment horizontal="center"/>
      <protection locked="0"/>
    </xf>
    <xf numFmtId="3" fontId="10" fillId="33" borderId="2" xfId="0" applyNumberFormat="1" applyFont="1" applyFill="1" applyBorder="1" applyAlignment="1">
      <alignment horizontal="center"/>
    </xf>
    <xf numFmtId="3" fontId="10" fillId="33" borderId="1" xfId="379" applyNumberFormat="1" applyFont="1" applyFill="1" applyBorder="1" applyAlignment="1">
      <alignment horizontal="center"/>
    </xf>
    <xf numFmtId="43" fontId="10" fillId="33" borderId="1" xfId="379" applyNumberFormat="1" applyFont="1" applyFill="1" applyBorder="1" applyAlignment="1">
      <alignment horizontal="center"/>
    </xf>
    <xf numFmtId="3" fontId="10" fillId="33" borderId="23" xfId="379" applyNumberFormat="1" applyFont="1" applyFill="1" applyBorder="1" applyAlignment="1">
      <alignment horizontal="center" vertical="center"/>
    </xf>
    <xf numFmtId="170" fontId="10" fillId="33" borderId="1" xfId="379" applyNumberFormat="1" applyFont="1" applyFill="1" applyBorder="1" applyAlignment="1">
      <alignment horizontal="center"/>
    </xf>
    <xf numFmtId="170" fontId="10" fillId="33" borderId="1" xfId="379" applyNumberFormat="1" applyFont="1" applyFill="1" applyBorder="1" applyAlignment="1">
      <alignment horizontal="center"/>
    </xf>
    <xf numFmtId="2" fontId="10" fillId="33" borderId="23" xfId="379" applyNumberFormat="1" applyFont="1" applyFill="1" applyBorder="1" applyAlignment="1">
      <alignment horizontal="center"/>
    </xf>
    <xf numFmtId="2" fontId="10" fillId="33" borderId="1" xfId="379" applyNumberFormat="1" applyFont="1" applyFill="1" applyBorder="1" applyAlignment="1">
      <alignment horizontal="center"/>
    </xf>
    <xf numFmtId="43" fontId="10" fillId="0" borderId="1" xfId="379" applyFont="1" applyBorder="1" applyAlignment="1">
      <alignment horizontal="center"/>
    </xf>
    <xf numFmtId="10" fontId="10" fillId="0" borderId="1" xfId="933" applyNumberFormat="1" applyFont="1" applyBorder="1" applyAlignment="1">
      <alignment horizontal="center"/>
    </xf>
    <xf numFmtId="49" fontId="10" fillId="0" borderId="1" xfId="1413" applyNumberFormat="1" applyFont="1" applyBorder="1" applyAlignment="1">
      <alignment horizontal="center"/>
    </xf>
    <xf numFmtId="0" fontId="17" fillId="0" borderId="1" xfId="1413" applyFont="1" applyBorder="1" applyAlignment="1">
      <alignment horizontal="center"/>
    </xf>
    <xf numFmtId="0" fontId="17" fillId="0" borderId="1" xfId="521" applyFont="1" applyBorder="1" applyAlignment="1">
      <alignment horizontal="center"/>
    </xf>
    <xf numFmtId="0" fontId="10" fillId="0" borderId="0" xfId="0" applyFont="1"/>
    <xf numFmtId="0" fontId="10" fillId="0" borderId="0" xfId="0" applyFont="1" applyFill="1" applyBorder="1" applyAlignment="1">
      <alignment horizontal="center"/>
    </xf>
    <xf numFmtId="0" fontId="10" fillId="0" borderId="17" xfId="0" applyFont="1" applyFill="1" applyBorder="1" applyAlignment="1">
      <alignment horizontal="center"/>
    </xf>
    <xf numFmtId="0" fontId="10" fillId="0" borderId="20" xfId="0" applyFont="1" applyFill="1" applyBorder="1" applyAlignment="1">
      <alignment horizontal="left"/>
    </xf>
    <xf numFmtId="3" fontId="45" fillId="0" borderId="1" xfId="0" applyNumberFormat="1" applyFont="1" applyBorder="1" applyAlignment="1">
      <alignment horizontal="center" vertical="center" wrapText="1"/>
    </xf>
    <xf numFmtId="3" fontId="43" fillId="33" borderId="8" xfId="0" applyNumberFormat="1" applyFont="1" applyFill="1" applyBorder="1" applyAlignment="1">
      <alignment horizontal="center"/>
    </xf>
    <xf numFmtId="3" fontId="10" fillId="33" borderId="1" xfId="0" applyNumberFormat="1" applyFont="1" applyFill="1" applyBorder="1" applyAlignment="1">
      <alignment horizontal="center"/>
    </xf>
    <xf numFmtId="3" fontId="10" fillId="33" borderId="2" xfId="379" applyNumberFormat="1" applyFont="1" applyFill="1" applyBorder="1" applyAlignment="1">
      <alignment horizontal="center"/>
    </xf>
    <xf numFmtId="3" fontId="10" fillId="33" borderId="21" xfId="0" applyNumberFormat="1" applyFont="1" applyFill="1" applyBorder="1" applyAlignment="1">
      <alignment horizontal="center"/>
    </xf>
    <xf numFmtId="3" fontId="10" fillId="33" borderId="21" xfId="379" applyNumberFormat="1" applyFont="1" applyFill="1" applyBorder="1" applyAlignment="1">
      <alignment horizontal="center"/>
    </xf>
    <xf numFmtId="0" fontId="0" fillId="0" borderId="0" xfId="0" applyFill="1" applyBorder="1" applyAlignment="1"/>
    <xf numFmtId="0" fontId="0" fillId="0" borderId="25" xfId="0" applyFill="1" applyBorder="1" applyAlignment="1"/>
    <xf numFmtId="0" fontId="59" fillId="0" borderId="24" xfId="0" applyFont="1" applyFill="1" applyBorder="1" applyAlignment="1">
      <alignment horizontal="center"/>
    </xf>
    <xf numFmtId="0" fontId="59" fillId="0" borderId="24" xfId="0" applyFont="1" applyFill="1" applyBorder="1" applyAlignment="1">
      <alignment horizontal="centerContinuous"/>
    </xf>
    <xf numFmtId="0" fontId="17" fillId="0" borderId="27" xfId="0" applyFont="1" applyBorder="1" applyAlignment="1">
      <alignment horizontal="center"/>
    </xf>
    <xf numFmtId="0" fontId="17" fillId="0" borderId="81" xfId="0" applyFont="1" applyBorder="1" applyAlignment="1" applyProtection="1">
      <alignment horizontal="center" wrapText="1"/>
      <protection locked="0"/>
    </xf>
    <xf numFmtId="0" fontId="17" fillId="0" borderId="81" xfId="0" applyFont="1" applyFill="1" applyBorder="1" applyAlignment="1" applyProtection="1">
      <alignment horizontal="center" wrapText="1"/>
      <protection locked="0"/>
    </xf>
    <xf numFmtId="0" fontId="61" fillId="0" borderId="81" xfId="0" applyFont="1" applyFill="1" applyBorder="1" applyAlignment="1" applyProtection="1">
      <alignment vertical="center" wrapText="1"/>
      <protection locked="0"/>
    </xf>
    <xf numFmtId="17" fontId="10" fillId="0" borderId="1" xfId="0" applyNumberFormat="1" applyFont="1" applyBorder="1" applyAlignment="1" applyProtection="1">
      <alignment horizontal="center"/>
      <protection locked="0"/>
    </xf>
    <xf numFmtId="0" fontId="17" fillId="0" borderId="1" xfId="0" applyFont="1" applyBorder="1" applyAlignment="1" applyProtection="1">
      <alignment horizontal="center" wrapText="1"/>
      <protection locked="0"/>
    </xf>
    <xf numFmtId="0" fontId="10" fillId="0" borderId="81" xfId="0" applyFont="1" applyBorder="1" applyAlignment="1" applyProtection="1">
      <alignment horizontal="center"/>
      <protection locked="0"/>
    </xf>
    <xf numFmtId="0" fontId="0" fillId="0" borderId="0" xfId="0" applyBorder="1" applyProtection="1">
      <protection locked="0"/>
    </xf>
    <xf numFmtId="170" fontId="10" fillId="0" borderId="1" xfId="379" applyNumberFormat="1" applyFont="1" applyFill="1" applyBorder="1" applyAlignment="1" applyProtection="1">
      <alignment horizontal="center"/>
      <protection locked="0"/>
    </xf>
    <xf numFmtId="0" fontId="111" fillId="0" borderId="0" xfId="0" applyFont="1" applyProtection="1">
      <protection locked="0"/>
    </xf>
    <xf numFmtId="0" fontId="17" fillId="0" borderId="44" xfId="0" applyFont="1" applyBorder="1" applyAlignment="1" applyProtection="1">
      <alignment horizontal="center"/>
      <protection locked="0"/>
    </xf>
    <xf numFmtId="2" fontId="17" fillId="33" borderId="23" xfId="379" applyNumberFormat="1" applyFont="1" applyFill="1" applyBorder="1" applyAlignment="1" applyProtection="1">
      <alignment horizontal="center" wrapText="1"/>
      <protection locked="0"/>
    </xf>
    <xf numFmtId="2" fontId="17" fillId="33" borderId="1" xfId="379" applyNumberFormat="1" applyFont="1" applyFill="1" applyBorder="1" applyAlignment="1" applyProtection="1">
      <alignment horizontal="center" wrapText="1"/>
      <protection locked="0"/>
    </xf>
    <xf numFmtId="0" fontId="17" fillId="0" borderId="68" xfId="0" applyFont="1" applyBorder="1" applyProtection="1">
      <protection locked="0"/>
    </xf>
    <xf numFmtId="0" fontId="17" fillId="0" borderId="0" xfId="0" applyFont="1" applyFill="1" applyProtection="1">
      <protection locked="0"/>
    </xf>
    <xf numFmtId="0" fontId="17" fillId="0" borderId="0" xfId="0" applyFont="1" applyAlignment="1" applyProtection="1">
      <alignment horizontal="center"/>
      <protection locked="0"/>
    </xf>
    <xf numFmtId="2" fontId="21" fillId="33" borderId="4" xfId="379" applyNumberFormat="1" applyFont="1" applyFill="1" applyBorder="1" applyAlignment="1" applyProtection="1">
      <alignment horizontal="center"/>
      <protection locked="0"/>
    </xf>
    <xf numFmtId="0" fontId="56" fillId="0" borderId="0" xfId="0" applyFont="1" applyBorder="1" applyAlignment="1">
      <alignment horizontal="center"/>
    </xf>
    <xf numFmtId="0" fontId="56" fillId="0" borderId="0" xfId="0" applyFont="1" applyBorder="1" applyAlignment="1"/>
    <xf numFmtId="0" fontId="49" fillId="0" borderId="0" xfId="767" applyFont="1"/>
    <xf numFmtId="49" fontId="10" fillId="0" borderId="0" xfId="768" applyNumberFormat="1" applyFont="1" applyBorder="1" applyAlignment="1">
      <alignment vertical="top" wrapText="1"/>
    </xf>
    <xf numFmtId="49" fontId="49" fillId="0" borderId="0" xfId="767" applyNumberFormat="1" applyFont="1" applyAlignment="1">
      <alignment vertical="top" wrapText="1"/>
    </xf>
    <xf numFmtId="0" fontId="50" fillId="34" borderId="45" xfId="767" applyFont="1" applyFill="1" applyBorder="1" applyAlignment="1">
      <alignment horizontal="right"/>
    </xf>
    <xf numFmtId="0" fontId="50" fillId="34" borderId="0" xfId="767" applyFont="1" applyFill="1" applyBorder="1" applyAlignment="1">
      <alignment horizontal="right"/>
    </xf>
    <xf numFmtId="0" fontId="50" fillId="34" borderId="41" xfId="767" applyFont="1" applyFill="1" applyBorder="1" applyAlignment="1">
      <alignment horizontal="right"/>
    </xf>
    <xf numFmtId="0" fontId="49" fillId="0" borderId="45" xfId="767" applyFont="1" applyBorder="1"/>
    <xf numFmtId="10" fontId="20" fillId="0" borderId="0" xfId="769" applyNumberFormat="1" applyFont="1" applyBorder="1"/>
    <xf numFmtId="10" fontId="20" fillId="0" borderId="101" xfId="769" applyNumberFormat="1" applyFont="1" applyBorder="1"/>
    <xf numFmtId="10" fontId="20" fillId="0" borderId="41" xfId="769" applyNumberFormat="1" applyFont="1" applyBorder="1"/>
    <xf numFmtId="0" fontId="49" fillId="0" borderId="0" xfId="767" applyFont="1" applyBorder="1"/>
    <xf numFmtId="0" fontId="49" fillId="0" borderId="94" xfId="767" applyFont="1" applyBorder="1"/>
    <xf numFmtId="0" fontId="49" fillId="0" borderId="100" xfId="767" applyFont="1" applyBorder="1"/>
    <xf numFmtId="10" fontId="20" fillId="0" borderId="102" xfId="769" applyNumberFormat="1" applyFont="1" applyBorder="1"/>
    <xf numFmtId="10" fontId="20" fillId="0" borderId="95" xfId="769" applyNumberFormat="1" applyFont="1" applyBorder="1"/>
    <xf numFmtId="0" fontId="50" fillId="0" borderId="45" xfId="767" applyFont="1" applyBorder="1"/>
    <xf numFmtId="10" fontId="50" fillId="0" borderId="0" xfId="767" applyNumberFormat="1" applyFont="1" applyBorder="1"/>
    <xf numFmtId="10" fontId="50" fillId="0" borderId="101" xfId="767" applyNumberFormat="1" applyFont="1" applyBorder="1"/>
    <xf numFmtId="10" fontId="50" fillId="0" borderId="41" xfId="767" applyNumberFormat="1" applyFont="1" applyBorder="1"/>
    <xf numFmtId="43" fontId="20" fillId="33" borderId="0" xfId="768" applyNumberFormat="1" applyFont="1" applyFill="1" applyBorder="1"/>
    <xf numFmtId="43" fontId="20" fillId="33" borderId="17" xfId="768" applyNumberFormat="1" applyFont="1" applyFill="1" applyBorder="1"/>
    <xf numFmtId="43" fontId="20" fillId="0" borderId="41" xfId="768" applyNumberFormat="1" applyFont="1" applyBorder="1"/>
    <xf numFmtId="43" fontId="20" fillId="0" borderId="0" xfId="768" applyNumberFormat="1" applyFont="1" applyBorder="1"/>
    <xf numFmtId="43" fontId="20" fillId="33" borderId="105" xfId="768" applyNumberFormat="1" applyFont="1" applyFill="1" applyBorder="1"/>
    <xf numFmtId="43" fontId="20" fillId="33" borderId="113" xfId="768" applyNumberFormat="1" applyFont="1" applyFill="1" applyBorder="1"/>
    <xf numFmtId="43" fontId="20" fillId="0" borderId="100" xfId="768" applyNumberFormat="1" applyFont="1" applyBorder="1"/>
    <xf numFmtId="43" fontId="20" fillId="0" borderId="114" xfId="768" applyNumberFormat="1" applyFont="1" applyBorder="1"/>
    <xf numFmtId="43" fontId="20" fillId="0" borderId="95" xfId="768" applyNumberFormat="1" applyFont="1" applyBorder="1"/>
    <xf numFmtId="0" fontId="50" fillId="0" borderId="46" xfId="767" applyFont="1" applyBorder="1"/>
    <xf numFmtId="43" fontId="50" fillId="0" borderId="25" xfId="768" applyNumberFormat="1" applyFont="1" applyBorder="1"/>
    <xf numFmtId="43" fontId="50" fillId="0" borderId="103" xfId="768" applyNumberFormat="1" applyFont="1" applyBorder="1"/>
    <xf numFmtId="43" fontId="50" fillId="0" borderId="40" xfId="768" applyNumberFormat="1" applyFont="1" applyBorder="1"/>
    <xf numFmtId="0" fontId="50" fillId="0" borderId="0" xfId="767" applyFont="1" applyBorder="1"/>
    <xf numFmtId="43" fontId="50" fillId="0" borderId="0" xfId="768" applyNumberFormat="1" applyFont="1" applyBorder="1"/>
    <xf numFmtId="0" fontId="50" fillId="62" borderId="45" xfId="767" applyFont="1" applyFill="1" applyBorder="1" applyAlignment="1">
      <alignment horizontal="right"/>
    </xf>
    <xf numFmtId="0" fontId="50" fillId="62" borderId="0" xfId="767" applyFont="1" applyFill="1" applyBorder="1" applyAlignment="1">
      <alignment horizontal="right"/>
    </xf>
    <xf numFmtId="0" fontId="50" fillId="62" borderId="41" xfId="767" applyFont="1" applyFill="1" applyBorder="1" applyAlignment="1">
      <alignment horizontal="right"/>
    </xf>
    <xf numFmtId="10" fontId="20" fillId="61" borderId="0" xfId="769" applyNumberFormat="1" applyFont="1" applyFill="1" applyBorder="1"/>
    <xf numFmtId="10" fontId="20" fillId="61" borderId="101" xfId="769" applyNumberFormat="1" applyFont="1" applyFill="1" applyBorder="1"/>
    <xf numFmtId="0" fontId="50" fillId="0" borderId="106" xfId="767" applyFont="1" applyBorder="1"/>
    <xf numFmtId="10" fontId="50" fillId="0" borderId="107" xfId="767" applyNumberFormat="1" applyFont="1" applyBorder="1"/>
    <xf numFmtId="10" fontId="50" fillId="0" borderId="108" xfId="767" applyNumberFormat="1" applyFont="1" applyBorder="1"/>
    <xf numFmtId="10" fontId="50" fillId="0" borderId="109" xfId="767" applyNumberFormat="1" applyFont="1" applyBorder="1"/>
    <xf numFmtId="43" fontId="20" fillId="61" borderId="0" xfId="768" applyNumberFormat="1" applyFont="1" applyFill="1" applyBorder="1"/>
    <xf numFmtId="43" fontId="20" fillId="61" borderId="101" xfId="768" applyNumberFormat="1" applyFont="1" applyFill="1" applyBorder="1"/>
    <xf numFmtId="43" fontId="20" fillId="61" borderId="105" xfId="768" applyNumberFormat="1" applyFont="1" applyFill="1" applyBorder="1"/>
    <xf numFmtId="43" fontId="20" fillId="61" borderId="104" xfId="768" applyNumberFormat="1" applyFont="1" applyFill="1" applyBorder="1"/>
    <xf numFmtId="43" fontId="20" fillId="0" borderId="0" xfId="768" applyNumberFormat="1" applyFont="1" applyFill="1" applyBorder="1"/>
    <xf numFmtId="43" fontId="20" fillId="33" borderId="102" xfId="768" applyNumberFormat="1" applyFont="1" applyFill="1" applyBorder="1"/>
    <xf numFmtId="0" fontId="49" fillId="0" borderId="0" xfId="767" applyFont="1" applyBorder="1" applyAlignment="1">
      <alignment vertical="top" wrapText="1"/>
    </xf>
    <xf numFmtId="0" fontId="49" fillId="0" borderId="0" xfId="767" applyFont="1" applyAlignment="1">
      <alignment vertical="top" wrapText="1"/>
    </xf>
    <xf numFmtId="0" fontId="50" fillId="34" borderId="45" xfId="767" applyFont="1" applyFill="1" applyBorder="1" applyAlignment="1">
      <alignment horizontal="center"/>
    </xf>
    <xf numFmtId="0" fontId="50" fillId="34" borderId="0" xfId="767" applyFont="1" applyFill="1" applyBorder="1" applyAlignment="1">
      <alignment horizontal="center"/>
    </xf>
    <xf numFmtId="0" fontId="50" fillId="34" borderId="41" xfId="767" applyFont="1" applyFill="1" applyBorder="1" applyAlignment="1">
      <alignment horizontal="center"/>
    </xf>
    <xf numFmtId="0" fontId="50" fillId="35" borderId="41" xfId="767" applyFont="1" applyFill="1" applyBorder="1" applyAlignment="1">
      <alignment horizontal="center"/>
    </xf>
    <xf numFmtId="0" fontId="50" fillId="34" borderId="38" xfId="767" applyFont="1" applyFill="1" applyBorder="1" applyAlignment="1">
      <alignment horizontal="center"/>
    </xf>
    <xf numFmtId="0" fontId="50" fillId="34" borderId="70" xfId="767" applyFont="1" applyFill="1" applyBorder="1" applyAlignment="1">
      <alignment horizontal="center"/>
    </xf>
    <xf numFmtId="0" fontId="50" fillId="34" borderId="78" xfId="767" applyFont="1" applyFill="1" applyBorder="1" applyAlignment="1">
      <alignment horizontal="center"/>
    </xf>
    <xf numFmtId="0" fontId="49" fillId="34" borderId="45" xfId="767" applyFont="1" applyFill="1" applyBorder="1" applyAlignment="1">
      <alignment vertical="top"/>
    </xf>
    <xf numFmtId="0" fontId="49" fillId="34" borderId="0" xfId="767" applyFont="1" applyFill="1" applyBorder="1" applyAlignment="1">
      <alignment vertical="top"/>
    </xf>
    <xf numFmtId="0" fontId="50" fillId="34" borderId="41" xfId="767" applyFont="1" applyFill="1" applyBorder="1" applyAlignment="1">
      <alignment horizontal="center" wrapText="1"/>
    </xf>
    <xf numFmtId="0" fontId="50" fillId="34" borderId="70" xfId="767" applyFont="1" applyFill="1" applyBorder="1" applyAlignment="1">
      <alignment horizontal="center" vertical="center"/>
    </xf>
    <xf numFmtId="0" fontId="50" fillId="34" borderId="78" xfId="767" applyFont="1" applyFill="1" applyBorder="1" applyAlignment="1">
      <alignment horizontal="center" vertical="center" wrapText="1"/>
    </xf>
    <xf numFmtId="0" fontId="49" fillId="0" borderId="45" xfId="767" applyFont="1" applyFill="1" applyBorder="1" applyAlignment="1">
      <alignment vertical="top"/>
    </xf>
    <xf numFmtId="0" fontId="49" fillId="0" borderId="0" xfId="767" applyFont="1" applyFill="1" applyBorder="1" applyAlignment="1">
      <alignment vertical="top"/>
    </xf>
    <xf numFmtId="0" fontId="50" fillId="33" borderId="0" xfId="767" applyFont="1" applyFill="1" applyBorder="1" applyAlignment="1">
      <alignment vertical="top"/>
    </xf>
    <xf numFmtId="0" fontId="50" fillId="0" borderId="0" xfId="767" applyFont="1" applyFill="1" applyBorder="1" applyAlignment="1">
      <alignment vertical="top"/>
    </xf>
    <xf numFmtId="0" fontId="50" fillId="0" borderId="41" xfId="767" applyFont="1" applyFill="1" applyBorder="1" applyAlignment="1">
      <alignment horizontal="center" vertical="top" wrapText="1"/>
    </xf>
    <xf numFmtId="0" fontId="49" fillId="0" borderId="94" xfId="767" applyFont="1" applyFill="1" applyBorder="1" applyAlignment="1">
      <alignment vertical="top"/>
    </xf>
    <xf numFmtId="0" fontId="49" fillId="0" borderId="100" xfId="767" applyFont="1" applyFill="1" applyBorder="1" applyAlignment="1">
      <alignment vertical="top"/>
    </xf>
    <xf numFmtId="0" fontId="50" fillId="33" borderId="100" xfId="767" applyFont="1" applyFill="1" applyBorder="1" applyAlignment="1">
      <alignment vertical="top"/>
    </xf>
    <xf numFmtId="0" fontId="49" fillId="0" borderId="25" xfId="767" applyFont="1" applyFill="1" applyBorder="1"/>
    <xf numFmtId="0" fontId="49" fillId="0" borderId="25" xfId="767" applyFont="1" applyBorder="1"/>
    <xf numFmtId="10" fontId="10" fillId="0" borderId="40" xfId="769" applyNumberFormat="1" applyFont="1" applyBorder="1"/>
    <xf numFmtId="0" fontId="50" fillId="0" borderId="0" xfId="767" applyFont="1" applyBorder="1" applyAlignment="1">
      <alignment vertical="top" wrapText="1"/>
    </xf>
    <xf numFmtId="0" fontId="49" fillId="0" borderId="0" xfId="767" applyFont="1" applyFill="1" applyBorder="1"/>
    <xf numFmtId="10" fontId="10" fillId="0" borderId="0" xfId="769" applyNumberFormat="1" applyFont="1" applyBorder="1"/>
    <xf numFmtId="0" fontId="50" fillId="0" borderId="0" xfId="767" applyFont="1" applyFill="1" applyBorder="1" applyAlignment="1">
      <alignment vertical="top" wrapText="1"/>
    </xf>
    <xf numFmtId="0" fontId="50" fillId="0" borderId="47" xfId="767" applyFont="1" applyBorder="1" applyAlignment="1">
      <alignment vertical="top" wrapText="1"/>
    </xf>
    <xf numFmtId="0" fontId="50" fillId="0" borderId="48" xfId="767" applyFont="1" applyFill="1" applyBorder="1" applyAlignment="1">
      <alignment horizontal="center" vertical="center" wrapText="1"/>
    </xf>
    <xf numFmtId="0" fontId="21" fillId="0" borderId="48" xfId="796" applyNumberFormat="1" applyFont="1" applyBorder="1" applyAlignment="1">
      <alignment horizontal="center" vertical="center"/>
    </xf>
    <xf numFmtId="0" fontId="49" fillId="0" borderId="49" xfId="767" applyFont="1" applyBorder="1"/>
    <xf numFmtId="0" fontId="50" fillId="0" borderId="45" xfId="767" applyFont="1" applyBorder="1" applyAlignment="1">
      <alignment horizontal="left" vertical="center" wrapText="1"/>
    </xf>
    <xf numFmtId="0" fontId="50" fillId="35" borderId="1" xfId="767" applyFont="1" applyFill="1" applyBorder="1" applyAlignment="1">
      <alignment horizontal="center" vertical="center" wrapText="1"/>
    </xf>
    <xf numFmtId="10" fontId="10" fillId="0" borderId="41" xfId="769" applyNumberFormat="1" applyFont="1" applyBorder="1" applyAlignment="1">
      <alignment horizontal="center" vertical="center" wrapText="1"/>
    </xf>
    <xf numFmtId="0" fontId="114" fillId="0" borderId="46" xfId="767" applyFont="1" applyBorder="1" applyAlignment="1">
      <alignment horizontal="left" vertical="top" wrapText="1"/>
    </xf>
    <xf numFmtId="0" fontId="115" fillId="0" borderId="25" xfId="767" applyFont="1" applyBorder="1" applyAlignment="1">
      <alignment vertical="top" wrapText="1"/>
    </xf>
    <xf numFmtId="0" fontId="114" fillId="0" borderId="0" xfId="767" applyFont="1" applyBorder="1" applyAlignment="1">
      <alignment horizontal="left" vertical="top" wrapText="1"/>
    </xf>
    <xf numFmtId="0" fontId="115" fillId="0" borderId="0" xfId="767" applyFont="1" applyBorder="1" applyAlignment="1">
      <alignment vertical="top" wrapText="1"/>
    </xf>
    <xf numFmtId="0" fontId="112" fillId="0" borderId="0" xfId="767" applyFont="1" applyBorder="1" applyAlignment="1">
      <alignment horizontal="center" vertical="top" wrapText="1"/>
    </xf>
    <xf numFmtId="0" fontId="49" fillId="0" borderId="35" xfId="767" applyFont="1" applyBorder="1"/>
    <xf numFmtId="0" fontId="50" fillId="34" borderId="48" xfId="767" applyFont="1" applyFill="1" applyBorder="1" applyAlignment="1">
      <alignment horizontal="center"/>
    </xf>
    <xf numFmtId="0" fontId="50" fillId="34" borderId="48" xfId="767" applyFont="1" applyFill="1" applyBorder="1" applyAlignment="1">
      <alignment horizontal="center" vertical="center"/>
    </xf>
    <xf numFmtId="0" fontId="50" fillId="34" borderId="49" xfId="767" applyFont="1" applyFill="1" applyBorder="1" applyAlignment="1">
      <alignment horizontal="center" vertical="center"/>
    </xf>
    <xf numFmtId="0" fontId="49" fillId="0" borderId="7" xfId="767" applyFont="1" applyBorder="1"/>
    <xf numFmtId="0" fontId="49" fillId="0" borderId="32" xfId="767" applyFont="1" applyBorder="1" applyAlignment="1">
      <alignment wrapText="1"/>
    </xf>
    <xf numFmtId="43" fontId="49" fillId="0" borderId="0" xfId="767" applyNumberFormat="1" applyFont="1" applyBorder="1" applyAlignment="1">
      <alignment horizontal="center" vertical="center"/>
    </xf>
    <xf numFmtId="43" fontId="49" fillId="0" borderId="17" xfId="767" applyNumberFormat="1" applyFont="1" applyBorder="1" applyAlignment="1">
      <alignment horizontal="center" vertical="center"/>
    </xf>
    <xf numFmtId="43" fontId="49" fillId="0" borderId="44" xfId="767" applyNumberFormat="1" applyFont="1" applyBorder="1" applyAlignment="1">
      <alignment horizontal="center" vertical="center"/>
    </xf>
    <xf numFmtId="43" fontId="49" fillId="0" borderId="41" xfId="767" applyNumberFormat="1" applyFont="1" applyBorder="1" applyAlignment="1">
      <alignment horizontal="center" vertical="center"/>
    </xf>
    <xf numFmtId="43" fontId="49" fillId="0" borderId="68" xfId="767" applyNumberFormat="1" applyFont="1" applyBorder="1" applyAlignment="1">
      <alignment horizontal="center" vertical="center"/>
    </xf>
    <xf numFmtId="43" fontId="49" fillId="0" borderId="33" xfId="767" applyNumberFormat="1" applyFont="1" applyBorder="1" applyAlignment="1">
      <alignment horizontal="center" vertical="center"/>
    </xf>
    <xf numFmtId="0" fontId="49" fillId="0" borderId="7" xfId="767" applyFont="1" applyBorder="1" applyAlignment="1">
      <alignment wrapText="1"/>
    </xf>
    <xf numFmtId="43" fontId="10" fillId="33" borderId="70" xfId="796" applyFont="1" applyFill="1" applyBorder="1" applyAlignment="1">
      <alignment horizontal="center" vertical="center"/>
    </xf>
    <xf numFmtId="43" fontId="49" fillId="0" borderId="70" xfId="767" applyNumberFormat="1" applyFont="1" applyBorder="1" applyAlignment="1">
      <alignment horizontal="center" vertical="center"/>
    </xf>
    <xf numFmtId="43" fontId="49" fillId="0" borderId="55" xfId="767" applyNumberFormat="1" applyFont="1" applyBorder="1" applyAlignment="1">
      <alignment horizontal="center" vertical="center"/>
    </xf>
    <xf numFmtId="43" fontId="49" fillId="0" borderId="23" xfId="767" applyNumberFormat="1" applyFont="1" applyBorder="1" applyAlignment="1">
      <alignment horizontal="center" vertical="center"/>
    </xf>
    <xf numFmtId="43" fontId="49" fillId="0" borderId="78" xfId="767" applyNumberFormat="1" applyFont="1" applyBorder="1" applyAlignment="1">
      <alignment horizontal="center" vertical="center"/>
    </xf>
    <xf numFmtId="0" fontId="49" fillId="62" borderId="15" xfId="767" applyFont="1" applyFill="1" applyBorder="1" applyAlignment="1">
      <alignment wrapText="1"/>
    </xf>
    <xf numFmtId="43" fontId="49" fillId="62" borderId="51" xfId="767" applyNumberFormat="1" applyFont="1" applyFill="1" applyBorder="1" applyAlignment="1">
      <alignment horizontal="center" vertical="center"/>
    </xf>
    <xf numFmtId="43" fontId="49" fillId="62" borderId="52" xfId="767" applyNumberFormat="1" applyFont="1" applyFill="1" applyBorder="1" applyAlignment="1">
      <alignment horizontal="center" vertical="center"/>
    </xf>
    <xf numFmtId="0" fontId="49" fillId="0" borderId="97" xfId="767" applyFont="1" applyBorder="1" applyAlignment="1">
      <alignment wrapText="1"/>
    </xf>
    <xf numFmtId="43" fontId="49" fillId="0" borderId="81" xfId="767" applyNumberFormat="1" applyFont="1" applyBorder="1" applyAlignment="1">
      <alignment horizontal="center" vertical="center"/>
    </xf>
    <xf numFmtId="43" fontId="49" fillId="0" borderId="92" xfId="767" applyNumberFormat="1" applyFont="1" applyBorder="1" applyAlignment="1">
      <alignment horizontal="center" vertical="center"/>
    </xf>
    <xf numFmtId="43" fontId="49" fillId="0" borderId="93" xfId="767" applyNumberFormat="1" applyFont="1" applyBorder="1" applyAlignment="1">
      <alignment horizontal="center" vertical="center"/>
    </xf>
    <xf numFmtId="43" fontId="49" fillId="0" borderId="96" xfId="767" applyNumberFormat="1" applyFont="1" applyBorder="1" applyAlignment="1">
      <alignment horizontal="center" vertical="center"/>
    </xf>
    <xf numFmtId="0" fontId="49" fillId="62" borderId="94" xfId="767" applyFont="1" applyFill="1" applyBorder="1" applyAlignment="1">
      <alignment wrapText="1"/>
    </xf>
    <xf numFmtId="43" fontId="49" fillId="62" borderId="110" xfId="767" applyNumberFormat="1" applyFont="1" applyFill="1" applyBorder="1" applyAlignment="1">
      <alignment horizontal="center" vertical="center"/>
    </xf>
    <xf numFmtId="43" fontId="49" fillId="62" borderId="0" xfId="767" applyNumberFormat="1" applyFont="1" applyFill="1" applyBorder="1" applyAlignment="1">
      <alignment horizontal="center" vertical="center"/>
    </xf>
    <xf numFmtId="43" fontId="49" fillId="62" borderId="111" xfId="767" applyNumberFormat="1" applyFont="1" applyFill="1" applyBorder="1" applyAlignment="1">
      <alignment horizontal="center" vertical="center"/>
    </xf>
    <xf numFmtId="43" fontId="10" fillId="0" borderId="112" xfId="768" applyNumberFormat="1" applyFont="1" applyBorder="1" applyAlignment="1">
      <alignment horizontal="center" vertical="center"/>
    </xf>
    <xf numFmtId="43" fontId="10" fillId="0" borderId="107" xfId="768" applyNumberFormat="1" applyFont="1" applyBorder="1" applyAlignment="1">
      <alignment horizontal="center" vertical="center"/>
    </xf>
    <xf numFmtId="43" fontId="10" fillId="0" borderId="55" xfId="768" applyNumberFormat="1" applyFont="1" applyBorder="1" applyAlignment="1">
      <alignment horizontal="center" vertical="center"/>
    </xf>
    <xf numFmtId="43" fontId="10" fillId="0" borderId="98" xfId="768" applyNumberFormat="1" applyFont="1" applyBorder="1" applyAlignment="1">
      <alignment horizontal="center" vertical="center"/>
    </xf>
    <xf numFmtId="43" fontId="10" fillId="62" borderId="51" xfId="768" applyNumberFormat="1" applyFont="1" applyFill="1" applyBorder="1" applyAlignment="1">
      <alignment horizontal="center" vertical="center"/>
    </xf>
    <xf numFmtId="43" fontId="10" fillId="62" borderId="52" xfId="768" applyNumberFormat="1" applyFont="1" applyFill="1" applyBorder="1" applyAlignment="1">
      <alignment horizontal="center" vertical="center"/>
    </xf>
    <xf numFmtId="43" fontId="116" fillId="64" borderId="99" xfId="768" applyNumberFormat="1" applyFont="1" applyFill="1" applyBorder="1" applyAlignment="1">
      <alignment horizontal="center" vertical="center"/>
    </xf>
    <xf numFmtId="1" fontId="10" fillId="33" borderId="23" xfId="634" applyNumberFormat="1" applyFont="1" applyFill="1" applyBorder="1" applyAlignment="1">
      <alignment horizontal="center"/>
    </xf>
    <xf numFmtId="43" fontId="10" fillId="33" borderId="23" xfId="379" applyFont="1" applyFill="1" applyBorder="1" applyAlignment="1">
      <alignment horizontal="center"/>
    </xf>
    <xf numFmtId="43" fontId="10" fillId="65" borderId="23" xfId="379" applyFont="1" applyFill="1" applyBorder="1" applyAlignment="1">
      <alignment horizontal="center"/>
    </xf>
    <xf numFmtId="43" fontId="10" fillId="33" borderId="23" xfId="379" applyFont="1" applyFill="1" applyBorder="1" applyAlignment="1" applyProtection="1">
      <alignment horizontal="center"/>
      <protection locked="0"/>
    </xf>
    <xf numFmtId="1" fontId="10" fillId="33" borderId="1" xfId="379" applyNumberFormat="1" applyFont="1" applyFill="1" applyBorder="1" applyAlignment="1" applyProtection="1">
      <alignment horizontal="center"/>
      <protection locked="0"/>
    </xf>
    <xf numFmtId="1" fontId="10" fillId="33" borderId="1" xfId="0" applyNumberFormat="1" applyFont="1" applyFill="1" applyBorder="1" applyProtection="1">
      <protection locked="0"/>
    </xf>
    <xf numFmtId="1" fontId="10" fillId="33" borderId="23" xfId="379" applyNumberFormat="1" applyFont="1" applyFill="1" applyBorder="1" applyAlignment="1">
      <alignment horizontal="center"/>
    </xf>
    <xf numFmtId="1" fontId="10" fillId="33" borderId="23" xfId="379" applyNumberFormat="1" applyFont="1" applyFill="1" applyBorder="1" applyAlignment="1" applyProtection="1">
      <alignment horizontal="center"/>
      <protection locked="0"/>
    </xf>
    <xf numFmtId="1" fontId="10" fillId="33" borderId="23" xfId="0" applyNumberFormat="1" applyFont="1" applyFill="1" applyBorder="1" applyProtection="1">
      <protection locked="0"/>
    </xf>
    <xf numFmtId="1" fontId="10" fillId="65" borderId="23" xfId="379" applyNumberFormat="1" applyFont="1" applyFill="1" applyBorder="1" applyAlignment="1" applyProtection="1">
      <alignment horizontal="center"/>
      <protection locked="0"/>
    </xf>
    <xf numFmtId="1" fontId="10" fillId="65" borderId="23" xfId="0" applyNumberFormat="1" applyFont="1" applyFill="1" applyBorder="1" applyProtection="1">
      <protection locked="0"/>
    </xf>
    <xf numFmtId="1" fontId="10" fillId="33" borderId="23" xfId="379" applyNumberFormat="1" applyFont="1" applyFill="1" applyBorder="1" applyProtection="1">
      <protection locked="0"/>
    </xf>
    <xf numFmtId="0" fontId="110" fillId="0" borderId="0" xfId="0" applyFont="1" applyFill="1" applyBorder="1" applyAlignment="1" applyProtection="1">
      <alignment horizontal="left" vertical="center" wrapText="1"/>
      <protection locked="0"/>
    </xf>
    <xf numFmtId="43" fontId="10" fillId="0" borderId="0" xfId="379" applyFont="1" applyAlignment="1">
      <alignment horizontal="center"/>
    </xf>
    <xf numFmtId="43" fontId="10" fillId="0" borderId="0" xfId="379" applyFont="1" applyAlignment="1" applyProtection="1">
      <alignment horizontal="center"/>
      <protection locked="0"/>
    </xf>
    <xf numFmtId="43" fontId="53" fillId="0" borderId="0" xfId="379" applyFont="1" applyBorder="1" applyAlignment="1" applyProtection="1">
      <alignment horizontal="left" vertical="center"/>
      <protection locked="0"/>
    </xf>
    <xf numFmtId="43" fontId="17" fillId="0" borderId="0" xfId="379" applyFont="1" applyAlignment="1" applyProtection="1">
      <alignment horizontal="center"/>
      <protection locked="0"/>
    </xf>
    <xf numFmtId="43" fontId="17" fillId="0" borderId="44" xfId="379" applyFont="1" applyBorder="1" applyAlignment="1" applyProtection="1">
      <alignment horizontal="center" wrapText="1"/>
      <protection locked="0"/>
    </xf>
    <xf numFmtId="43" fontId="17" fillId="0" borderId="81" xfId="379" applyFont="1" applyBorder="1" applyAlignment="1" applyProtection="1">
      <alignment horizontal="center" wrapText="1"/>
      <protection locked="0"/>
    </xf>
    <xf numFmtId="43" fontId="10" fillId="0" borderId="0" xfId="379" applyFont="1" applyBorder="1" applyProtection="1">
      <protection locked="0"/>
    </xf>
    <xf numFmtId="43" fontId="10" fillId="0" borderId="0" xfId="379" applyFont="1" applyBorder="1"/>
    <xf numFmtId="43" fontId="10" fillId="0" borderId="70" xfId="379" applyFont="1" applyBorder="1" applyAlignment="1">
      <alignment horizontal="center"/>
    </xf>
    <xf numFmtId="43" fontId="66" fillId="0" borderId="17" xfId="379" applyFont="1" applyBorder="1" applyAlignment="1">
      <alignment horizontal="center"/>
    </xf>
    <xf numFmtId="43" fontId="66" fillId="0" borderId="21" xfId="379" applyFont="1" applyBorder="1" applyAlignment="1">
      <alignment horizontal="center"/>
    </xf>
    <xf numFmtId="43" fontId="66" fillId="0" borderId="55" xfId="379" applyFont="1" applyBorder="1" applyAlignment="1">
      <alignment horizontal="center"/>
    </xf>
    <xf numFmtId="43" fontId="66" fillId="0" borderId="1" xfId="379" applyFont="1" applyBorder="1" applyAlignment="1">
      <alignment horizontal="center"/>
    </xf>
    <xf numFmtId="43" fontId="107" fillId="0" borderId="1" xfId="379" applyFont="1" applyBorder="1"/>
    <xf numFmtId="0" fontId="10" fillId="0" borderId="0" xfId="0" applyFont="1" applyAlignment="1"/>
    <xf numFmtId="0" fontId="10" fillId="0" borderId="0" xfId="0" applyFont="1" applyAlignment="1" applyProtection="1">
      <protection locked="0"/>
    </xf>
    <xf numFmtId="2" fontId="10" fillId="0" borderId="23" xfId="379" applyNumberFormat="1" applyFont="1" applyFill="1" applyBorder="1" applyAlignment="1" applyProtection="1">
      <protection locked="0"/>
    </xf>
    <xf numFmtId="43" fontId="10" fillId="0" borderId="0" xfId="0" applyNumberFormat="1" applyFont="1" applyAlignment="1"/>
    <xf numFmtId="0" fontId="10" fillId="0" borderId="68" xfId="0" applyFont="1" applyBorder="1" applyAlignment="1">
      <alignment horizontal="center"/>
    </xf>
    <xf numFmtId="0" fontId="66" fillId="0" borderId="0" xfId="0" applyFont="1" applyBorder="1" applyAlignment="1">
      <alignment horizontal="center"/>
    </xf>
    <xf numFmtId="43" fontId="66" fillId="0" borderId="0" xfId="379" applyFont="1" applyBorder="1" applyAlignment="1">
      <alignment horizontal="center"/>
    </xf>
    <xf numFmtId="0" fontId="66" fillId="0" borderId="68" xfId="0" applyFont="1" applyBorder="1" applyAlignment="1">
      <alignment horizontal="center"/>
    </xf>
    <xf numFmtId="49" fontId="10" fillId="0" borderId="0" xfId="0" applyNumberFormat="1" applyFont="1" applyBorder="1" applyAlignment="1" applyProtection="1">
      <alignment horizontal="center"/>
      <protection locked="0"/>
    </xf>
    <xf numFmtId="43" fontId="10" fillId="0" borderId="0" xfId="379" applyFont="1" applyBorder="1" applyAlignment="1" applyProtection="1">
      <alignment horizontal="center"/>
      <protection locked="0"/>
    </xf>
    <xf numFmtId="10" fontId="10" fillId="0" borderId="0" xfId="557" applyNumberFormat="1" applyFont="1" applyBorder="1" applyAlignment="1" applyProtection="1">
      <alignment horizontal="center"/>
      <protection locked="0"/>
    </xf>
    <xf numFmtId="0" fontId="0" fillId="0" borderId="0" xfId="0" applyBorder="1" applyAlignment="1">
      <alignment vertical="center"/>
    </xf>
    <xf numFmtId="0" fontId="10" fillId="36" borderId="2" xfId="0" applyFont="1" applyFill="1" applyBorder="1" applyAlignment="1">
      <alignment wrapText="1"/>
    </xf>
    <xf numFmtId="0" fontId="10" fillId="36" borderId="9" xfId="0" applyFont="1" applyFill="1" applyBorder="1" applyAlignment="1">
      <alignment wrapText="1"/>
    </xf>
    <xf numFmtId="0" fontId="10" fillId="36" borderId="19" xfId="0" applyFont="1" applyFill="1" applyBorder="1" applyAlignment="1">
      <alignment wrapText="1"/>
    </xf>
    <xf numFmtId="49" fontId="10" fillId="36" borderId="2" xfId="0" applyNumberFormat="1" applyFont="1" applyFill="1" applyBorder="1" applyAlignment="1">
      <alignment wrapText="1"/>
    </xf>
    <xf numFmtId="0" fontId="17" fillId="0" borderId="118" xfId="0" applyFont="1" applyBorder="1" applyAlignment="1">
      <alignment wrapText="1"/>
    </xf>
    <xf numFmtId="0" fontId="17" fillId="0" borderId="119" xfId="0" applyFont="1" applyBorder="1" applyAlignment="1">
      <alignment horizontal="center" wrapText="1"/>
    </xf>
    <xf numFmtId="0" fontId="17" fillId="0" borderId="120" xfId="0" applyFont="1" applyBorder="1" applyAlignment="1">
      <alignment horizontal="center" wrapText="1"/>
    </xf>
    <xf numFmtId="49" fontId="10" fillId="36" borderId="43" xfId="0" applyNumberFormat="1" applyFont="1" applyFill="1" applyBorder="1" applyAlignment="1">
      <alignment wrapText="1"/>
    </xf>
    <xf numFmtId="0" fontId="10" fillId="36" borderId="39" xfId="0" applyFont="1" applyFill="1" applyBorder="1" applyAlignment="1">
      <alignment wrapText="1"/>
    </xf>
    <xf numFmtId="2" fontId="10" fillId="0" borderId="1" xfId="379" applyNumberFormat="1" applyFont="1" applyBorder="1" applyAlignment="1" applyProtection="1">
      <protection locked="0"/>
    </xf>
    <xf numFmtId="0" fontId="117" fillId="0" borderId="0" xfId="0" applyFont="1" applyFill="1" applyBorder="1" applyAlignment="1" applyProtection="1">
      <alignment horizontal="center" vertical="center" wrapText="1"/>
      <protection locked="0"/>
    </xf>
    <xf numFmtId="0" fontId="20" fillId="0" borderId="0" xfId="0" applyFont="1" applyAlignment="1" applyProtection="1">
      <alignment horizontal="left"/>
      <protection locked="0"/>
    </xf>
    <xf numFmtId="10" fontId="20" fillId="0" borderId="0" xfId="557" applyNumberFormat="1" applyFont="1" applyBorder="1"/>
    <xf numFmtId="170" fontId="10" fillId="65" borderId="1" xfId="379" applyNumberFormat="1" applyFont="1" applyFill="1" applyBorder="1" applyAlignment="1">
      <alignment horizontal="center"/>
    </xf>
    <xf numFmtId="170" fontId="10" fillId="65" borderId="10" xfId="379" applyNumberFormat="1" applyFont="1" applyFill="1" applyBorder="1" applyAlignment="1">
      <alignment horizontal="center"/>
    </xf>
    <xf numFmtId="1" fontId="10" fillId="65" borderId="1" xfId="0" applyNumberFormat="1" applyFont="1" applyFill="1" applyBorder="1" applyAlignment="1">
      <alignment horizontal="center"/>
    </xf>
    <xf numFmtId="1" fontId="10" fillId="65" borderId="10" xfId="0" applyNumberFormat="1" applyFont="1" applyFill="1" applyBorder="1" applyAlignment="1">
      <alignment horizontal="center"/>
    </xf>
    <xf numFmtId="170" fontId="10" fillId="65" borderId="28" xfId="379" applyNumberFormat="1" applyFont="1" applyFill="1" applyBorder="1"/>
    <xf numFmtId="170" fontId="10" fillId="65" borderId="26" xfId="379" applyNumberFormat="1" applyFont="1" applyFill="1" applyBorder="1"/>
    <xf numFmtId="167" fontId="10" fillId="65" borderId="28" xfId="0" applyNumberFormat="1" applyFont="1" applyFill="1" applyBorder="1"/>
    <xf numFmtId="167" fontId="10" fillId="65" borderId="26" xfId="0" applyNumberFormat="1" applyFont="1" applyFill="1" applyBorder="1"/>
    <xf numFmtId="0" fontId="10" fillId="65" borderId="1" xfId="0" applyFont="1" applyFill="1" applyBorder="1" applyAlignment="1">
      <alignment horizontal="center"/>
    </xf>
    <xf numFmtId="0" fontId="10" fillId="65" borderId="10" xfId="0" applyFont="1" applyFill="1" applyBorder="1" applyAlignment="1">
      <alignment horizontal="center"/>
    </xf>
    <xf numFmtId="0" fontId="118" fillId="0" borderId="0" xfId="0" applyFont="1" applyBorder="1" applyAlignment="1"/>
    <xf numFmtId="0" fontId="10" fillId="33" borderId="0" xfId="0" applyFont="1" applyFill="1"/>
    <xf numFmtId="2" fontId="10" fillId="66" borderId="7" xfId="379" applyNumberFormat="1" applyFont="1" applyFill="1" applyBorder="1" applyAlignment="1" applyProtection="1">
      <alignment horizontal="center"/>
      <protection locked="0"/>
    </xf>
    <xf numFmtId="2" fontId="10" fillId="66" borderId="23" xfId="379" applyNumberFormat="1" applyFont="1" applyFill="1" applyBorder="1" applyAlignment="1" applyProtection="1">
      <alignment horizontal="center"/>
      <protection locked="0"/>
    </xf>
    <xf numFmtId="2" fontId="10" fillId="66" borderId="2" xfId="379" applyNumberFormat="1" applyFont="1" applyFill="1" applyBorder="1" applyAlignment="1" applyProtection="1">
      <alignment horizontal="center"/>
      <protection locked="0"/>
    </xf>
    <xf numFmtId="0" fontId="10" fillId="66" borderId="0" xfId="0" applyFont="1" applyFill="1"/>
    <xf numFmtId="0" fontId="17" fillId="67" borderId="1" xfId="0" applyFont="1" applyFill="1" applyBorder="1" applyAlignment="1">
      <alignment horizontal="center"/>
    </xf>
    <xf numFmtId="0" fontId="17" fillId="67" borderId="8" xfId="0" applyFont="1" applyFill="1" applyBorder="1" applyAlignment="1">
      <alignment horizontal="center"/>
    </xf>
    <xf numFmtId="0" fontId="17" fillId="67" borderId="10" xfId="0" applyFont="1" applyFill="1" applyBorder="1" applyAlignment="1">
      <alignment horizontal="center"/>
    </xf>
    <xf numFmtId="0" fontId="17" fillId="67" borderId="11" xfId="0" applyFont="1" applyFill="1" applyBorder="1" applyAlignment="1">
      <alignment horizontal="center"/>
    </xf>
    <xf numFmtId="0" fontId="17" fillId="67" borderId="12" xfId="0" applyFont="1" applyFill="1" applyBorder="1" applyAlignment="1">
      <alignment horizontal="center"/>
    </xf>
    <xf numFmtId="0" fontId="17" fillId="67" borderId="13" xfId="0" applyFont="1" applyFill="1" applyBorder="1" applyAlignment="1">
      <alignment horizontal="center"/>
    </xf>
    <xf numFmtId="0" fontId="17" fillId="67" borderId="44" xfId="0" applyFont="1" applyFill="1" applyBorder="1" applyAlignment="1">
      <alignment horizontal="center"/>
    </xf>
    <xf numFmtId="0" fontId="17" fillId="67" borderId="18" xfId="0" applyFont="1" applyFill="1" applyBorder="1" applyAlignment="1">
      <alignment horizontal="center"/>
    </xf>
    <xf numFmtId="0" fontId="17" fillId="67" borderId="26" xfId="0" applyFont="1" applyFill="1" applyBorder="1" applyAlignment="1">
      <alignment horizontal="center"/>
    </xf>
    <xf numFmtId="0" fontId="17" fillId="67" borderId="42" xfId="0" applyFont="1" applyFill="1" applyBorder="1" applyAlignment="1">
      <alignment horizontal="center"/>
    </xf>
    <xf numFmtId="0" fontId="17" fillId="66" borderId="1" xfId="0" applyFont="1" applyFill="1" applyBorder="1" applyAlignment="1" applyProtection="1">
      <alignment horizontal="center" wrapText="1"/>
    </xf>
    <xf numFmtId="0" fontId="17" fillId="66" borderId="44" xfId="0" applyFont="1" applyFill="1" applyBorder="1" applyAlignment="1" applyProtection="1">
      <alignment horizontal="center" wrapText="1"/>
    </xf>
    <xf numFmtId="2" fontId="10" fillId="66" borderId="1" xfId="379" applyNumberFormat="1" applyFont="1" applyFill="1" applyBorder="1" applyAlignment="1" applyProtection="1">
      <alignment horizontal="center"/>
      <protection locked="0"/>
    </xf>
    <xf numFmtId="2" fontId="56" fillId="0" borderId="23" xfId="379" applyNumberFormat="1" applyFont="1" applyFill="1" applyBorder="1" applyAlignment="1" applyProtection="1">
      <alignment horizontal="center"/>
      <protection locked="0"/>
    </xf>
    <xf numFmtId="0" fontId="56" fillId="0" borderId="1" xfId="0" applyFont="1" applyFill="1" applyBorder="1"/>
    <xf numFmtId="0" fontId="56" fillId="0" borderId="1" xfId="0" applyFont="1" applyBorder="1"/>
    <xf numFmtId="49" fontId="56" fillId="0" borderId="17" xfId="0" applyNumberFormat="1" applyFont="1" applyBorder="1"/>
    <xf numFmtId="0" fontId="56" fillId="0" borderId="17" xfId="0" applyFont="1" applyBorder="1"/>
    <xf numFmtId="0" fontId="56" fillId="0" borderId="22" xfId="0" applyFont="1" applyBorder="1"/>
    <xf numFmtId="170" fontId="43" fillId="0" borderId="0" xfId="0" applyNumberFormat="1" applyFont="1"/>
    <xf numFmtId="0" fontId="42" fillId="0" borderId="1" xfId="0" applyFont="1" applyBorder="1" applyAlignment="1"/>
    <xf numFmtId="170" fontId="42" fillId="0" borderId="1" xfId="379" applyNumberFormat="1" applyFont="1" applyBorder="1" applyAlignment="1"/>
    <xf numFmtId="0" fontId="26" fillId="68" borderId="1" xfId="0" applyFont="1" applyFill="1" applyBorder="1" applyAlignment="1"/>
    <xf numFmtId="170" fontId="26" fillId="0" borderId="1" xfId="379" applyNumberFormat="1" applyFont="1" applyBorder="1" applyAlignment="1"/>
    <xf numFmtId="0" fontId="26" fillId="69" borderId="1" xfId="0" applyFont="1" applyFill="1" applyBorder="1" applyAlignment="1"/>
    <xf numFmtId="0" fontId="26" fillId="70" borderId="1" xfId="0" applyFont="1" applyFill="1" applyBorder="1" applyAlignment="1"/>
    <xf numFmtId="0" fontId="26" fillId="71" borderId="1" xfId="0" applyFont="1" applyFill="1" applyBorder="1" applyAlignment="1"/>
    <xf numFmtId="170" fontId="10" fillId="0" borderId="0" xfId="379" applyNumberFormat="1" applyFont="1" applyAlignment="1"/>
    <xf numFmtId="43" fontId="27" fillId="64" borderId="99" xfId="768" applyNumberFormat="1" applyFont="1" applyFill="1" applyBorder="1" applyAlignment="1">
      <alignment horizontal="center" vertical="center"/>
    </xf>
    <xf numFmtId="0" fontId="10" fillId="0" borderId="27" xfId="521" applyFont="1" applyBorder="1" applyAlignment="1">
      <alignment vertical="center"/>
    </xf>
    <xf numFmtId="0" fontId="10" fillId="0" borderId="77" xfId="521" applyFont="1" applyBorder="1" applyAlignment="1">
      <alignment vertical="center"/>
    </xf>
    <xf numFmtId="0" fontId="10" fillId="0" borderId="28" xfId="521" applyFont="1" applyBorder="1" applyAlignment="1">
      <alignment horizontal="center" vertical="center"/>
    </xf>
    <xf numFmtId="170" fontId="10" fillId="0" borderId="28" xfId="379" applyNumberFormat="1" applyFont="1" applyFill="1" applyBorder="1" applyAlignment="1">
      <alignment horizontal="center" vertical="center"/>
    </xf>
    <xf numFmtId="170" fontId="10" fillId="0" borderId="29" xfId="379" applyNumberFormat="1" applyFont="1" applyFill="1" applyBorder="1" applyAlignment="1">
      <alignment horizontal="center" vertical="center"/>
    </xf>
    <xf numFmtId="0" fontId="10" fillId="0" borderId="0" xfId="521" applyFont="1" applyAlignment="1">
      <alignment vertical="center"/>
    </xf>
    <xf numFmtId="10" fontId="10" fillId="0" borderId="27" xfId="558" applyNumberFormat="1" applyFont="1" applyFill="1" applyBorder="1" applyAlignment="1">
      <alignment horizontal="center" vertical="center"/>
    </xf>
    <xf numFmtId="3" fontId="43" fillId="0" borderId="76" xfId="379" applyNumberFormat="1" applyFont="1" applyFill="1" applyBorder="1" applyAlignment="1">
      <alignment horizontal="center" vertical="center"/>
    </xf>
    <xf numFmtId="3" fontId="10" fillId="0" borderId="76" xfId="379" applyNumberFormat="1" applyFont="1" applyFill="1" applyBorder="1" applyAlignment="1">
      <alignment horizontal="center" vertical="center"/>
    </xf>
    <xf numFmtId="3" fontId="10" fillId="0" borderId="29" xfId="379" applyNumberFormat="1" applyFont="1" applyFill="1" applyBorder="1" applyAlignment="1">
      <alignment horizontal="center" vertical="center"/>
    </xf>
    <xf numFmtId="0" fontId="14" fillId="0" borderId="0" xfId="0" applyFont="1" applyFill="1" applyBorder="1" applyAlignment="1"/>
    <xf numFmtId="0" fontId="14" fillId="0" borderId="25" xfId="0" applyFont="1" applyFill="1" applyBorder="1" applyAlignment="1"/>
    <xf numFmtId="0" fontId="45" fillId="0" borderId="1" xfId="0" applyFont="1" applyBorder="1" applyAlignment="1">
      <alignment horizontal="center" vertical="center" wrapText="1"/>
    </xf>
    <xf numFmtId="43" fontId="10" fillId="0" borderId="56" xfId="0" applyNumberFormat="1" applyFont="1" applyBorder="1" applyAlignment="1">
      <alignment horizontal="center"/>
    </xf>
    <xf numFmtId="0" fontId="10" fillId="0" borderId="0" xfId="696" applyProtection="1">
      <protection locked="0"/>
    </xf>
    <xf numFmtId="0" fontId="4" fillId="0" borderId="0" xfId="767" applyProtection="1">
      <protection locked="0"/>
    </xf>
    <xf numFmtId="0" fontId="10" fillId="0" borderId="0" xfId="696" applyAlignment="1" applyProtection="1">
      <alignment horizontal="left"/>
      <protection locked="0"/>
    </xf>
    <xf numFmtId="0" fontId="1" fillId="0" borderId="0" xfId="767" applyFont="1" applyProtection="1">
      <protection locked="0"/>
    </xf>
    <xf numFmtId="49" fontId="120" fillId="0" borderId="0" xfId="597" applyNumberFormat="1" applyFont="1" applyBorder="1" applyAlignment="1" applyProtection="1">
      <alignment vertical="top" wrapText="1"/>
      <protection locked="0"/>
    </xf>
    <xf numFmtId="49" fontId="1" fillId="0" borderId="0" xfId="767" applyNumberFormat="1" applyFont="1" applyAlignment="1" applyProtection="1">
      <alignment vertical="top" wrapText="1"/>
      <protection locked="0"/>
    </xf>
    <xf numFmtId="49" fontId="121" fillId="0" borderId="0" xfId="597" applyNumberFormat="1" applyFont="1" applyBorder="1" applyAlignment="1" applyProtection="1">
      <alignment vertical="top" wrapText="1"/>
      <protection locked="0"/>
    </xf>
    <xf numFmtId="0" fontId="80" fillId="34" borderId="45" xfId="767" applyFont="1" applyFill="1" applyBorder="1" applyAlignment="1" applyProtection="1">
      <alignment horizontal="right"/>
      <protection locked="0"/>
    </xf>
    <xf numFmtId="0" fontId="80" fillId="34" borderId="0" xfId="767" applyFont="1" applyFill="1" applyBorder="1" applyAlignment="1" applyProtection="1">
      <alignment horizontal="right"/>
      <protection locked="0"/>
    </xf>
    <xf numFmtId="0" fontId="80" fillId="34" borderId="41" xfId="767" applyFont="1" applyFill="1" applyBorder="1" applyAlignment="1" applyProtection="1">
      <alignment horizontal="right"/>
      <protection locked="0"/>
    </xf>
    <xf numFmtId="0" fontId="80" fillId="0" borderId="45" xfId="767" applyFont="1" applyBorder="1" applyProtection="1">
      <protection locked="0"/>
    </xf>
    <xf numFmtId="0" fontId="80" fillId="0" borderId="121" xfId="767" applyFont="1" applyBorder="1" applyProtection="1">
      <protection locked="0"/>
    </xf>
    <xf numFmtId="0" fontId="1" fillId="0" borderId="45" xfId="767" applyFont="1" applyBorder="1" applyProtection="1">
      <protection locked="0"/>
    </xf>
    <xf numFmtId="10" fontId="120" fillId="0" borderId="0" xfId="611" applyNumberFormat="1" applyFont="1" applyBorder="1" applyProtection="1">
      <protection locked="0"/>
    </xf>
    <xf numFmtId="10" fontId="120" fillId="0" borderId="101" xfId="611" applyNumberFormat="1" applyFont="1" applyBorder="1" applyProtection="1">
      <protection locked="0"/>
    </xf>
    <xf numFmtId="10" fontId="120" fillId="0" borderId="41" xfId="611" applyNumberFormat="1" applyFont="1" applyBorder="1" applyProtection="1">
      <protection locked="0"/>
    </xf>
    <xf numFmtId="0" fontId="4" fillId="0" borderId="45" xfId="767" applyBorder="1" applyProtection="1">
      <protection locked="0"/>
    </xf>
    <xf numFmtId="0" fontId="4" fillId="0" borderId="121" xfId="767" applyBorder="1" applyProtection="1">
      <protection locked="0"/>
    </xf>
    <xf numFmtId="9" fontId="0" fillId="70" borderId="0" xfId="611" applyFont="1" applyFill="1" applyProtection="1">
      <protection locked="0"/>
    </xf>
    <xf numFmtId="9" fontId="4" fillId="70" borderId="0" xfId="767" applyNumberFormat="1" applyFill="1" applyProtection="1">
      <protection locked="0"/>
    </xf>
    <xf numFmtId="9" fontId="4" fillId="0" borderId="0" xfId="767" applyNumberFormat="1" applyProtection="1">
      <protection locked="0"/>
    </xf>
    <xf numFmtId="0" fontId="1" fillId="0" borderId="0" xfId="767" applyFont="1" applyBorder="1" applyProtection="1">
      <protection locked="0"/>
    </xf>
    <xf numFmtId="0" fontId="1" fillId="0" borderId="94" xfId="767" applyFont="1" applyBorder="1" applyProtection="1">
      <protection locked="0"/>
    </xf>
    <xf numFmtId="0" fontId="1" fillId="0" borderId="100" xfId="767" applyFont="1" applyBorder="1" applyProtection="1">
      <protection locked="0"/>
    </xf>
    <xf numFmtId="10" fontId="120" fillId="0" borderId="102" xfId="611" applyNumberFormat="1" applyFont="1" applyBorder="1" applyProtection="1">
      <protection locked="0"/>
    </xf>
    <xf numFmtId="10" fontId="120" fillId="0" borderId="95" xfId="611" applyNumberFormat="1" applyFont="1" applyBorder="1" applyProtection="1">
      <protection locked="0"/>
    </xf>
    <xf numFmtId="10" fontId="80" fillId="0" borderId="0" xfId="767" applyNumberFormat="1" applyFont="1" applyBorder="1" applyProtection="1">
      <protection locked="0"/>
    </xf>
    <xf numFmtId="10" fontId="80" fillId="0" borderId="101" xfId="767" applyNumberFormat="1" applyFont="1" applyBorder="1" applyProtection="1">
      <protection locked="0"/>
    </xf>
    <xf numFmtId="10" fontId="80" fillId="0" borderId="41" xfId="767" applyNumberFormat="1" applyFont="1" applyBorder="1" applyProtection="1">
      <protection locked="0"/>
    </xf>
    <xf numFmtId="43" fontId="120" fillId="33" borderId="0" xfId="597" applyNumberFormat="1" applyFont="1" applyFill="1" applyBorder="1" applyProtection="1">
      <protection locked="0"/>
    </xf>
    <xf numFmtId="43" fontId="120" fillId="0" borderId="41" xfId="597" applyNumberFormat="1" applyFont="1" applyBorder="1" applyProtection="1">
      <protection locked="0"/>
    </xf>
    <xf numFmtId="43" fontId="120" fillId="0" borderId="0" xfId="597" applyNumberFormat="1" applyFont="1" applyBorder="1" applyProtection="1">
      <protection locked="0"/>
    </xf>
    <xf numFmtId="43" fontId="120" fillId="33" borderId="105" xfId="597" applyNumberFormat="1" applyFont="1" applyFill="1" applyBorder="1" applyProtection="1">
      <protection locked="0"/>
    </xf>
    <xf numFmtId="43" fontId="120" fillId="33" borderId="104" xfId="597" applyNumberFormat="1" applyFont="1" applyFill="1" applyBorder="1" applyProtection="1">
      <protection locked="0"/>
    </xf>
    <xf numFmtId="43" fontId="120" fillId="0" borderId="100" xfId="597" applyNumberFormat="1" applyFont="1" applyBorder="1" applyProtection="1">
      <protection locked="0"/>
    </xf>
    <xf numFmtId="43" fontId="120" fillId="33" borderId="102" xfId="597" applyNumberFormat="1" applyFont="1" applyFill="1" applyBorder="1" applyProtection="1">
      <protection locked="0"/>
    </xf>
    <xf numFmtId="43" fontId="120" fillId="0" borderId="95" xfId="597" applyNumberFormat="1" applyFont="1" applyBorder="1" applyProtection="1">
      <protection locked="0"/>
    </xf>
    <xf numFmtId="0" fontId="80" fillId="0" borderId="46" xfId="767" applyFont="1" applyBorder="1" applyProtection="1">
      <protection locked="0"/>
    </xf>
    <xf numFmtId="43" fontId="80" fillId="0" borderId="25" xfId="597" applyNumberFormat="1" applyFont="1" applyBorder="1" applyProtection="1">
      <protection locked="0"/>
    </xf>
    <xf numFmtId="43" fontId="80" fillId="0" borderId="103" xfId="597" applyNumberFormat="1" applyFont="1" applyBorder="1" applyProtection="1">
      <protection locked="0"/>
    </xf>
    <xf numFmtId="43" fontId="80" fillId="0" borderId="40" xfId="597" applyNumberFormat="1" applyFont="1" applyBorder="1" applyProtection="1">
      <protection locked="0"/>
    </xf>
    <xf numFmtId="0" fontId="4" fillId="0" borderId="46" xfId="767" applyBorder="1" applyProtection="1">
      <protection locked="0"/>
    </xf>
    <xf numFmtId="0" fontId="4" fillId="0" borderId="122" xfId="767" applyBorder="1" applyProtection="1">
      <protection locked="0"/>
    </xf>
    <xf numFmtId="0" fontId="80" fillId="0" borderId="0" xfId="767" applyFont="1" applyBorder="1" applyProtection="1">
      <protection locked="0"/>
    </xf>
    <xf numFmtId="43" fontId="80" fillId="0" borderId="0" xfId="597" applyNumberFormat="1" applyFont="1" applyBorder="1" applyProtection="1">
      <protection locked="0"/>
    </xf>
    <xf numFmtId="0" fontId="80" fillId="62" borderId="45" xfId="767" applyFont="1" applyFill="1" applyBorder="1" applyAlignment="1" applyProtection="1">
      <alignment horizontal="right"/>
      <protection locked="0"/>
    </xf>
    <xf numFmtId="0" fontId="80" fillId="62" borderId="0" xfId="767" applyFont="1" applyFill="1" applyBorder="1" applyAlignment="1" applyProtection="1">
      <alignment horizontal="right"/>
      <protection locked="0"/>
    </xf>
    <xf numFmtId="0" fontId="80" fillId="62" borderId="41" xfId="767" applyFont="1" applyFill="1" applyBorder="1" applyAlignment="1" applyProtection="1">
      <alignment horizontal="right"/>
      <protection locked="0"/>
    </xf>
    <xf numFmtId="10" fontId="120" fillId="61" borderId="0" xfId="611" applyNumberFormat="1" applyFont="1" applyFill="1" applyBorder="1" applyProtection="1">
      <protection locked="0"/>
    </xf>
    <xf numFmtId="10" fontId="120" fillId="61" borderId="101" xfId="611" applyNumberFormat="1" applyFont="1" applyFill="1" applyBorder="1" applyProtection="1">
      <protection locked="0"/>
    </xf>
    <xf numFmtId="0" fontId="80" fillId="0" borderId="106" xfId="767" applyFont="1" applyBorder="1" applyProtection="1">
      <protection locked="0"/>
    </xf>
    <xf numFmtId="10" fontId="80" fillId="0" borderId="107" xfId="767" applyNumberFormat="1" applyFont="1" applyBorder="1" applyProtection="1">
      <protection locked="0"/>
    </xf>
    <xf numFmtId="10" fontId="80" fillId="0" borderId="108" xfId="767" applyNumberFormat="1" applyFont="1" applyBorder="1" applyProtection="1">
      <protection locked="0"/>
    </xf>
    <xf numFmtId="10" fontId="80" fillId="0" borderId="109" xfId="767" applyNumberFormat="1" applyFont="1" applyBorder="1" applyProtection="1">
      <protection locked="0"/>
    </xf>
    <xf numFmtId="43" fontId="120" fillId="61" borderId="0" xfId="597" applyNumberFormat="1" applyFont="1" applyFill="1" applyBorder="1" applyProtection="1">
      <protection locked="0"/>
    </xf>
    <xf numFmtId="43" fontId="120" fillId="61" borderId="101" xfId="597" applyNumberFormat="1" applyFont="1" applyFill="1" applyBorder="1" applyProtection="1">
      <protection locked="0"/>
    </xf>
    <xf numFmtId="43" fontId="120" fillId="61" borderId="105" xfId="597" applyNumberFormat="1" applyFont="1" applyFill="1" applyBorder="1" applyProtection="1">
      <protection locked="0"/>
    </xf>
    <xf numFmtId="43" fontId="120" fillId="61" borderId="104" xfId="597" applyNumberFormat="1" applyFont="1" applyFill="1" applyBorder="1" applyProtection="1">
      <protection locked="0"/>
    </xf>
    <xf numFmtId="43" fontId="120" fillId="0" borderId="0" xfId="597" applyNumberFormat="1" applyFont="1" applyFill="1" applyBorder="1" applyProtection="1">
      <protection locked="0"/>
    </xf>
    <xf numFmtId="0" fontId="1" fillId="0" borderId="0" xfId="767" applyFont="1" applyBorder="1" applyAlignment="1" applyProtection="1">
      <alignment vertical="top" wrapText="1"/>
      <protection locked="0"/>
    </xf>
    <xf numFmtId="0" fontId="1" fillId="0" borderId="0" xfId="767" applyFont="1" applyAlignment="1" applyProtection="1">
      <alignment vertical="top" wrapText="1"/>
      <protection locked="0"/>
    </xf>
    <xf numFmtId="0" fontId="80" fillId="34" borderId="45" xfId="767" applyFont="1" applyFill="1" applyBorder="1" applyAlignment="1" applyProtection="1">
      <alignment horizontal="center"/>
      <protection locked="0"/>
    </xf>
    <xf numFmtId="0" fontId="80" fillId="34" borderId="0" xfId="767" applyFont="1" applyFill="1" applyBorder="1" applyAlignment="1" applyProtection="1">
      <alignment horizontal="center"/>
      <protection locked="0"/>
    </xf>
    <xf numFmtId="0" fontId="80" fillId="34" borderId="41" xfId="767" applyFont="1" applyFill="1" applyBorder="1" applyAlignment="1" applyProtection="1">
      <alignment horizontal="center"/>
      <protection locked="0"/>
    </xf>
    <xf numFmtId="0" fontId="80" fillId="35" borderId="41" xfId="767" applyFont="1" applyFill="1" applyBorder="1" applyAlignment="1" applyProtection="1">
      <alignment horizontal="center"/>
      <protection locked="0"/>
    </xf>
    <xf numFmtId="0" fontId="80" fillId="34" borderId="38" xfId="767" applyFont="1" applyFill="1" applyBorder="1" applyAlignment="1" applyProtection="1">
      <alignment horizontal="center"/>
      <protection locked="0"/>
    </xf>
    <xf numFmtId="0" fontId="80" fillId="34" borderId="70" xfId="767" applyFont="1" applyFill="1" applyBorder="1" applyAlignment="1" applyProtection="1">
      <alignment horizontal="center"/>
      <protection locked="0"/>
    </xf>
    <xf numFmtId="0" fontId="80" fillId="34" borderId="78" xfId="767" applyFont="1" applyFill="1" applyBorder="1" applyAlignment="1" applyProtection="1">
      <alignment horizontal="center"/>
      <protection locked="0"/>
    </xf>
    <xf numFmtId="0" fontId="1" fillId="34" borderId="45" xfId="767" applyFont="1" applyFill="1" applyBorder="1" applyAlignment="1" applyProtection="1">
      <alignment vertical="top"/>
      <protection locked="0"/>
    </xf>
    <xf numFmtId="0" fontId="1" fillId="34" borderId="0" xfId="767" applyFont="1" applyFill="1" applyBorder="1" applyAlignment="1" applyProtection="1">
      <alignment vertical="top"/>
      <protection locked="0"/>
    </xf>
    <xf numFmtId="0" fontId="80" fillId="34" borderId="41" xfId="767" applyFont="1" applyFill="1" applyBorder="1" applyAlignment="1" applyProtection="1">
      <alignment horizontal="center" wrapText="1"/>
      <protection locked="0"/>
    </xf>
    <xf numFmtId="0" fontId="80" fillId="34" borderId="70" xfId="767" applyFont="1" applyFill="1" applyBorder="1" applyAlignment="1" applyProtection="1">
      <alignment horizontal="center" vertical="center"/>
      <protection locked="0"/>
    </xf>
    <xf numFmtId="0" fontId="80" fillId="34" borderId="78" xfId="767" applyFont="1" applyFill="1" applyBorder="1" applyAlignment="1" applyProtection="1">
      <alignment horizontal="center" vertical="center" wrapText="1"/>
      <protection locked="0"/>
    </xf>
    <xf numFmtId="0" fontId="1" fillId="0" borderId="45" xfId="767" applyFont="1" applyFill="1" applyBorder="1" applyAlignment="1" applyProtection="1">
      <alignment vertical="top"/>
      <protection locked="0"/>
    </xf>
    <xf numFmtId="0" fontId="1" fillId="0" borderId="0" xfId="767" applyFont="1" applyFill="1" applyBorder="1" applyAlignment="1" applyProtection="1">
      <alignment vertical="top"/>
      <protection locked="0"/>
    </xf>
    <xf numFmtId="0" fontId="80" fillId="33" borderId="0" xfId="767" applyFont="1" applyFill="1" applyBorder="1" applyAlignment="1" applyProtection="1">
      <alignment vertical="top"/>
      <protection locked="0"/>
    </xf>
    <xf numFmtId="0" fontId="80" fillId="0" borderId="0" xfId="767" applyFont="1" applyFill="1" applyBorder="1" applyAlignment="1" applyProtection="1">
      <alignment vertical="top"/>
      <protection locked="0"/>
    </xf>
    <xf numFmtId="0" fontId="80" fillId="0" borderId="41" xfId="767" applyFont="1" applyFill="1" applyBorder="1" applyAlignment="1" applyProtection="1">
      <alignment horizontal="center" vertical="top" wrapText="1"/>
      <protection locked="0"/>
    </xf>
    <xf numFmtId="0" fontId="80" fillId="33" borderId="123" xfId="767" applyFont="1" applyFill="1" applyBorder="1" applyAlignment="1" applyProtection="1">
      <alignment vertical="top"/>
      <protection locked="0"/>
    </xf>
    <xf numFmtId="0" fontId="1" fillId="0" borderId="94" xfId="767" applyFont="1" applyFill="1" applyBorder="1" applyAlignment="1" applyProtection="1">
      <alignment vertical="top"/>
      <protection locked="0"/>
    </xf>
    <xf numFmtId="0" fontId="1" fillId="0" borderId="100" xfId="767" applyFont="1" applyFill="1" applyBorder="1" applyAlignment="1" applyProtection="1">
      <alignment vertical="top"/>
      <protection locked="0"/>
    </xf>
    <xf numFmtId="0" fontId="80" fillId="33" borderId="100" xfId="767" applyFont="1" applyFill="1" applyBorder="1" applyAlignment="1" applyProtection="1">
      <alignment vertical="top"/>
      <protection locked="0"/>
    </xf>
    <xf numFmtId="0" fontId="1" fillId="0" borderId="25" xfId="767" applyFont="1" applyFill="1" applyBorder="1" applyProtection="1">
      <protection locked="0"/>
    </xf>
    <xf numFmtId="0" fontId="1" fillId="0" borderId="25" xfId="767" applyFont="1" applyBorder="1" applyProtection="1">
      <protection locked="0"/>
    </xf>
    <xf numFmtId="10" fontId="121" fillId="0" borderId="40" xfId="611" applyNumberFormat="1" applyFont="1" applyBorder="1" applyProtection="1">
      <protection locked="0"/>
    </xf>
    <xf numFmtId="0" fontId="80" fillId="0" borderId="0" xfId="767" applyFont="1" applyBorder="1" applyAlignment="1" applyProtection="1">
      <alignment vertical="top" wrapText="1"/>
      <protection locked="0"/>
    </xf>
    <xf numFmtId="0" fontId="1" fillId="0" borderId="0" xfId="767" applyFont="1" applyFill="1" applyBorder="1" applyProtection="1">
      <protection locked="0"/>
    </xf>
    <xf numFmtId="10" fontId="121" fillId="0" borderId="0" xfId="611" applyNumberFormat="1" applyFont="1" applyBorder="1" applyProtection="1">
      <protection locked="0"/>
    </xf>
    <xf numFmtId="0" fontId="1" fillId="0" borderId="0" xfId="767" applyFont="1" applyBorder="1" applyAlignment="1" applyProtection="1">
      <alignment horizontal="left" vertical="top" wrapText="1"/>
      <protection locked="0"/>
    </xf>
    <xf numFmtId="0" fontId="80" fillId="0" borderId="0" xfId="767" applyFont="1" applyFill="1" applyBorder="1" applyAlignment="1" applyProtection="1">
      <alignment vertical="top" wrapText="1"/>
      <protection locked="0"/>
    </xf>
    <xf numFmtId="0" fontId="4" fillId="0" borderId="0" xfId="767" applyBorder="1" applyProtection="1">
      <protection locked="0"/>
    </xf>
    <xf numFmtId="0" fontId="80" fillId="0" borderId="47" xfId="767" applyFont="1" applyBorder="1" applyAlignment="1" applyProtection="1">
      <alignment vertical="top" wrapText="1"/>
      <protection locked="0"/>
    </xf>
    <xf numFmtId="0" fontId="80" fillId="0" borderId="48" xfId="767" applyFont="1" applyFill="1" applyBorder="1" applyAlignment="1" applyProtection="1">
      <alignment horizontal="center" vertical="center" wrapText="1"/>
      <protection locked="0"/>
    </xf>
    <xf numFmtId="0" fontId="123" fillId="0" borderId="48" xfId="796" applyNumberFormat="1" applyFont="1" applyBorder="1" applyAlignment="1" applyProtection="1">
      <alignment horizontal="center" vertical="center"/>
      <protection locked="0"/>
    </xf>
    <xf numFmtId="0" fontId="4" fillId="0" borderId="49" xfId="767" applyBorder="1" applyProtection="1">
      <protection locked="0"/>
    </xf>
    <xf numFmtId="0" fontId="80" fillId="0" borderId="45" xfId="767" applyFont="1" applyBorder="1" applyAlignment="1" applyProtection="1">
      <alignment horizontal="left" vertical="center" wrapText="1"/>
      <protection locked="0"/>
    </xf>
    <xf numFmtId="0" fontId="80" fillId="35" borderId="1" xfId="767" applyFont="1" applyFill="1" applyBorder="1" applyAlignment="1" applyProtection="1">
      <alignment horizontal="center" vertical="center" wrapText="1"/>
      <protection locked="0"/>
    </xf>
    <xf numFmtId="10" fontId="121" fillId="0" borderId="41" xfId="611" applyNumberFormat="1" applyFont="1" applyBorder="1" applyAlignment="1" applyProtection="1">
      <alignment horizontal="center" vertical="center" wrapText="1"/>
      <protection locked="0"/>
    </xf>
    <xf numFmtId="0" fontId="124" fillId="0" borderId="46" xfId="767" applyFont="1" applyBorder="1" applyAlignment="1" applyProtection="1">
      <alignment horizontal="left" vertical="top" wrapText="1"/>
      <protection locked="0"/>
    </xf>
    <xf numFmtId="0" fontId="125" fillId="0" borderId="25" xfId="767" applyFont="1" applyBorder="1" applyAlignment="1" applyProtection="1">
      <alignment vertical="top" wrapText="1"/>
      <protection locked="0"/>
    </xf>
    <xf numFmtId="0" fontId="125" fillId="72" borderId="25" xfId="767" applyFont="1" applyFill="1" applyBorder="1" applyAlignment="1" applyProtection="1">
      <alignment vertical="top" wrapText="1"/>
      <protection locked="0"/>
    </xf>
    <xf numFmtId="0" fontId="124" fillId="0" borderId="0" xfId="767" applyFont="1" applyBorder="1" applyAlignment="1" applyProtection="1">
      <alignment horizontal="left" vertical="top" wrapText="1"/>
      <protection locked="0"/>
    </xf>
    <xf numFmtId="0" fontId="125" fillId="0" borderId="0" xfId="767" applyFont="1" applyBorder="1" applyAlignment="1" applyProtection="1">
      <alignment vertical="top" wrapText="1"/>
      <protection locked="0"/>
    </xf>
    <xf numFmtId="0" fontId="122" fillId="0" borderId="0" xfId="767" applyFont="1" applyBorder="1" applyAlignment="1" applyProtection="1">
      <alignment horizontal="center" vertical="top" wrapText="1"/>
      <protection locked="0"/>
    </xf>
    <xf numFmtId="0" fontId="1" fillId="0" borderId="35" xfId="767" applyFont="1" applyBorder="1" applyProtection="1">
      <protection locked="0"/>
    </xf>
    <xf numFmtId="0" fontId="80" fillId="34" borderId="48" xfId="767" applyFont="1" applyFill="1" applyBorder="1" applyAlignment="1" applyProtection="1">
      <alignment horizontal="center"/>
      <protection locked="0"/>
    </xf>
    <xf numFmtId="0" fontId="80" fillId="34" borderId="48" xfId="767" applyFont="1" applyFill="1" applyBorder="1" applyAlignment="1" applyProtection="1">
      <alignment horizontal="center" vertical="center"/>
      <protection locked="0"/>
    </xf>
    <xf numFmtId="0" fontId="80" fillId="34" borderId="49" xfId="767" applyFont="1" applyFill="1" applyBorder="1" applyAlignment="1" applyProtection="1">
      <alignment horizontal="center" vertical="center"/>
      <protection locked="0"/>
    </xf>
    <xf numFmtId="0" fontId="1" fillId="0" borderId="7" xfId="767" applyFont="1" applyBorder="1" applyProtection="1">
      <protection locked="0"/>
    </xf>
    <xf numFmtId="0" fontId="80" fillId="34" borderId="54" xfId="767" applyFont="1" applyFill="1" applyBorder="1" applyAlignment="1" applyProtection="1">
      <alignment vertical="top"/>
      <protection locked="0"/>
    </xf>
    <xf numFmtId="0" fontId="80" fillId="34" borderId="70" xfId="767" applyFont="1" applyFill="1" applyBorder="1" applyAlignment="1" applyProtection="1">
      <alignment vertical="top"/>
      <protection locked="0"/>
    </xf>
    <xf numFmtId="0" fontId="80" fillId="34" borderId="78" xfId="767" applyFont="1" applyFill="1" applyBorder="1" applyAlignment="1" applyProtection="1">
      <alignment vertical="top"/>
      <protection locked="0"/>
    </xf>
    <xf numFmtId="0" fontId="1" fillId="0" borderId="32" xfId="767" applyFont="1" applyBorder="1" applyAlignment="1" applyProtection="1">
      <alignment wrapText="1"/>
      <protection locked="0"/>
    </xf>
    <xf numFmtId="43" fontId="1" fillId="0" borderId="0" xfId="767" applyNumberFormat="1" applyFont="1" applyBorder="1" applyAlignment="1" applyProtection="1">
      <alignment horizontal="center" vertical="center"/>
      <protection locked="0"/>
    </xf>
    <xf numFmtId="43" fontId="1" fillId="0" borderId="17" xfId="767" applyNumberFormat="1" applyFont="1" applyBorder="1" applyAlignment="1" applyProtection="1">
      <alignment horizontal="center" vertical="center"/>
      <protection locked="0"/>
    </xf>
    <xf numFmtId="43" fontId="1" fillId="0" borderId="41" xfId="767" applyNumberFormat="1" applyFont="1" applyBorder="1" applyAlignment="1" applyProtection="1">
      <alignment horizontal="center" vertical="center"/>
      <protection locked="0"/>
    </xf>
    <xf numFmtId="43" fontId="1" fillId="0" borderId="68" xfId="767" applyNumberFormat="1" applyFont="1" applyBorder="1" applyAlignment="1" applyProtection="1">
      <alignment horizontal="center" vertical="center"/>
      <protection locked="0"/>
    </xf>
    <xf numFmtId="0" fontId="1" fillId="72" borderId="7" xfId="767" applyFont="1" applyFill="1" applyBorder="1" applyAlignment="1" applyProtection="1">
      <alignment wrapText="1"/>
      <protection locked="0"/>
    </xf>
    <xf numFmtId="43" fontId="121" fillId="33" borderId="70" xfId="796" applyFont="1" applyFill="1" applyBorder="1" applyAlignment="1" applyProtection="1">
      <alignment horizontal="center" vertical="center"/>
      <protection locked="0"/>
    </xf>
    <xf numFmtId="43" fontId="1" fillId="33" borderId="70" xfId="767" applyNumberFormat="1" applyFont="1" applyFill="1" applyBorder="1" applyAlignment="1" applyProtection="1">
      <alignment horizontal="center" vertical="center"/>
      <protection locked="0"/>
    </xf>
    <xf numFmtId="43" fontId="1" fillId="0" borderId="70" xfId="767" applyNumberFormat="1" applyFont="1" applyBorder="1" applyAlignment="1" applyProtection="1">
      <alignment horizontal="center" vertical="center"/>
      <protection locked="0"/>
    </xf>
    <xf numFmtId="43" fontId="1" fillId="0" borderId="55" xfId="767" applyNumberFormat="1" applyFont="1" applyBorder="1" applyAlignment="1" applyProtection="1">
      <alignment horizontal="center" vertical="center"/>
      <protection locked="0"/>
    </xf>
    <xf numFmtId="43" fontId="1" fillId="0" borderId="78" xfId="767" applyNumberFormat="1" applyFont="1" applyBorder="1" applyAlignment="1" applyProtection="1">
      <alignment horizontal="center" vertical="center"/>
      <protection locked="0"/>
    </xf>
    <xf numFmtId="0" fontId="1" fillId="62" borderId="15" xfId="767" applyFont="1" applyFill="1" applyBorder="1" applyAlignment="1" applyProtection="1">
      <alignment wrapText="1"/>
      <protection locked="0"/>
    </xf>
    <xf numFmtId="43" fontId="1" fillId="62" borderId="51" xfId="767" applyNumberFormat="1" applyFont="1" applyFill="1" applyBorder="1" applyAlignment="1" applyProtection="1">
      <alignment horizontal="center" vertical="center"/>
      <protection locked="0"/>
    </xf>
    <xf numFmtId="43" fontId="1" fillId="62" borderId="52" xfId="767" applyNumberFormat="1" applyFont="1" applyFill="1" applyBorder="1" applyAlignment="1" applyProtection="1">
      <alignment horizontal="center" vertical="center"/>
      <protection locked="0"/>
    </xf>
    <xf numFmtId="0" fontId="1" fillId="0" borderId="97" xfId="767" applyFont="1" applyBorder="1" applyAlignment="1" applyProtection="1">
      <alignment wrapText="1"/>
      <protection locked="0"/>
    </xf>
    <xf numFmtId="43" fontId="1" fillId="0" borderId="81" xfId="767" applyNumberFormat="1" applyFont="1" applyBorder="1" applyAlignment="1" applyProtection="1">
      <alignment horizontal="center" vertical="center"/>
      <protection locked="0"/>
    </xf>
    <xf numFmtId="43" fontId="1" fillId="0" borderId="92" xfId="767" applyNumberFormat="1" applyFont="1" applyBorder="1" applyAlignment="1" applyProtection="1">
      <alignment horizontal="center" vertical="center"/>
      <protection locked="0"/>
    </xf>
    <xf numFmtId="43" fontId="1" fillId="0" borderId="96" xfId="767" applyNumberFormat="1" applyFont="1" applyBorder="1" applyAlignment="1" applyProtection="1">
      <alignment horizontal="center" vertical="center"/>
      <protection locked="0"/>
    </xf>
    <xf numFmtId="0" fontId="1" fillId="62" borderId="94" xfId="767" applyFont="1" applyFill="1" applyBorder="1" applyAlignment="1" applyProtection="1">
      <alignment wrapText="1"/>
      <protection locked="0"/>
    </xf>
    <xf numFmtId="43" fontId="1" fillId="62" borderId="110" xfId="767" applyNumberFormat="1" applyFont="1" applyFill="1" applyBorder="1" applyAlignment="1" applyProtection="1">
      <alignment horizontal="center" vertical="center"/>
      <protection locked="0"/>
    </xf>
    <xf numFmtId="43" fontId="1" fillId="62" borderId="0" xfId="767" applyNumberFormat="1" applyFont="1" applyFill="1" applyBorder="1" applyAlignment="1" applyProtection="1">
      <alignment horizontal="center" vertical="center"/>
      <protection locked="0"/>
    </xf>
    <xf numFmtId="43" fontId="1" fillId="62" borderId="111" xfId="767" applyNumberFormat="1" applyFont="1" applyFill="1" applyBorder="1" applyAlignment="1" applyProtection="1">
      <alignment horizontal="center" vertical="center"/>
      <protection locked="0"/>
    </xf>
    <xf numFmtId="43" fontId="121" fillId="0" borderId="112" xfId="597" applyNumberFormat="1" applyFont="1" applyBorder="1" applyAlignment="1" applyProtection="1">
      <alignment horizontal="center" vertical="center"/>
      <protection locked="0"/>
    </xf>
    <xf numFmtId="43" fontId="121" fillId="0" borderId="107" xfId="597" applyNumberFormat="1" applyFont="1" applyBorder="1" applyAlignment="1" applyProtection="1">
      <alignment horizontal="center" vertical="center"/>
      <protection locked="0"/>
    </xf>
    <xf numFmtId="43" fontId="121" fillId="0" borderId="124" xfId="597" applyNumberFormat="1" applyFont="1" applyBorder="1" applyAlignment="1" applyProtection="1">
      <alignment horizontal="center" vertical="center"/>
      <protection locked="0"/>
    </xf>
    <xf numFmtId="43" fontId="121" fillId="72" borderId="99" xfId="597" applyNumberFormat="1" applyFont="1" applyFill="1" applyBorder="1" applyAlignment="1" applyProtection="1">
      <alignment horizontal="center" vertical="center"/>
      <protection locked="0"/>
    </xf>
    <xf numFmtId="43" fontId="121" fillId="62" borderId="51" xfId="597" applyNumberFormat="1" applyFont="1" applyFill="1" applyBorder="1" applyAlignment="1" applyProtection="1">
      <alignment horizontal="center" vertical="center"/>
      <protection locked="0"/>
    </xf>
    <xf numFmtId="43" fontId="121" fillId="62" borderId="70" xfId="597" applyNumberFormat="1" applyFont="1" applyFill="1" applyBorder="1" applyAlignment="1" applyProtection="1">
      <alignment horizontal="center" vertical="center"/>
      <protection locked="0"/>
    </xf>
    <xf numFmtId="43" fontId="121" fillId="62" borderId="52" xfId="597" applyNumberFormat="1" applyFont="1" applyFill="1" applyBorder="1" applyAlignment="1" applyProtection="1">
      <alignment horizontal="center" vertical="center"/>
      <protection locked="0"/>
    </xf>
    <xf numFmtId="10" fontId="121" fillId="33" borderId="0" xfId="611" applyNumberFormat="1" applyFont="1" applyFill="1" applyBorder="1" applyAlignment="1" applyProtection="1">
      <alignment horizontal="center" vertical="center"/>
      <protection locked="0"/>
    </xf>
    <xf numFmtId="43" fontId="121" fillId="0" borderId="0" xfId="597" applyNumberFormat="1" applyFont="1" applyBorder="1" applyAlignment="1" applyProtection="1">
      <alignment horizontal="center" vertical="center"/>
      <protection locked="0"/>
    </xf>
    <xf numFmtId="43" fontId="78" fillId="0" borderId="0" xfId="597" applyNumberFormat="1" applyFont="1" applyBorder="1" applyAlignment="1" applyProtection="1">
      <alignment horizontal="center" vertical="center"/>
      <protection locked="0"/>
    </xf>
    <xf numFmtId="43" fontId="121" fillId="0" borderId="17" xfId="597" applyNumberFormat="1" applyFont="1" applyBorder="1" applyAlignment="1" applyProtection="1">
      <alignment horizontal="center" vertical="center"/>
      <protection locked="0"/>
    </xf>
    <xf numFmtId="43" fontId="121" fillId="0" borderId="41" xfId="597" applyNumberFormat="1" applyFont="1" applyBorder="1" applyAlignment="1" applyProtection="1">
      <alignment horizontal="center" vertical="center"/>
      <protection locked="0"/>
    </xf>
    <xf numFmtId="0" fontId="1" fillId="72" borderId="27" xfId="767" applyFont="1" applyFill="1" applyBorder="1" applyAlignment="1" applyProtection="1">
      <alignment wrapText="1"/>
      <protection locked="0"/>
    </xf>
    <xf numFmtId="43" fontId="121" fillId="0" borderId="25" xfId="597" applyNumberFormat="1" applyFont="1" applyBorder="1" applyAlignment="1" applyProtection="1">
      <alignment horizontal="center" vertical="center"/>
      <protection locked="0"/>
    </xf>
    <xf numFmtId="43" fontId="121" fillId="0" borderId="77" xfId="597" applyNumberFormat="1" applyFont="1" applyBorder="1" applyAlignment="1" applyProtection="1">
      <alignment horizontal="center" vertical="center"/>
      <protection locked="0"/>
    </xf>
    <xf numFmtId="43" fontId="121" fillId="72" borderId="29" xfId="597" applyNumberFormat="1" applyFont="1" applyFill="1" applyBorder="1" applyAlignment="1" applyProtection="1">
      <alignment horizontal="center" vertical="center"/>
      <protection locked="0"/>
    </xf>
    <xf numFmtId="0" fontId="1" fillId="0" borderId="0" xfId="767" applyFont="1" applyBorder="1" applyAlignment="1" applyProtection="1">
      <alignment wrapText="1"/>
      <protection locked="0"/>
    </xf>
    <xf numFmtId="0" fontId="80" fillId="0" borderId="0" xfId="767" applyFont="1" applyProtection="1">
      <protection locked="0"/>
    </xf>
    <xf numFmtId="0" fontId="17" fillId="0" borderId="82" xfId="609" applyFont="1" applyBorder="1" applyAlignment="1"/>
    <xf numFmtId="0" fontId="10" fillId="65" borderId="0" xfId="609" applyFont="1" applyFill="1" applyBorder="1" applyAlignment="1"/>
    <xf numFmtId="2" fontId="128" fillId="0" borderId="0" xfId="609" applyNumberFormat="1" applyFont="1" applyBorder="1" applyAlignment="1">
      <alignment horizontal="center"/>
    </xf>
    <xf numFmtId="2" fontId="128" fillId="0" borderId="68" xfId="609" applyNumberFormat="1" applyFont="1" applyBorder="1" applyAlignment="1">
      <alignment horizontal="center"/>
    </xf>
    <xf numFmtId="0" fontId="128" fillId="65" borderId="0" xfId="609" applyFont="1" applyFill="1" applyBorder="1" applyAlignment="1"/>
    <xf numFmtId="0" fontId="17" fillId="0" borderId="54" xfId="609" applyFont="1" applyBorder="1" applyAlignment="1"/>
    <xf numFmtId="0" fontId="10" fillId="65" borderId="70" xfId="609" applyFont="1" applyFill="1" applyBorder="1" applyAlignment="1"/>
    <xf numFmtId="0" fontId="10" fillId="65" borderId="70" xfId="609" applyFont="1" applyFill="1" applyBorder="1"/>
    <xf numFmtId="2" fontId="128" fillId="0" borderId="55" xfId="609" applyNumberFormat="1" applyFont="1" applyBorder="1" applyAlignment="1">
      <alignment horizontal="center"/>
    </xf>
    <xf numFmtId="0" fontId="17" fillId="0" borderId="51" xfId="609" applyFont="1" applyBorder="1" applyAlignment="1">
      <alignment horizontal="center"/>
    </xf>
    <xf numFmtId="0" fontId="17" fillId="0" borderId="21" xfId="609" applyFont="1" applyBorder="1" applyAlignment="1">
      <alignment horizontal="center"/>
    </xf>
    <xf numFmtId="0" fontId="4" fillId="0" borderId="50" xfId="767" applyBorder="1" applyProtection="1">
      <protection locked="0"/>
    </xf>
    <xf numFmtId="43" fontId="4" fillId="33" borderId="45" xfId="767" applyNumberFormat="1" applyFill="1" applyBorder="1" applyProtection="1">
      <protection locked="0"/>
    </xf>
    <xf numFmtId="43" fontId="4" fillId="33" borderId="121" xfId="767" applyNumberFormat="1" applyFill="1" applyBorder="1" applyProtection="1">
      <protection locked="0"/>
    </xf>
    <xf numFmtId="0" fontId="17" fillId="0" borderId="0" xfId="609" applyFont="1" applyBorder="1" applyAlignment="1"/>
    <xf numFmtId="0" fontId="10" fillId="0" borderId="0" xfId="609" applyFont="1" applyFill="1" applyBorder="1" applyAlignment="1"/>
    <xf numFmtId="0" fontId="10" fillId="0" borderId="0" xfId="609" applyFont="1" applyFill="1" applyBorder="1"/>
    <xf numFmtId="172" fontId="83" fillId="33" borderId="0" xfId="784" applyNumberFormat="1" applyFill="1" applyBorder="1" applyAlignment="1">
      <alignment horizontal="left"/>
    </xf>
    <xf numFmtId="172" fontId="10" fillId="33" borderId="0" xfId="383" applyNumberFormat="1" applyFont="1" applyFill="1" applyBorder="1" applyAlignment="1">
      <alignment horizontal="left"/>
    </xf>
    <xf numFmtId="172" fontId="10" fillId="0" borderId="0" xfId="383" applyNumberFormat="1" applyFont="1" applyFill="1" applyBorder="1" applyAlignment="1">
      <alignment horizontal="center"/>
    </xf>
    <xf numFmtId="0" fontId="24" fillId="0" borderId="0" xfId="0" applyFont="1" applyAlignment="1">
      <alignment horizontal="center" vertical="top"/>
    </xf>
    <xf numFmtId="0" fontId="25" fillId="0" borderId="0" xfId="0" applyFont="1" applyAlignment="1">
      <alignment horizontal="left" vertical="top"/>
    </xf>
    <xf numFmtId="0" fontId="10" fillId="33" borderId="0" xfId="0" applyFont="1" applyFill="1" applyBorder="1" applyAlignment="1" applyProtection="1">
      <alignment horizontal="center" vertical="center"/>
    </xf>
    <xf numFmtId="0" fontId="62" fillId="0" borderId="0" xfId="0" applyFont="1" applyBorder="1" applyAlignment="1">
      <alignment horizontal="center" vertical="center" wrapText="1"/>
    </xf>
    <xf numFmtId="0" fontId="62" fillId="0" borderId="0" xfId="0" applyFont="1" applyAlignment="1">
      <alignment horizontal="center" vertical="center" wrapText="1"/>
    </xf>
    <xf numFmtId="0" fontId="17" fillId="0" borderId="15" xfId="0" applyFont="1" applyFill="1" applyBorder="1" applyAlignment="1">
      <alignment horizontal="center"/>
    </xf>
    <xf numFmtId="0" fontId="17" fillId="0" borderId="52" xfId="0" applyFont="1" applyFill="1" applyBorder="1" applyAlignment="1">
      <alignment horizontal="center"/>
    </xf>
    <xf numFmtId="0" fontId="17" fillId="0" borderId="20" xfId="0" applyNumberFormat="1" applyFont="1" applyFill="1" applyBorder="1" applyAlignment="1">
      <alignment horizontal="center"/>
    </xf>
    <xf numFmtId="0" fontId="17" fillId="0" borderId="13" xfId="0" applyNumberFormat="1" applyFont="1" applyFill="1" applyBorder="1" applyAlignment="1">
      <alignment horizontal="center"/>
    </xf>
    <xf numFmtId="49" fontId="17" fillId="0" borderId="14" xfId="0" applyNumberFormat="1" applyFont="1" applyFill="1" applyBorder="1" applyAlignment="1">
      <alignment horizontal="center" wrapText="1"/>
    </xf>
    <xf numFmtId="0" fontId="17" fillId="0" borderId="24" xfId="0" applyFont="1" applyFill="1" applyBorder="1" applyAlignment="1">
      <alignment horizontal="center" wrapText="1"/>
    </xf>
    <xf numFmtId="0" fontId="17" fillId="0" borderId="53" xfId="0" applyFont="1" applyFill="1" applyBorder="1" applyAlignment="1">
      <alignment horizontal="center" wrapText="1"/>
    </xf>
    <xf numFmtId="49" fontId="17" fillId="0" borderId="20" xfId="0" applyNumberFormat="1" applyFont="1" applyFill="1" applyBorder="1" applyAlignment="1">
      <alignment horizontal="center"/>
    </xf>
    <xf numFmtId="49" fontId="17" fillId="0" borderId="24" xfId="0" applyNumberFormat="1" applyFont="1" applyFill="1" applyBorder="1" applyAlignment="1">
      <alignment horizontal="center"/>
    </xf>
    <xf numFmtId="0" fontId="17" fillId="0" borderId="51" xfId="0" applyFont="1" applyFill="1" applyBorder="1" applyAlignment="1">
      <alignment horizontal="center"/>
    </xf>
    <xf numFmtId="0" fontId="17" fillId="0" borderId="19" xfId="0" applyFont="1" applyFill="1" applyBorder="1" applyAlignment="1">
      <alignment horizontal="center"/>
    </xf>
    <xf numFmtId="0" fontId="17" fillId="0" borderId="13" xfId="0" applyFont="1" applyFill="1" applyBorder="1" applyAlignment="1">
      <alignment horizontal="center"/>
    </xf>
    <xf numFmtId="0" fontId="17" fillId="0" borderId="12" xfId="0" applyFont="1" applyFill="1" applyBorder="1" applyAlignment="1">
      <alignment horizontal="center"/>
    </xf>
    <xf numFmtId="2" fontId="17" fillId="0" borderId="20" xfId="0" applyNumberFormat="1" applyFont="1" applyFill="1" applyBorder="1" applyAlignment="1">
      <alignment horizontal="center"/>
    </xf>
    <xf numFmtId="2" fontId="17" fillId="0" borderId="13" xfId="0" applyNumberFormat="1" applyFont="1" applyFill="1" applyBorder="1" applyAlignment="1">
      <alignment horizontal="center"/>
    </xf>
    <xf numFmtId="170" fontId="10" fillId="0" borderId="14" xfId="379" applyNumberFormat="1" applyFont="1" applyBorder="1" applyAlignment="1">
      <alignment horizontal="center"/>
    </xf>
    <xf numFmtId="170" fontId="10" fillId="0" borderId="53" xfId="379" applyNumberFormat="1" applyFont="1" applyBorder="1" applyAlignment="1">
      <alignment horizontal="center"/>
    </xf>
    <xf numFmtId="0" fontId="10" fillId="0" borderId="47" xfId="0" applyFont="1" applyBorder="1" applyAlignment="1">
      <alignment horizontal="center" vertical="center" wrapText="1"/>
    </xf>
    <xf numFmtId="0" fontId="10" fillId="0" borderId="49" xfId="0" applyFont="1" applyBorder="1" applyAlignment="1">
      <alignment horizontal="center" vertical="center" wrapText="1"/>
    </xf>
    <xf numFmtId="0" fontId="17" fillId="0" borderId="50" xfId="0" applyFont="1" applyBorder="1" applyAlignment="1">
      <alignment horizontal="center"/>
    </xf>
    <xf numFmtId="0" fontId="17" fillId="0" borderId="51" xfId="0" applyFont="1" applyBorder="1" applyAlignment="1">
      <alignment horizontal="center"/>
    </xf>
    <xf numFmtId="0" fontId="17" fillId="0" borderId="21" xfId="0" applyFont="1" applyBorder="1" applyAlignment="1">
      <alignment horizontal="center"/>
    </xf>
    <xf numFmtId="49" fontId="10" fillId="0" borderId="47" xfId="0" applyNumberFormat="1" applyFont="1" applyBorder="1" applyAlignment="1">
      <alignment horizontal="center"/>
    </xf>
    <xf numFmtId="0" fontId="10" fillId="0" borderId="49" xfId="0" applyFont="1" applyBorder="1" applyAlignment="1">
      <alignment horizontal="center"/>
    </xf>
    <xf numFmtId="0" fontId="10" fillId="0" borderId="49" xfId="0" applyNumberFormat="1" applyFont="1" applyBorder="1" applyAlignment="1">
      <alignment horizontal="center"/>
    </xf>
    <xf numFmtId="49" fontId="10" fillId="0" borderId="47" xfId="0" applyNumberFormat="1" applyFont="1" applyBorder="1" applyAlignment="1">
      <alignment horizontal="center" vertical="center" wrapText="1"/>
    </xf>
    <xf numFmtId="0" fontId="17" fillId="0" borderId="1" xfId="0" applyFont="1" applyBorder="1" applyAlignment="1" applyProtection="1">
      <alignment horizontal="center"/>
      <protection locked="0"/>
    </xf>
    <xf numFmtId="0" fontId="61" fillId="0" borderId="0" xfId="0" applyFont="1" applyFill="1" applyBorder="1" applyAlignment="1" applyProtection="1">
      <alignment horizontal="center" vertical="center"/>
      <protection locked="0"/>
    </xf>
    <xf numFmtId="0" fontId="65" fillId="0" borderId="1" xfId="860" applyFont="1" applyBorder="1" applyAlignment="1">
      <alignment horizontal="center"/>
    </xf>
    <xf numFmtId="172" fontId="10" fillId="66" borderId="31" xfId="383" applyNumberFormat="1" applyFont="1" applyFill="1" applyBorder="1" applyAlignment="1">
      <alignment horizontal="center"/>
    </xf>
    <xf numFmtId="172" fontId="10" fillId="66" borderId="5" xfId="383" applyNumberFormat="1" applyFont="1" applyFill="1" applyBorder="1" applyAlignment="1">
      <alignment horizontal="center"/>
    </xf>
    <xf numFmtId="172" fontId="10" fillId="66" borderId="6" xfId="383" applyNumberFormat="1" applyFont="1" applyFill="1" applyBorder="1" applyAlignment="1">
      <alignment horizontal="center"/>
    </xf>
    <xf numFmtId="0" fontId="10" fillId="34" borderId="48" xfId="0" applyFont="1" applyFill="1" applyBorder="1" applyAlignment="1">
      <alignment horizontal="left" vertical="center" wrapText="1"/>
    </xf>
    <xf numFmtId="0" fontId="44" fillId="34" borderId="0" xfId="0" applyFont="1" applyFill="1" applyBorder="1" applyAlignment="1">
      <alignment horizontal="center" vertical="center"/>
    </xf>
    <xf numFmtId="0" fontId="10" fillId="0" borderId="39" xfId="0" applyFont="1" applyBorder="1" applyAlignment="1">
      <alignment horizontal="center"/>
    </xf>
    <xf numFmtId="0" fontId="10" fillId="0" borderId="26" xfId="0" applyFont="1" applyBorder="1" applyAlignment="1">
      <alignment horizontal="center"/>
    </xf>
    <xf numFmtId="0" fontId="10" fillId="0" borderId="42" xfId="0" applyFont="1" applyBorder="1" applyAlignment="1">
      <alignment horizontal="center"/>
    </xf>
    <xf numFmtId="0" fontId="45" fillId="0" borderId="12" xfId="0" applyFont="1" applyBorder="1" applyAlignment="1">
      <alignment horizontal="center" vertical="center" wrapText="1"/>
    </xf>
    <xf numFmtId="0" fontId="55" fillId="0" borderId="75" xfId="0" applyFont="1" applyBorder="1" applyAlignment="1">
      <alignment horizontal="center" vertical="center" wrapText="1"/>
    </xf>
    <xf numFmtId="0" fontId="55" fillId="0" borderId="20" xfId="0" applyFont="1" applyBorder="1" applyAlignment="1">
      <alignment horizontal="center" vertical="center" wrapText="1"/>
    </xf>
    <xf numFmtId="3" fontId="43" fillId="0" borderId="1" xfId="0" applyNumberFormat="1" applyFont="1" applyBorder="1" applyAlignment="1">
      <alignment horizontal="center" vertical="center" wrapText="1"/>
    </xf>
    <xf numFmtId="3" fontId="43" fillId="0" borderId="50" xfId="0" applyNumberFormat="1" applyFont="1" applyBorder="1" applyAlignment="1">
      <alignment horizontal="center" vertical="center" wrapText="1"/>
    </xf>
    <xf numFmtId="3" fontId="43" fillId="0" borderId="21" xfId="0" applyNumberFormat="1" applyFont="1" applyBorder="1" applyAlignment="1">
      <alignment horizontal="center" vertical="center" wrapText="1"/>
    </xf>
    <xf numFmtId="3" fontId="43" fillId="0" borderId="10" xfId="0" applyNumberFormat="1" applyFont="1" applyBorder="1" applyAlignment="1">
      <alignment horizontal="center" vertical="center" wrapText="1"/>
    </xf>
    <xf numFmtId="3" fontId="43" fillId="0" borderId="76" xfId="0" applyNumberFormat="1" applyFont="1" applyBorder="1" applyAlignment="1">
      <alignment horizontal="center" vertical="center" wrapText="1"/>
    </xf>
    <xf numFmtId="3" fontId="43" fillId="0" borderId="77" xfId="0" applyNumberFormat="1" applyFont="1" applyBorder="1" applyAlignment="1">
      <alignment horizontal="center" vertical="center" wrapText="1"/>
    </xf>
    <xf numFmtId="0" fontId="45" fillId="0" borderId="23" xfId="0" applyFont="1" applyBorder="1" applyAlignment="1">
      <alignment horizontal="center" vertical="center" wrapText="1"/>
    </xf>
    <xf numFmtId="0" fontId="55" fillId="0" borderId="54" xfId="0" applyFont="1" applyBorder="1" applyAlignment="1">
      <alignment horizontal="center" vertical="center" wrapText="1"/>
    </xf>
    <xf numFmtId="0" fontId="55" fillId="0" borderId="55" xfId="0" applyFont="1" applyBorder="1" applyAlignment="1">
      <alignment horizontal="center" vertical="center" wrapText="1"/>
    </xf>
    <xf numFmtId="0" fontId="57" fillId="0" borderId="0" xfId="0" applyFont="1" applyBorder="1" applyAlignment="1">
      <alignment horizontal="center"/>
    </xf>
    <xf numFmtId="0" fontId="55" fillId="0" borderId="54" xfId="0" applyFont="1" applyBorder="1" applyAlignment="1">
      <alignment horizontal="center" vertical="center"/>
    </xf>
    <xf numFmtId="0" fontId="55" fillId="0" borderId="55" xfId="0" applyFont="1" applyBorder="1" applyAlignment="1">
      <alignment horizontal="center" vertical="center"/>
    </xf>
    <xf numFmtId="0" fontId="10" fillId="34" borderId="48" xfId="0" applyFont="1" applyFill="1" applyBorder="1" applyAlignment="1">
      <alignment horizontal="center" vertical="center" wrapText="1"/>
    </xf>
    <xf numFmtId="172" fontId="10" fillId="0" borderId="31" xfId="383" applyNumberFormat="1" applyFont="1" applyFill="1" applyBorder="1" applyAlignment="1">
      <alignment horizontal="center"/>
    </xf>
    <xf numFmtId="172" fontId="10" fillId="0" borderId="5" xfId="383" applyNumberFormat="1" applyFont="1" applyFill="1" applyBorder="1" applyAlignment="1">
      <alignment horizontal="center"/>
    </xf>
    <xf numFmtId="172" fontId="10" fillId="0" borderId="6" xfId="383" applyNumberFormat="1" applyFont="1" applyFill="1" applyBorder="1" applyAlignment="1">
      <alignment horizontal="center"/>
    </xf>
    <xf numFmtId="2" fontId="84" fillId="66" borderId="3" xfId="379" applyNumberFormat="1" applyFont="1" applyFill="1" applyBorder="1" applyAlignment="1" applyProtection="1">
      <alignment horizontal="center" vertical="center"/>
      <protection locked="0"/>
    </xf>
    <xf numFmtId="2" fontId="84" fillId="66" borderId="79" xfId="379" applyNumberFormat="1" applyFont="1" applyFill="1" applyBorder="1" applyAlignment="1" applyProtection="1">
      <alignment horizontal="center" vertical="center"/>
      <protection locked="0"/>
    </xf>
    <xf numFmtId="0" fontId="57" fillId="0" borderId="19" xfId="0" applyFont="1" applyBorder="1" applyAlignment="1">
      <alignment horizontal="center"/>
    </xf>
    <xf numFmtId="0" fontId="57" fillId="0" borderId="24" xfId="0" applyFont="1" applyBorder="1" applyAlignment="1">
      <alignment horizontal="center"/>
    </xf>
    <xf numFmtId="0" fontId="57" fillId="0" borderId="13" xfId="0" applyFont="1" applyBorder="1" applyAlignment="1">
      <alignment horizontal="center"/>
    </xf>
    <xf numFmtId="0" fontId="66" fillId="0" borderId="50" xfId="0" applyFont="1" applyBorder="1" applyAlignment="1">
      <alignment horizontal="center"/>
    </xf>
    <xf numFmtId="0" fontId="66" fillId="0" borderId="51" xfId="0" applyFont="1" applyBorder="1" applyAlignment="1">
      <alignment horizontal="center"/>
    </xf>
    <xf numFmtId="0" fontId="66" fillId="0" borderId="21" xfId="0" applyFont="1" applyBorder="1" applyAlignment="1">
      <alignment horizontal="center"/>
    </xf>
    <xf numFmtId="0" fontId="49" fillId="0" borderId="0" xfId="767" applyFont="1" applyBorder="1" applyAlignment="1">
      <alignment horizontal="left" vertical="top" wrapText="1"/>
    </xf>
    <xf numFmtId="0" fontId="113" fillId="0" borderId="0" xfId="767" applyFont="1" applyAlignment="1">
      <alignment horizontal="left" vertical="top"/>
    </xf>
    <xf numFmtId="0" fontId="50" fillId="62" borderId="47" xfId="767" applyFont="1" applyFill="1" applyBorder="1" applyAlignment="1">
      <alignment horizontal="center" vertical="top"/>
    </xf>
    <xf numFmtId="0" fontId="50" fillId="62" borderId="48" xfId="767" applyFont="1" applyFill="1" applyBorder="1" applyAlignment="1">
      <alignment horizontal="center" vertical="top"/>
    </xf>
    <xf numFmtId="0" fontId="50" fillId="62" borderId="49" xfId="767" applyFont="1" applyFill="1" applyBorder="1" applyAlignment="1">
      <alignment horizontal="center" vertical="top"/>
    </xf>
    <xf numFmtId="171" fontId="20" fillId="33" borderId="45" xfId="768" applyNumberFormat="1" applyFont="1" applyFill="1" applyBorder="1" applyAlignment="1">
      <alignment horizontal="center"/>
    </xf>
    <xf numFmtId="171" fontId="20" fillId="33" borderId="0" xfId="768" applyNumberFormat="1" applyFont="1" applyFill="1" applyBorder="1" applyAlignment="1">
      <alignment horizontal="center"/>
    </xf>
    <xf numFmtId="171" fontId="20" fillId="33" borderId="41" xfId="768" applyNumberFormat="1" applyFont="1" applyFill="1" applyBorder="1" applyAlignment="1">
      <alignment horizontal="center"/>
    </xf>
    <xf numFmtId="0" fontId="50" fillId="34" borderId="47" xfId="767" applyFont="1" applyFill="1" applyBorder="1" applyAlignment="1">
      <alignment horizontal="center"/>
    </xf>
    <xf numFmtId="0" fontId="50" fillId="34" borderId="48" xfId="767" applyFont="1" applyFill="1" applyBorder="1" applyAlignment="1">
      <alignment horizontal="center"/>
    </xf>
    <xf numFmtId="0" fontId="50" fillId="34" borderId="49" xfId="767" applyFont="1" applyFill="1" applyBorder="1" applyAlignment="1">
      <alignment horizontal="center"/>
    </xf>
    <xf numFmtId="0" fontId="50" fillId="34" borderId="15" xfId="767" applyFont="1" applyFill="1" applyBorder="1" applyAlignment="1">
      <alignment horizontal="center" vertical="center"/>
    </xf>
    <xf numFmtId="0" fontId="50" fillId="34" borderId="51" xfId="767" applyFont="1" applyFill="1" applyBorder="1" applyAlignment="1">
      <alignment horizontal="center" vertical="center"/>
    </xf>
    <xf numFmtId="0" fontId="50" fillId="34" borderId="52" xfId="767" applyFont="1" applyFill="1" applyBorder="1" applyAlignment="1">
      <alignment horizontal="center" vertical="center"/>
    </xf>
    <xf numFmtId="0" fontId="25" fillId="0" borderId="0" xfId="696" applyFont="1" applyAlignment="1">
      <alignment horizontal="left"/>
    </xf>
    <xf numFmtId="0" fontId="49" fillId="0" borderId="0" xfId="767" applyFont="1" applyAlignment="1">
      <alignment horizontal="left" vertical="top" wrapText="1"/>
    </xf>
    <xf numFmtId="0" fontId="50" fillId="34" borderId="70" xfId="767" applyFont="1" applyFill="1" applyBorder="1" applyAlignment="1">
      <alignment horizontal="center" vertical="top"/>
    </xf>
    <xf numFmtId="0" fontId="50" fillId="34" borderId="78" xfId="767" applyFont="1" applyFill="1" applyBorder="1" applyAlignment="1">
      <alignment horizontal="center" vertical="top"/>
    </xf>
    <xf numFmtId="0" fontId="113" fillId="0" borderId="0" xfId="767" applyFont="1" applyBorder="1" applyAlignment="1">
      <alignment horizontal="left" vertical="top" wrapText="1"/>
    </xf>
    <xf numFmtId="0" fontId="50" fillId="34" borderId="45" xfId="767" applyFont="1" applyFill="1" applyBorder="1" applyAlignment="1">
      <alignment horizontal="center" vertical="top"/>
    </xf>
    <xf numFmtId="0" fontId="50" fillId="34" borderId="0" xfId="767" applyFont="1" applyFill="1" applyBorder="1" applyAlignment="1">
      <alignment horizontal="center" vertical="top"/>
    </xf>
    <xf numFmtId="0" fontId="50" fillId="34" borderId="41" xfId="767" applyFont="1" applyFill="1" applyBorder="1" applyAlignment="1">
      <alignment horizontal="center" vertical="top"/>
    </xf>
    <xf numFmtId="0" fontId="113" fillId="0" borderId="0" xfId="767" applyFont="1" applyBorder="1" applyAlignment="1">
      <alignment horizontal="left"/>
    </xf>
    <xf numFmtId="0" fontId="50" fillId="0" borderId="0" xfId="767" applyFont="1" applyBorder="1" applyAlignment="1">
      <alignment horizontal="center" vertical="top" wrapText="1"/>
    </xf>
    <xf numFmtId="0" fontId="50" fillId="34" borderId="45" xfId="767" applyFont="1" applyFill="1" applyBorder="1" applyAlignment="1">
      <alignment horizontal="left" vertical="center"/>
    </xf>
    <xf numFmtId="0" fontId="50" fillId="34" borderId="0" xfId="767" applyFont="1" applyFill="1" applyBorder="1" applyAlignment="1">
      <alignment horizontal="left" vertical="center"/>
    </xf>
    <xf numFmtId="0" fontId="49" fillId="34" borderId="38" xfId="767" applyFont="1" applyFill="1" applyBorder="1" applyAlignment="1">
      <alignment vertical="top" wrapText="1"/>
    </xf>
    <xf numFmtId="0" fontId="49" fillId="34" borderId="70" xfId="767" applyFont="1" applyFill="1" applyBorder="1" applyAlignment="1">
      <alignment vertical="top" wrapText="1"/>
    </xf>
    <xf numFmtId="0" fontId="50" fillId="0" borderId="46" xfId="767" applyFont="1" applyBorder="1" applyAlignment="1">
      <alignment vertical="top" wrapText="1"/>
    </xf>
    <xf numFmtId="0" fontId="50" fillId="0" borderId="25" xfId="767" applyFont="1" applyBorder="1" applyAlignment="1">
      <alignment vertical="top" wrapText="1"/>
    </xf>
    <xf numFmtId="171" fontId="20" fillId="33" borderId="45" xfId="768" applyNumberFormat="1" applyFont="1" applyFill="1" applyBorder="1" applyAlignment="1">
      <alignment horizontal="center" vertical="top"/>
    </xf>
    <xf numFmtId="171" fontId="20" fillId="33" borderId="0" xfId="768" applyNumberFormat="1" applyFont="1" applyFill="1" applyBorder="1" applyAlignment="1">
      <alignment horizontal="center" vertical="top"/>
    </xf>
    <xf numFmtId="171" fontId="20" fillId="33" borderId="41" xfId="768" applyNumberFormat="1" applyFont="1" applyFill="1" applyBorder="1" applyAlignment="1">
      <alignment horizontal="center" vertical="top"/>
    </xf>
    <xf numFmtId="0" fontId="120" fillId="0" borderId="0" xfId="767" applyFont="1" applyAlignment="1" applyProtection="1">
      <alignment horizontal="left" vertical="top"/>
      <protection locked="0"/>
    </xf>
    <xf numFmtId="0" fontId="1" fillId="0" borderId="0" xfId="767" applyFont="1" applyAlignment="1" applyProtection="1">
      <alignment horizontal="left" vertical="top" wrapText="1"/>
      <protection locked="0"/>
    </xf>
    <xf numFmtId="0" fontId="125" fillId="0" borderId="0" xfId="767" applyFont="1" applyBorder="1" applyAlignment="1" applyProtection="1">
      <alignment horizontal="left" vertical="top" wrapText="1"/>
      <protection locked="0"/>
    </xf>
    <xf numFmtId="0" fontId="1" fillId="0" borderId="0" xfId="767" applyFont="1" applyBorder="1" applyAlignment="1" applyProtection="1">
      <alignment horizontal="left" vertical="top" wrapText="1"/>
      <protection locked="0"/>
    </xf>
    <xf numFmtId="0" fontId="80" fillId="0" borderId="0" xfId="767" applyFont="1" applyBorder="1" applyAlignment="1" applyProtection="1">
      <alignment horizontal="center" vertical="top" wrapText="1"/>
      <protection locked="0"/>
    </xf>
    <xf numFmtId="0" fontId="122" fillId="0" borderId="0" xfId="767" applyFont="1" applyBorder="1" applyAlignment="1" applyProtection="1">
      <alignment horizontal="center" vertical="top" wrapText="1"/>
      <protection locked="0"/>
    </xf>
    <xf numFmtId="0" fontId="80" fillId="34" borderId="47" xfId="767" applyFont="1" applyFill="1" applyBorder="1" applyAlignment="1" applyProtection="1">
      <alignment horizontal="center"/>
      <protection locked="0"/>
    </xf>
    <xf numFmtId="0" fontId="80" fillId="34" borderId="48" xfId="767" applyFont="1" applyFill="1" applyBorder="1" applyAlignment="1" applyProtection="1">
      <alignment horizontal="center"/>
      <protection locked="0"/>
    </xf>
    <xf numFmtId="0" fontId="80" fillId="34" borderId="49" xfId="767" applyFont="1" applyFill="1" applyBorder="1" applyAlignment="1" applyProtection="1">
      <alignment horizontal="center"/>
      <protection locked="0"/>
    </xf>
    <xf numFmtId="0" fontId="80" fillId="34" borderId="45" xfId="767" applyFont="1" applyFill="1" applyBorder="1" applyAlignment="1" applyProtection="1">
      <alignment horizontal="left" vertical="center"/>
      <protection locked="0"/>
    </xf>
    <xf numFmtId="0" fontId="80" fillId="34" borderId="0" xfId="767" applyFont="1" applyFill="1" applyBorder="1" applyAlignment="1" applyProtection="1">
      <alignment horizontal="left" vertical="center"/>
      <protection locked="0"/>
    </xf>
    <xf numFmtId="0" fontId="1" fillId="34" borderId="38" xfId="767" applyFont="1" applyFill="1" applyBorder="1" applyAlignment="1" applyProtection="1">
      <alignment vertical="top" wrapText="1"/>
      <protection locked="0"/>
    </xf>
    <xf numFmtId="0" fontId="1" fillId="34" borderId="70" xfId="767" applyFont="1" applyFill="1" applyBorder="1" applyAlignment="1" applyProtection="1">
      <alignment vertical="top" wrapText="1"/>
      <protection locked="0"/>
    </xf>
    <xf numFmtId="0" fontId="80" fillId="0" borderId="46" xfId="767" applyFont="1" applyBorder="1" applyAlignment="1" applyProtection="1">
      <alignment vertical="top" wrapText="1"/>
      <protection locked="0"/>
    </xf>
    <xf numFmtId="0" fontId="80" fillId="0" borderId="25" xfId="767" applyFont="1" applyBorder="1" applyAlignment="1" applyProtection="1">
      <alignment vertical="top" wrapText="1"/>
      <protection locked="0"/>
    </xf>
    <xf numFmtId="0" fontId="80" fillId="62" borderId="47" xfId="767" applyFont="1" applyFill="1" applyBorder="1" applyAlignment="1" applyProtection="1">
      <alignment horizontal="center" vertical="top"/>
      <protection locked="0"/>
    </xf>
    <xf numFmtId="0" fontId="80" fillId="62" borderId="48" xfId="767" applyFont="1" applyFill="1" applyBorder="1" applyAlignment="1" applyProtection="1">
      <alignment horizontal="center" vertical="top"/>
      <protection locked="0"/>
    </xf>
    <xf numFmtId="0" fontId="80" fillId="62" borderId="49" xfId="767" applyFont="1" applyFill="1" applyBorder="1" applyAlignment="1" applyProtection="1">
      <alignment horizontal="center" vertical="top"/>
      <protection locked="0"/>
    </xf>
    <xf numFmtId="171" fontId="120" fillId="33" borderId="45" xfId="597" applyNumberFormat="1" applyFont="1" applyFill="1" applyBorder="1" applyAlignment="1" applyProtection="1">
      <alignment horizontal="center" vertical="top"/>
      <protection locked="0"/>
    </xf>
    <xf numFmtId="171" fontId="120" fillId="33" borderId="0" xfId="597" applyNumberFormat="1" applyFont="1" applyFill="1" applyBorder="1" applyAlignment="1" applyProtection="1">
      <alignment horizontal="center" vertical="top"/>
      <protection locked="0"/>
    </xf>
    <xf numFmtId="171" fontId="120" fillId="33" borderId="41" xfId="597" applyNumberFormat="1" applyFont="1" applyFill="1" applyBorder="1" applyAlignment="1" applyProtection="1">
      <alignment horizontal="center" vertical="top"/>
      <protection locked="0"/>
    </xf>
    <xf numFmtId="0" fontId="80" fillId="34" borderId="45" xfId="767" applyFont="1" applyFill="1" applyBorder="1" applyAlignment="1" applyProtection="1">
      <alignment horizontal="center" vertical="top"/>
      <protection locked="0"/>
    </xf>
    <xf numFmtId="0" fontId="80" fillId="34" borderId="0" xfId="767" applyFont="1" applyFill="1" applyBorder="1" applyAlignment="1" applyProtection="1">
      <alignment horizontal="center" vertical="top"/>
      <protection locked="0"/>
    </xf>
    <xf numFmtId="0" fontId="80" fillId="34" borderId="41" xfId="767" applyFont="1" applyFill="1" applyBorder="1" applyAlignment="1" applyProtection="1">
      <alignment horizontal="center" vertical="top"/>
      <protection locked="0"/>
    </xf>
    <xf numFmtId="0" fontId="80" fillId="34" borderId="15" xfId="767" applyFont="1" applyFill="1" applyBorder="1" applyAlignment="1" applyProtection="1">
      <alignment horizontal="center" vertical="center"/>
      <protection locked="0"/>
    </xf>
    <xf numFmtId="0" fontId="80" fillId="34" borderId="51" xfId="767" applyFont="1" applyFill="1" applyBorder="1" applyAlignment="1" applyProtection="1">
      <alignment horizontal="center" vertical="center"/>
      <protection locked="0"/>
    </xf>
    <xf numFmtId="0" fontId="80" fillId="34" borderId="52" xfId="767" applyFont="1" applyFill="1" applyBorder="1" applyAlignment="1" applyProtection="1">
      <alignment horizontal="center" vertical="center"/>
      <protection locked="0"/>
    </xf>
    <xf numFmtId="0" fontId="122" fillId="0" borderId="0" xfId="767" applyFont="1" applyBorder="1" applyAlignment="1" applyProtection="1">
      <alignment horizontal="center"/>
      <protection locked="0"/>
    </xf>
    <xf numFmtId="49" fontId="120" fillId="0" borderId="0" xfId="597" applyNumberFormat="1" applyFont="1" applyBorder="1" applyAlignment="1" applyProtection="1">
      <alignment horizontal="left" vertical="top" wrapText="1"/>
      <protection locked="0"/>
    </xf>
    <xf numFmtId="0" fontId="80" fillId="34" borderId="47" xfId="767" applyFont="1" applyFill="1" applyBorder="1" applyAlignment="1" applyProtection="1">
      <alignment horizontal="center" wrapText="1"/>
      <protection locked="0"/>
    </xf>
    <xf numFmtId="0" fontId="80" fillId="34" borderId="49" xfId="767" applyFont="1" applyFill="1" applyBorder="1" applyAlignment="1" applyProtection="1">
      <alignment horizontal="center" wrapText="1"/>
      <protection locked="0"/>
    </xf>
    <xf numFmtId="0" fontId="80" fillId="34" borderId="45" xfId="767" applyFont="1" applyFill="1" applyBorder="1" applyAlignment="1" applyProtection="1">
      <alignment horizontal="center" wrapText="1"/>
      <protection locked="0"/>
    </xf>
    <xf numFmtId="0" fontId="80" fillId="34" borderId="41" xfId="767" applyFont="1" applyFill="1" applyBorder="1" applyAlignment="1" applyProtection="1">
      <alignment horizontal="center" wrapText="1"/>
      <protection locked="0"/>
    </xf>
    <xf numFmtId="171" fontId="120" fillId="33" borderId="45" xfId="597" applyNumberFormat="1" applyFont="1" applyFill="1" applyBorder="1" applyAlignment="1" applyProtection="1">
      <alignment horizontal="center"/>
      <protection locked="0"/>
    </xf>
    <xf numFmtId="171" fontId="120" fillId="33" borderId="0" xfId="597" applyNumberFormat="1" applyFont="1" applyFill="1" applyBorder="1" applyAlignment="1" applyProtection="1">
      <alignment horizontal="center"/>
      <protection locked="0"/>
    </xf>
    <xf numFmtId="171" fontId="120" fillId="33" borderId="41" xfId="597" applyNumberFormat="1" applyFont="1" applyFill="1" applyBorder="1" applyAlignment="1" applyProtection="1">
      <alignment horizontal="center"/>
      <protection locked="0"/>
    </xf>
    <xf numFmtId="0" fontId="119" fillId="0" borderId="0" xfId="767" applyFont="1" applyAlignment="1" applyProtection="1">
      <alignment horizontal="center" vertical="top"/>
      <protection locked="0"/>
    </xf>
    <xf numFmtId="0" fontId="1" fillId="0" borderId="0" xfId="767" applyFont="1" applyAlignment="1" applyProtection="1">
      <alignment horizontal="left" vertical="top"/>
      <protection locked="0"/>
    </xf>
    <xf numFmtId="0" fontId="24" fillId="0" borderId="0" xfId="696" applyFont="1" applyAlignment="1" applyProtection="1">
      <alignment horizontal="center"/>
      <protection locked="0"/>
    </xf>
    <xf numFmtId="2" fontId="10" fillId="0" borderId="75" xfId="0" applyNumberFormat="1" applyFont="1" applyFill="1" applyBorder="1" applyAlignment="1">
      <alignment horizontal="center" wrapText="1"/>
    </xf>
    <xf numFmtId="2" fontId="10" fillId="0" borderId="20" xfId="0" applyNumberFormat="1" applyFont="1" applyFill="1" applyBorder="1" applyAlignment="1">
      <alignment horizontal="center" wrapText="1"/>
    </xf>
    <xf numFmtId="2" fontId="10" fillId="0" borderId="53" xfId="0" applyNumberFormat="1" applyFont="1" applyFill="1" applyBorder="1" applyAlignment="1">
      <alignment horizontal="center" wrapText="1"/>
    </xf>
    <xf numFmtId="2" fontId="10" fillId="0" borderId="12" xfId="0" applyNumberFormat="1" applyFont="1" applyFill="1" applyBorder="1" applyAlignment="1">
      <alignment horizontal="center" wrapText="1"/>
    </xf>
    <xf numFmtId="0" fontId="10" fillId="0" borderId="12" xfId="0" applyFont="1" applyFill="1" applyBorder="1" applyAlignment="1">
      <alignment horizontal="center" wrapText="1"/>
    </xf>
    <xf numFmtId="2" fontId="17" fillId="0" borderId="1" xfId="0" applyNumberFormat="1" applyFont="1" applyBorder="1" applyAlignment="1">
      <alignment horizontal="center"/>
    </xf>
    <xf numFmtId="0" fontId="17" fillId="0" borderId="1" xfId="0" applyFont="1" applyBorder="1" applyAlignment="1">
      <alignment horizontal="center"/>
    </xf>
  </cellXfs>
  <cellStyles count="1446">
    <cellStyle name="$" xfId="745"/>
    <cellStyle name="$.00" xfId="746"/>
    <cellStyle name="$_9. Rev2Cost_GDPIPI" xfId="747"/>
    <cellStyle name="$_lists" xfId="748"/>
    <cellStyle name="$_lists_4. Current Monthly Fixed Charge" xfId="749"/>
    <cellStyle name="$_Sheet4" xfId="750"/>
    <cellStyle name="$M" xfId="751"/>
    <cellStyle name="$M.00" xfId="752"/>
    <cellStyle name="$M_9. Rev2Cost_GDPIPI" xfId="753"/>
    <cellStyle name="20% - Accent1 10" xfId="1"/>
    <cellStyle name="20% - Accent1 11" xfId="2"/>
    <cellStyle name="20% - Accent1 12" xfId="3"/>
    <cellStyle name="20% - Accent1 13" xfId="4"/>
    <cellStyle name="20% - Accent1 14" xfId="5"/>
    <cellStyle name="20% - Accent1 15" xfId="6"/>
    <cellStyle name="20% - Accent1 16" xfId="669"/>
    <cellStyle name="20% - Accent1 2" xfId="7"/>
    <cellStyle name="20% - Accent1 2 2" xfId="716"/>
    <cellStyle name="20% - Accent1 3" xfId="8"/>
    <cellStyle name="20% - Accent1 4" xfId="9"/>
    <cellStyle name="20% - Accent1 5" xfId="10"/>
    <cellStyle name="20% - Accent1 6" xfId="11"/>
    <cellStyle name="20% - Accent1 7" xfId="12"/>
    <cellStyle name="20% - Accent1 8" xfId="13"/>
    <cellStyle name="20% - Accent1 9" xfId="14"/>
    <cellStyle name="20% - Accent2 10" xfId="15"/>
    <cellStyle name="20% - Accent2 11" xfId="16"/>
    <cellStyle name="20% - Accent2 12" xfId="17"/>
    <cellStyle name="20% - Accent2 13" xfId="18"/>
    <cellStyle name="20% - Accent2 14" xfId="19"/>
    <cellStyle name="20% - Accent2 15" xfId="20"/>
    <cellStyle name="20% - Accent2 16" xfId="670"/>
    <cellStyle name="20% - Accent2 2" xfId="21"/>
    <cellStyle name="20% - Accent2 2 2" xfId="720"/>
    <cellStyle name="20% - Accent2 3" xfId="22"/>
    <cellStyle name="20% - Accent2 4" xfId="23"/>
    <cellStyle name="20% - Accent2 5" xfId="24"/>
    <cellStyle name="20% - Accent2 6" xfId="25"/>
    <cellStyle name="20% - Accent2 7" xfId="26"/>
    <cellStyle name="20% - Accent2 8" xfId="27"/>
    <cellStyle name="20% - Accent2 9" xfId="28"/>
    <cellStyle name="20% - Accent3 10" xfId="29"/>
    <cellStyle name="20% - Accent3 11" xfId="30"/>
    <cellStyle name="20% - Accent3 12" xfId="31"/>
    <cellStyle name="20% - Accent3 13" xfId="32"/>
    <cellStyle name="20% - Accent3 14" xfId="33"/>
    <cellStyle name="20% - Accent3 15" xfId="34"/>
    <cellStyle name="20% - Accent3 16" xfId="671"/>
    <cellStyle name="20% - Accent3 2" xfId="35"/>
    <cellStyle name="20% - Accent3 2 2" xfId="724"/>
    <cellStyle name="20% - Accent3 3" xfId="36"/>
    <cellStyle name="20% - Accent3 4" xfId="37"/>
    <cellStyle name="20% - Accent3 5" xfId="38"/>
    <cellStyle name="20% - Accent3 6" xfId="39"/>
    <cellStyle name="20% - Accent3 7" xfId="40"/>
    <cellStyle name="20% - Accent3 8" xfId="41"/>
    <cellStyle name="20% - Accent3 9" xfId="42"/>
    <cellStyle name="20% - Accent4 10" xfId="43"/>
    <cellStyle name="20% - Accent4 11" xfId="44"/>
    <cellStyle name="20% - Accent4 12" xfId="45"/>
    <cellStyle name="20% - Accent4 13" xfId="46"/>
    <cellStyle name="20% - Accent4 14" xfId="47"/>
    <cellStyle name="20% - Accent4 15" xfId="48"/>
    <cellStyle name="20% - Accent4 16" xfId="672"/>
    <cellStyle name="20% - Accent4 2" xfId="49"/>
    <cellStyle name="20% - Accent4 2 2" xfId="728"/>
    <cellStyle name="20% - Accent4 3" xfId="50"/>
    <cellStyle name="20% - Accent4 4" xfId="51"/>
    <cellStyle name="20% - Accent4 5" xfId="52"/>
    <cellStyle name="20% - Accent4 6" xfId="53"/>
    <cellStyle name="20% - Accent4 7" xfId="54"/>
    <cellStyle name="20% - Accent4 8" xfId="55"/>
    <cellStyle name="20% - Accent4 9" xfId="56"/>
    <cellStyle name="20% - Accent5 10" xfId="57"/>
    <cellStyle name="20% - Accent5 11" xfId="58"/>
    <cellStyle name="20% - Accent5 12" xfId="59"/>
    <cellStyle name="20% - Accent5 13" xfId="60"/>
    <cellStyle name="20% - Accent5 14" xfId="61"/>
    <cellStyle name="20% - Accent5 15" xfId="62"/>
    <cellStyle name="20% - Accent5 16" xfId="673"/>
    <cellStyle name="20% - Accent5 2" xfId="63"/>
    <cellStyle name="20% - Accent5 2 2" xfId="732"/>
    <cellStyle name="20% - Accent5 3" xfId="64"/>
    <cellStyle name="20% - Accent5 4" xfId="65"/>
    <cellStyle name="20% - Accent5 5" xfId="66"/>
    <cellStyle name="20% - Accent5 6" xfId="67"/>
    <cellStyle name="20% - Accent5 7" xfId="68"/>
    <cellStyle name="20% - Accent5 8" xfId="69"/>
    <cellStyle name="20% - Accent5 9" xfId="70"/>
    <cellStyle name="20% - Accent6 10" xfId="71"/>
    <cellStyle name="20% - Accent6 11" xfId="72"/>
    <cellStyle name="20% - Accent6 12" xfId="73"/>
    <cellStyle name="20% - Accent6 13" xfId="74"/>
    <cellStyle name="20% - Accent6 14" xfId="75"/>
    <cellStyle name="20% - Accent6 15" xfId="76"/>
    <cellStyle name="20% - Accent6 16" xfId="674"/>
    <cellStyle name="20% - Accent6 2" xfId="77"/>
    <cellStyle name="20% - Accent6 2 2" xfId="736"/>
    <cellStyle name="20% - Accent6 3" xfId="78"/>
    <cellStyle name="20% - Accent6 4" xfId="79"/>
    <cellStyle name="20% - Accent6 5" xfId="80"/>
    <cellStyle name="20% - Accent6 6" xfId="81"/>
    <cellStyle name="20% - Accent6 7" xfId="82"/>
    <cellStyle name="20% - Accent6 8" xfId="83"/>
    <cellStyle name="20% - Accent6 9" xfId="84"/>
    <cellStyle name="40% - Accent1 10" xfId="85"/>
    <cellStyle name="40% - Accent1 11" xfId="86"/>
    <cellStyle name="40% - Accent1 12" xfId="87"/>
    <cellStyle name="40% - Accent1 13" xfId="88"/>
    <cellStyle name="40% - Accent1 14" xfId="89"/>
    <cellStyle name="40% - Accent1 15" xfId="90"/>
    <cellStyle name="40% - Accent1 16" xfId="675"/>
    <cellStyle name="40% - Accent1 2" xfId="91"/>
    <cellStyle name="40% - Accent1 2 2" xfId="717"/>
    <cellStyle name="40% - Accent1 3" xfId="92"/>
    <cellStyle name="40% - Accent1 4" xfId="93"/>
    <cellStyle name="40% - Accent1 5" xfId="94"/>
    <cellStyle name="40% - Accent1 6" xfId="95"/>
    <cellStyle name="40% - Accent1 7" xfId="96"/>
    <cellStyle name="40% - Accent1 8" xfId="97"/>
    <cellStyle name="40% - Accent1 9" xfId="98"/>
    <cellStyle name="40% - Accent2 10" xfId="99"/>
    <cellStyle name="40% - Accent2 11" xfId="100"/>
    <cellStyle name="40% - Accent2 12" xfId="101"/>
    <cellStyle name="40% - Accent2 13" xfId="102"/>
    <cellStyle name="40% - Accent2 14" xfId="103"/>
    <cellStyle name="40% - Accent2 15" xfId="104"/>
    <cellStyle name="40% - Accent2 16" xfId="676"/>
    <cellStyle name="40% - Accent2 2" xfId="105"/>
    <cellStyle name="40% - Accent2 2 2" xfId="721"/>
    <cellStyle name="40% - Accent2 3" xfId="106"/>
    <cellStyle name="40% - Accent2 4" xfId="107"/>
    <cellStyle name="40% - Accent2 5" xfId="108"/>
    <cellStyle name="40% - Accent2 6" xfId="109"/>
    <cellStyle name="40% - Accent2 7" xfId="110"/>
    <cellStyle name="40% - Accent2 8" xfId="111"/>
    <cellStyle name="40% - Accent2 9" xfId="112"/>
    <cellStyle name="40% - Accent3 10" xfId="113"/>
    <cellStyle name="40% - Accent3 11" xfId="114"/>
    <cellStyle name="40% - Accent3 12" xfId="115"/>
    <cellStyle name="40% - Accent3 13" xfId="116"/>
    <cellStyle name="40% - Accent3 14" xfId="117"/>
    <cellStyle name="40% - Accent3 15" xfId="118"/>
    <cellStyle name="40% - Accent3 16" xfId="677"/>
    <cellStyle name="40% - Accent3 2" xfId="119"/>
    <cellStyle name="40% - Accent3 2 2" xfId="725"/>
    <cellStyle name="40% - Accent3 3" xfId="120"/>
    <cellStyle name="40% - Accent3 4" xfId="121"/>
    <cellStyle name="40% - Accent3 5" xfId="122"/>
    <cellStyle name="40% - Accent3 6" xfId="123"/>
    <cellStyle name="40% - Accent3 7" xfId="124"/>
    <cellStyle name="40% - Accent3 8" xfId="125"/>
    <cellStyle name="40% - Accent3 9" xfId="126"/>
    <cellStyle name="40% - Accent4 10" xfId="127"/>
    <cellStyle name="40% - Accent4 11" xfId="128"/>
    <cellStyle name="40% - Accent4 12" xfId="129"/>
    <cellStyle name="40% - Accent4 13" xfId="130"/>
    <cellStyle name="40% - Accent4 14" xfId="131"/>
    <cellStyle name="40% - Accent4 15" xfId="132"/>
    <cellStyle name="40% - Accent4 16" xfId="678"/>
    <cellStyle name="40% - Accent4 2" xfId="133"/>
    <cellStyle name="40% - Accent4 2 2" xfId="729"/>
    <cellStyle name="40% - Accent4 3" xfId="134"/>
    <cellStyle name="40% - Accent4 4" xfId="135"/>
    <cellStyle name="40% - Accent4 5" xfId="136"/>
    <cellStyle name="40% - Accent4 6" xfId="137"/>
    <cellStyle name="40% - Accent4 7" xfId="138"/>
    <cellStyle name="40% - Accent4 8" xfId="139"/>
    <cellStyle name="40% - Accent4 9" xfId="140"/>
    <cellStyle name="40% - Accent5 10" xfId="141"/>
    <cellStyle name="40% - Accent5 11" xfId="142"/>
    <cellStyle name="40% - Accent5 12" xfId="143"/>
    <cellStyle name="40% - Accent5 13" xfId="144"/>
    <cellStyle name="40% - Accent5 14" xfId="145"/>
    <cellStyle name="40% - Accent5 15" xfId="146"/>
    <cellStyle name="40% - Accent5 16" xfId="679"/>
    <cellStyle name="40% - Accent5 2" xfId="147"/>
    <cellStyle name="40% - Accent5 2 2" xfId="733"/>
    <cellStyle name="40% - Accent5 3" xfId="148"/>
    <cellStyle name="40% - Accent5 4" xfId="149"/>
    <cellStyle name="40% - Accent5 5" xfId="150"/>
    <cellStyle name="40% - Accent5 6" xfId="151"/>
    <cellStyle name="40% - Accent5 7" xfId="152"/>
    <cellStyle name="40% - Accent5 8" xfId="153"/>
    <cellStyle name="40% - Accent5 9" xfId="154"/>
    <cellStyle name="40% - Accent6 10" xfId="155"/>
    <cellStyle name="40% - Accent6 11" xfId="156"/>
    <cellStyle name="40% - Accent6 12" xfId="157"/>
    <cellStyle name="40% - Accent6 13" xfId="158"/>
    <cellStyle name="40% - Accent6 14" xfId="159"/>
    <cellStyle name="40% - Accent6 15" xfId="160"/>
    <cellStyle name="40% - Accent6 16" xfId="680"/>
    <cellStyle name="40% - Accent6 2" xfId="161"/>
    <cellStyle name="40% - Accent6 2 2" xfId="737"/>
    <cellStyle name="40% - Accent6 3" xfId="162"/>
    <cellStyle name="40% - Accent6 4" xfId="163"/>
    <cellStyle name="40% - Accent6 5" xfId="164"/>
    <cellStyle name="40% - Accent6 6" xfId="165"/>
    <cellStyle name="40% - Accent6 7" xfId="166"/>
    <cellStyle name="40% - Accent6 8" xfId="167"/>
    <cellStyle name="40% - Accent6 9" xfId="168"/>
    <cellStyle name="60% - Accent1 10" xfId="169"/>
    <cellStyle name="60% - Accent1 11" xfId="170"/>
    <cellStyle name="60% - Accent1 12" xfId="171"/>
    <cellStyle name="60% - Accent1 13" xfId="172"/>
    <cellStyle name="60% - Accent1 14" xfId="173"/>
    <cellStyle name="60% - Accent1 15" xfId="174"/>
    <cellStyle name="60% - Accent1 16" xfId="681"/>
    <cellStyle name="60% - Accent1 2" xfId="175"/>
    <cellStyle name="60% - Accent1 2 2" xfId="718"/>
    <cellStyle name="60% - Accent1 3" xfId="176"/>
    <cellStyle name="60% - Accent1 4" xfId="177"/>
    <cellStyle name="60% - Accent1 5" xfId="178"/>
    <cellStyle name="60% - Accent1 6" xfId="179"/>
    <cellStyle name="60% - Accent1 7" xfId="180"/>
    <cellStyle name="60% - Accent1 8" xfId="181"/>
    <cellStyle name="60% - Accent1 9" xfId="182"/>
    <cellStyle name="60% - Accent2 10" xfId="183"/>
    <cellStyle name="60% - Accent2 11" xfId="184"/>
    <cellStyle name="60% - Accent2 12" xfId="185"/>
    <cellStyle name="60% - Accent2 13" xfId="186"/>
    <cellStyle name="60% - Accent2 14" xfId="187"/>
    <cellStyle name="60% - Accent2 15" xfId="188"/>
    <cellStyle name="60% - Accent2 16" xfId="682"/>
    <cellStyle name="60% - Accent2 2" xfId="189"/>
    <cellStyle name="60% - Accent2 2 2" xfId="722"/>
    <cellStyle name="60% - Accent2 3" xfId="190"/>
    <cellStyle name="60% - Accent2 4" xfId="191"/>
    <cellStyle name="60% - Accent2 5" xfId="192"/>
    <cellStyle name="60% - Accent2 6" xfId="193"/>
    <cellStyle name="60% - Accent2 7" xfId="194"/>
    <cellStyle name="60% - Accent2 8" xfId="195"/>
    <cellStyle name="60% - Accent2 9" xfId="196"/>
    <cellStyle name="60% - Accent3 10" xfId="197"/>
    <cellStyle name="60% - Accent3 11" xfId="198"/>
    <cellStyle name="60% - Accent3 12" xfId="199"/>
    <cellStyle name="60% - Accent3 13" xfId="200"/>
    <cellStyle name="60% - Accent3 14" xfId="201"/>
    <cellStyle name="60% - Accent3 15" xfId="202"/>
    <cellStyle name="60% - Accent3 16" xfId="683"/>
    <cellStyle name="60% - Accent3 2" xfId="203"/>
    <cellStyle name="60% - Accent3 2 2" xfId="726"/>
    <cellStyle name="60% - Accent3 3" xfId="204"/>
    <cellStyle name="60% - Accent3 4" xfId="205"/>
    <cellStyle name="60% - Accent3 5" xfId="206"/>
    <cellStyle name="60% - Accent3 6" xfId="207"/>
    <cellStyle name="60% - Accent3 7" xfId="208"/>
    <cellStyle name="60% - Accent3 8" xfId="209"/>
    <cellStyle name="60% - Accent3 9" xfId="210"/>
    <cellStyle name="60% - Accent4 10" xfId="211"/>
    <cellStyle name="60% - Accent4 11" xfId="212"/>
    <cellStyle name="60% - Accent4 12" xfId="213"/>
    <cellStyle name="60% - Accent4 13" xfId="214"/>
    <cellStyle name="60% - Accent4 14" xfId="215"/>
    <cellStyle name="60% - Accent4 15" xfId="216"/>
    <cellStyle name="60% - Accent4 16" xfId="684"/>
    <cellStyle name="60% - Accent4 2" xfId="217"/>
    <cellStyle name="60% - Accent4 2 2" xfId="730"/>
    <cellStyle name="60% - Accent4 3" xfId="218"/>
    <cellStyle name="60% - Accent4 4" xfId="219"/>
    <cellStyle name="60% - Accent4 5" xfId="220"/>
    <cellStyle name="60% - Accent4 6" xfId="221"/>
    <cellStyle name="60% - Accent4 7" xfId="222"/>
    <cellStyle name="60% - Accent4 8" xfId="223"/>
    <cellStyle name="60% - Accent4 9" xfId="224"/>
    <cellStyle name="60% - Accent5 10" xfId="225"/>
    <cellStyle name="60% - Accent5 11" xfId="226"/>
    <cellStyle name="60% - Accent5 12" xfId="227"/>
    <cellStyle name="60% - Accent5 13" xfId="228"/>
    <cellStyle name="60% - Accent5 14" xfId="229"/>
    <cellStyle name="60% - Accent5 15" xfId="230"/>
    <cellStyle name="60% - Accent5 16" xfId="685"/>
    <cellStyle name="60% - Accent5 2" xfId="231"/>
    <cellStyle name="60% - Accent5 2 2" xfId="734"/>
    <cellStyle name="60% - Accent5 3" xfId="232"/>
    <cellStyle name="60% - Accent5 4" xfId="233"/>
    <cellStyle name="60% - Accent5 5" xfId="234"/>
    <cellStyle name="60% - Accent5 6" xfId="235"/>
    <cellStyle name="60% - Accent5 7" xfId="236"/>
    <cellStyle name="60% - Accent5 8" xfId="237"/>
    <cellStyle name="60% - Accent5 9" xfId="238"/>
    <cellStyle name="60% - Accent6 10" xfId="239"/>
    <cellStyle name="60% - Accent6 11" xfId="240"/>
    <cellStyle name="60% - Accent6 12" xfId="241"/>
    <cellStyle name="60% - Accent6 13" xfId="242"/>
    <cellStyle name="60% - Accent6 14" xfId="243"/>
    <cellStyle name="60% - Accent6 15" xfId="244"/>
    <cellStyle name="60% - Accent6 16" xfId="686"/>
    <cellStyle name="60% - Accent6 2" xfId="245"/>
    <cellStyle name="60% - Accent6 2 2" xfId="738"/>
    <cellStyle name="60% - Accent6 3" xfId="246"/>
    <cellStyle name="60% - Accent6 4" xfId="247"/>
    <cellStyle name="60% - Accent6 5" xfId="248"/>
    <cellStyle name="60% - Accent6 6" xfId="249"/>
    <cellStyle name="60% - Accent6 7" xfId="250"/>
    <cellStyle name="60% - Accent6 8" xfId="251"/>
    <cellStyle name="60% - Accent6 9" xfId="252"/>
    <cellStyle name="Accent1 10" xfId="253"/>
    <cellStyle name="Accent1 11" xfId="254"/>
    <cellStyle name="Accent1 12" xfId="255"/>
    <cellStyle name="Accent1 13" xfId="256"/>
    <cellStyle name="Accent1 14" xfId="257"/>
    <cellStyle name="Accent1 15" xfId="258"/>
    <cellStyle name="Accent1 16" xfId="687"/>
    <cellStyle name="Accent1 2" xfId="259"/>
    <cellStyle name="Accent1 2 2" xfId="715"/>
    <cellStyle name="Accent1 3" xfId="260"/>
    <cellStyle name="Accent1 4" xfId="261"/>
    <cellStyle name="Accent1 5" xfId="262"/>
    <cellStyle name="Accent1 6" xfId="263"/>
    <cellStyle name="Accent1 7" xfId="264"/>
    <cellStyle name="Accent1 8" xfId="265"/>
    <cellStyle name="Accent1 9" xfId="266"/>
    <cellStyle name="Accent2 10" xfId="267"/>
    <cellStyle name="Accent2 11" xfId="268"/>
    <cellStyle name="Accent2 12" xfId="269"/>
    <cellStyle name="Accent2 13" xfId="270"/>
    <cellStyle name="Accent2 14" xfId="271"/>
    <cellStyle name="Accent2 15" xfId="272"/>
    <cellStyle name="Accent2 16" xfId="688"/>
    <cellStyle name="Accent2 2" xfId="273"/>
    <cellStyle name="Accent2 2 2" xfId="719"/>
    <cellStyle name="Accent2 3" xfId="274"/>
    <cellStyle name="Accent2 4" xfId="275"/>
    <cellStyle name="Accent2 5" xfId="276"/>
    <cellStyle name="Accent2 6" xfId="277"/>
    <cellStyle name="Accent2 7" xfId="278"/>
    <cellStyle name="Accent2 8" xfId="279"/>
    <cellStyle name="Accent2 9" xfId="280"/>
    <cellStyle name="Accent3 10" xfId="281"/>
    <cellStyle name="Accent3 11" xfId="282"/>
    <cellStyle name="Accent3 12" xfId="283"/>
    <cellStyle name="Accent3 13" xfId="284"/>
    <cellStyle name="Accent3 14" xfId="285"/>
    <cellStyle name="Accent3 15" xfId="286"/>
    <cellStyle name="Accent3 16" xfId="689"/>
    <cellStyle name="Accent3 2" xfId="287"/>
    <cellStyle name="Accent3 2 2" xfId="723"/>
    <cellStyle name="Accent3 3" xfId="288"/>
    <cellStyle name="Accent3 4" xfId="289"/>
    <cellStyle name="Accent3 5" xfId="290"/>
    <cellStyle name="Accent3 6" xfId="291"/>
    <cellStyle name="Accent3 7" xfId="292"/>
    <cellStyle name="Accent3 8" xfId="293"/>
    <cellStyle name="Accent3 9" xfId="294"/>
    <cellStyle name="Accent4 10" xfId="295"/>
    <cellStyle name="Accent4 11" xfId="296"/>
    <cellStyle name="Accent4 12" xfId="297"/>
    <cellStyle name="Accent4 13" xfId="298"/>
    <cellStyle name="Accent4 14" xfId="299"/>
    <cellStyle name="Accent4 15" xfId="300"/>
    <cellStyle name="Accent4 16" xfId="795"/>
    <cellStyle name="Accent4 2" xfId="301"/>
    <cellStyle name="Accent4 2 2" xfId="727"/>
    <cellStyle name="Accent4 3" xfId="302"/>
    <cellStyle name="Accent4 4" xfId="303"/>
    <cellStyle name="Accent4 5" xfId="304"/>
    <cellStyle name="Accent4 6" xfId="305"/>
    <cellStyle name="Accent4 7" xfId="306"/>
    <cellStyle name="Accent4 8" xfId="307"/>
    <cellStyle name="Accent4 9" xfId="308"/>
    <cellStyle name="Accent5 10" xfId="309"/>
    <cellStyle name="Accent5 11" xfId="310"/>
    <cellStyle name="Accent5 12" xfId="311"/>
    <cellStyle name="Accent5 13" xfId="312"/>
    <cellStyle name="Accent5 14" xfId="313"/>
    <cellStyle name="Accent5 15" xfId="314"/>
    <cellStyle name="Accent5 16" xfId="790"/>
    <cellStyle name="Accent5 2" xfId="315"/>
    <cellStyle name="Accent5 2 2" xfId="731"/>
    <cellStyle name="Accent5 3" xfId="316"/>
    <cellStyle name="Accent5 4" xfId="317"/>
    <cellStyle name="Accent5 5" xfId="318"/>
    <cellStyle name="Accent5 6" xfId="319"/>
    <cellStyle name="Accent5 7" xfId="320"/>
    <cellStyle name="Accent5 8" xfId="321"/>
    <cellStyle name="Accent5 9" xfId="322"/>
    <cellStyle name="Accent6 10" xfId="323"/>
    <cellStyle name="Accent6 11" xfId="324"/>
    <cellStyle name="Accent6 12" xfId="325"/>
    <cellStyle name="Accent6 13" xfId="326"/>
    <cellStyle name="Accent6 14" xfId="327"/>
    <cellStyle name="Accent6 15" xfId="328"/>
    <cellStyle name="Accent6 16" xfId="794"/>
    <cellStyle name="Accent6 2" xfId="329"/>
    <cellStyle name="Accent6 2 2" xfId="735"/>
    <cellStyle name="Accent6 3" xfId="330"/>
    <cellStyle name="Accent6 4" xfId="331"/>
    <cellStyle name="Accent6 5" xfId="332"/>
    <cellStyle name="Accent6 6" xfId="333"/>
    <cellStyle name="Accent6 7" xfId="334"/>
    <cellStyle name="Accent6 8" xfId="335"/>
    <cellStyle name="Accent6 9" xfId="336"/>
    <cellStyle name="Bad 10" xfId="337"/>
    <cellStyle name="Bad 11" xfId="338"/>
    <cellStyle name="Bad 12" xfId="339"/>
    <cellStyle name="Bad 13" xfId="340"/>
    <cellStyle name="Bad 14" xfId="341"/>
    <cellStyle name="Bad 15" xfId="342"/>
    <cellStyle name="Bad 16" xfId="779"/>
    <cellStyle name="Bad 2" xfId="343"/>
    <cellStyle name="Bad 2 2" xfId="704"/>
    <cellStyle name="Bad 3" xfId="344"/>
    <cellStyle name="Bad 4" xfId="345"/>
    <cellStyle name="Bad 5" xfId="346"/>
    <cellStyle name="Bad 6" xfId="347"/>
    <cellStyle name="Bad 7" xfId="348"/>
    <cellStyle name="Bad 8" xfId="349"/>
    <cellStyle name="Bad 9" xfId="350"/>
    <cellStyle name="Calculation 10" xfId="351"/>
    <cellStyle name="Calculation 11" xfId="352"/>
    <cellStyle name="Calculation 12" xfId="353"/>
    <cellStyle name="Calculation 13" xfId="354"/>
    <cellStyle name="Calculation 14" xfId="355"/>
    <cellStyle name="Calculation 15" xfId="356"/>
    <cellStyle name="Calculation 16" xfId="690"/>
    <cellStyle name="Calculation 2" xfId="357"/>
    <cellStyle name="Calculation 2 2" xfId="708"/>
    <cellStyle name="Calculation 3" xfId="358"/>
    <cellStyle name="Calculation 4" xfId="359"/>
    <cellStyle name="Calculation 5" xfId="360"/>
    <cellStyle name="Calculation 6" xfId="361"/>
    <cellStyle name="Calculation 7" xfId="362"/>
    <cellStyle name="Calculation 8" xfId="363"/>
    <cellStyle name="Calculation 9" xfId="364"/>
    <cellStyle name="Check Cell 10" xfId="365"/>
    <cellStyle name="Check Cell 11" xfId="366"/>
    <cellStyle name="Check Cell 12" xfId="367"/>
    <cellStyle name="Check Cell 13" xfId="368"/>
    <cellStyle name="Check Cell 14" xfId="369"/>
    <cellStyle name="Check Cell 15" xfId="370"/>
    <cellStyle name="Check Cell 16" xfId="775"/>
    <cellStyle name="Check Cell 2" xfId="371"/>
    <cellStyle name="Check Cell 2 2" xfId="710"/>
    <cellStyle name="Check Cell 3" xfId="372"/>
    <cellStyle name="Check Cell 4" xfId="373"/>
    <cellStyle name="Check Cell 5" xfId="374"/>
    <cellStyle name="Check Cell 6" xfId="375"/>
    <cellStyle name="Check Cell 7" xfId="376"/>
    <cellStyle name="Check Cell 8" xfId="377"/>
    <cellStyle name="Check Cell 9" xfId="378"/>
    <cellStyle name="Comma" xfId="379" builtinId="3"/>
    <cellStyle name="Comma 2" xfId="595"/>
    <cellStyle name="Comma 2 2" xfId="596"/>
    <cellStyle name="Comma 2 2 2" xfId="594"/>
    <cellStyle name="Comma 2 3" xfId="634"/>
    <cellStyle name="Comma 2 4" xfId="740"/>
    <cellStyle name="Comma 3" xfId="380"/>
    <cellStyle name="Comma 3 2" xfId="597"/>
    <cellStyle name="Comma 3 2 2" xfId="768"/>
    <cellStyle name="Comma 3 3" xfId="742"/>
    <cellStyle name="Comma 3 4" xfId="937"/>
    <cellStyle name="Comma 4" xfId="598"/>
    <cellStyle name="Comma 4 2" xfId="618"/>
    <cellStyle name="Comma 4 2 2" xfId="655"/>
    <cellStyle name="Comma 4 2 2 2" xfId="834"/>
    <cellStyle name="Comma 4 2 2 2 2" xfId="1165"/>
    <cellStyle name="Comma 4 2 2 2 2 2" xfId="1398"/>
    <cellStyle name="Comma 4 2 2 2 3" xfId="1282"/>
    <cellStyle name="Comma 4 2 2 2 4" xfId="1046"/>
    <cellStyle name="Comma 4 2 2 3" xfId="904"/>
    <cellStyle name="Comma 4 2 2 3 2" xfId="1342"/>
    <cellStyle name="Comma 4 2 2 3 3" xfId="1109"/>
    <cellStyle name="Comma 4 2 2 4" xfId="1226"/>
    <cellStyle name="Comma 4 2 2 5" xfId="989"/>
    <cellStyle name="Comma 4 2 3" xfId="801"/>
    <cellStyle name="Comma 4 2 3 2" xfId="1135"/>
    <cellStyle name="Comma 4 2 3 2 2" xfId="1368"/>
    <cellStyle name="Comma 4 2 3 3" xfId="1252"/>
    <cellStyle name="Comma 4 2 3 4" xfId="1016"/>
    <cellStyle name="Comma 4 2 4" xfId="874"/>
    <cellStyle name="Comma 4 2 4 2" xfId="1316"/>
    <cellStyle name="Comma 4 2 4 3" xfId="1083"/>
    <cellStyle name="Comma 4 2 5" xfId="1200"/>
    <cellStyle name="Comma 4 2 6" xfId="963"/>
    <cellStyle name="Comma 4 3" xfId="626"/>
    <cellStyle name="Comma 4 3 2" xfId="663"/>
    <cellStyle name="Comma 4 3 2 2" xfId="842"/>
    <cellStyle name="Comma 4 3 2 2 2" xfId="1173"/>
    <cellStyle name="Comma 4 3 2 2 2 2" xfId="1406"/>
    <cellStyle name="Comma 4 3 2 2 3" xfId="1290"/>
    <cellStyle name="Comma 4 3 2 2 4" xfId="1054"/>
    <cellStyle name="Comma 4 3 2 3" xfId="912"/>
    <cellStyle name="Comma 4 3 2 3 2" xfId="1350"/>
    <cellStyle name="Comma 4 3 2 3 3" xfId="1117"/>
    <cellStyle name="Comma 4 3 2 4" xfId="1234"/>
    <cellStyle name="Comma 4 3 2 5" xfId="997"/>
    <cellStyle name="Comma 4 3 3" xfId="809"/>
    <cellStyle name="Comma 4 3 3 2" xfId="1143"/>
    <cellStyle name="Comma 4 3 3 2 2" xfId="1376"/>
    <cellStyle name="Comma 4 3 3 3" xfId="1260"/>
    <cellStyle name="Comma 4 3 3 4" xfId="1024"/>
    <cellStyle name="Comma 4 3 4" xfId="882"/>
    <cellStyle name="Comma 4 3 4 2" xfId="1324"/>
    <cellStyle name="Comma 4 3 4 3" xfId="1091"/>
    <cellStyle name="Comma 4 3 5" xfId="1208"/>
    <cellStyle name="Comma 4 3 6" xfId="971"/>
    <cellStyle name="Comma 4 4" xfId="647"/>
    <cellStyle name="Comma 4 4 2" xfId="826"/>
    <cellStyle name="Comma 4 4 2 2" xfId="1157"/>
    <cellStyle name="Comma 4 4 2 2 2" xfId="1390"/>
    <cellStyle name="Comma 4 4 2 3" xfId="1274"/>
    <cellStyle name="Comma 4 4 2 4" xfId="1038"/>
    <cellStyle name="Comma 4 4 3" xfId="896"/>
    <cellStyle name="Comma 4 4 3 2" xfId="1334"/>
    <cellStyle name="Comma 4 4 3 3" xfId="1101"/>
    <cellStyle name="Comma 4 4 4" xfId="1218"/>
    <cellStyle name="Comma 4 4 5" xfId="981"/>
    <cellStyle name="Comma 4 5" xfId="787"/>
    <cellStyle name="Comma 4 5 2" xfId="1127"/>
    <cellStyle name="Comma 4 5 2 2" xfId="1360"/>
    <cellStyle name="Comma 4 5 3" xfId="1244"/>
    <cellStyle name="Comma 4 5 4" xfId="1008"/>
    <cellStyle name="Comma 4 6" xfId="866"/>
    <cellStyle name="Comma 4 6 2" xfId="1308"/>
    <cellStyle name="Comma 4 6 3" xfId="1075"/>
    <cellStyle name="Comma 4 7" xfId="1192"/>
    <cellStyle name="Comma 4 8" xfId="955"/>
    <cellStyle name="Comma 5" xfId="641"/>
    <cellStyle name="Comma 6" xfId="638"/>
    <cellStyle name="Comma 6 2" xfId="819"/>
    <cellStyle name="Comma 6 2 2" xfId="1179"/>
    <cellStyle name="Comma 6 2 2 2" xfId="1412"/>
    <cellStyle name="Comma 6 2 3" xfId="1296"/>
    <cellStyle name="Comma 6 2 4" xfId="1060"/>
    <cellStyle name="Comma 6 3" xfId="890"/>
    <cellStyle name="Comma 6 3 2" xfId="1384"/>
    <cellStyle name="Comma 6 3 3" xfId="1151"/>
    <cellStyle name="Comma 6 4" xfId="1268"/>
    <cellStyle name="Comma 6 5" xfId="1032"/>
    <cellStyle name="Comma 7" xfId="796"/>
    <cellStyle name="Comma 7 2" xfId="1063"/>
    <cellStyle name="Comma 8" xfId="1067"/>
    <cellStyle name="Comma 8 2" xfId="1297"/>
    <cellStyle name="Comma 9" xfId="1181"/>
    <cellStyle name="Comma0" xfId="754"/>
    <cellStyle name="Currency 2" xfId="381"/>
    <cellStyle name="Currency 2 2" xfId="599"/>
    <cellStyle name="Currency 2 3" xfId="589"/>
    <cellStyle name="Currency 2 4" xfId="789"/>
    <cellStyle name="Currency 2 5" xfId="936"/>
    <cellStyle name="Currency 3" xfId="382"/>
    <cellStyle name="Currency 3 2" xfId="600"/>
    <cellStyle name="Currency 3 3" xfId="590"/>
    <cellStyle name="Currency 3 4" xfId="770"/>
    <cellStyle name="Currency 4" xfId="948"/>
    <cellStyle name="Currency 5" xfId="383"/>
    <cellStyle name="Currency0" xfId="755"/>
    <cellStyle name="Date" xfId="756"/>
    <cellStyle name="Explanatory Text 10" xfId="384"/>
    <cellStyle name="Explanatory Text 11" xfId="385"/>
    <cellStyle name="Explanatory Text 12" xfId="386"/>
    <cellStyle name="Explanatory Text 13" xfId="387"/>
    <cellStyle name="Explanatory Text 14" xfId="388"/>
    <cellStyle name="Explanatory Text 15" xfId="389"/>
    <cellStyle name="Explanatory Text 16" xfId="782"/>
    <cellStyle name="Explanatory Text 2" xfId="390"/>
    <cellStyle name="Explanatory Text 2 2" xfId="713"/>
    <cellStyle name="Explanatory Text 3" xfId="391"/>
    <cellStyle name="Explanatory Text 4" xfId="392"/>
    <cellStyle name="Explanatory Text 5" xfId="393"/>
    <cellStyle name="Explanatory Text 6" xfId="394"/>
    <cellStyle name="Explanatory Text 7" xfId="395"/>
    <cellStyle name="Explanatory Text 8" xfId="396"/>
    <cellStyle name="Explanatory Text 9" xfId="397"/>
    <cellStyle name="Fixed" xfId="757"/>
    <cellStyle name="Good 10" xfId="398"/>
    <cellStyle name="Good 11" xfId="399"/>
    <cellStyle name="Good 12" xfId="400"/>
    <cellStyle name="Good 13" xfId="401"/>
    <cellStyle name="Good 14" xfId="402"/>
    <cellStyle name="Good 15" xfId="403"/>
    <cellStyle name="Good 16" xfId="778"/>
    <cellStyle name="Good 2" xfId="404"/>
    <cellStyle name="Good 2 2" xfId="703"/>
    <cellStyle name="Good 3" xfId="405"/>
    <cellStyle name="Good 4" xfId="406"/>
    <cellStyle name="Good 5" xfId="407"/>
    <cellStyle name="Good 6" xfId="408"/>
    <cellStyle name="Good 7" xfId="409"/>
    <cellStyle name="Good 8" xfId="410"/>
    <cellStyle name="Good 9" xfId="411"/>
    <cellStyle name="Grey" xfId="758"/>
    <cellStyle name="Heading 1 10" xfId="412"/>
    <cellStyle name="Heading 1 11" xfId="413"/>
    <cellStyle name="Heading 1 12" xfId="414"/>
    <cellStyle name="Heading 1 13" xfId="415"/>
    <cellStyle name="Heading 1 14" xfId="416"/>
    <cellStyle name="Heading 1 15" xfId="417"/>
    <cellStyle name="Heading 1 16" xfId="783"/>
    <cellStyle name="Heading 1 2" xfId="418"/>
    <cellStyle name="Heading 1 2 2" xfId="699"/>
    <cellStyle name="Heading 1 3" xfId="419"/>
    <cellStyle name="Heading 1 4" xfId="420"/>
    <cellStyle name="Heading 1 5" xfId="421"/>
    <cellStyle name="Heading 1 6" xfId="422"/>
    <cellStyle name="Heading 1 7" xfId="423"/>
    <cellStyle name="Heading 1 8" xfId="424"/>
    <cellStyle name="Heading 1 9" xfId="425"/>
    <cellStyle name="Heading 2 10" xfId="426"/>
    <cellStyle name="Heading 2 11" xfId="427"/>
    <cellStyle name="Heading 2 12" xfId="428"/>
    <cellStyle name="Heading 2 13" xfId="429"/>
    <cellStyle name="Heading 2 14" xfId="430"/>
    <cellStyle name="Heading 2 15" xfId="431"/>
    <cellStyle name="Heading 2 16" xfId="781"/>
    <cellStyle name="Heading 2 2" xfId="432"/>
    <cellStyle name="Heading 2 2 2" xfId="698"/>
    <cellStyle name="Heading 2 3" xfId="433"/>
    <cellStyle name="Heading 2 4" xfId="434"/>
    <cellStyle name="Heading 2 5" xfId="435"/>
    <cellStyle name="Heading 2 6" xfId="436"/>
    <cellStyle name="Heading 2 7" xfId="437"/>
    <cellStyle name="Heading 2 8" xfId="438"/>
    <cellStyle name="Heading 2 9" xfId="439"/>
    <cellStyle name="Heading 3 10" xfId="440"/>
    <cellStyle name="Heading 3 11" xfId="441"/>
    <cellStyle name="Heading 3 12" xfId="442"/>
    <cellStyle name="Heading 3 13" xfId="443"/>
    <cellStyle name="Heading 3 14" xfId="444"/>
    <cellStyle name="Heading 3 15" xfId="445"/>
    <cellStyle name="Heading 3 16" xfId="780"/>
    <cellStyle name="Heading 3 2" xfId="446"/>
    <cellStyle name="Heading 3 2 2" xfId="701"/>
    <cellStyle name="Heading 3 3" xfId="447"/>
    <cellStyle name="Heading 3 4" xfId="448"/>
    <cellStyle name="Heading 3 5" xfId="449"/>
    <cellStyle name="Heading 3 6" xfId="450"/>
    <cellStyle name="Heading 3 7" xfId="451"/>
    <cellStyle name="Heading 3 8" xfId="452"/>
    <cellStyle name="Heading 3 9" xfId="453"/>
    <cellStyle name="Heading 4 10" xfId="454"/>
    <cellStyle name="Heading 4 11" xfId="455"/>
    <cellStyle name="Heading 4 12" xfId="456"/>
    <cellStyle name="Heading 4 13" xfId="457"/>
    <cellStyle name="Heading 4 14" xfId="458"/>
    <cellStyle name="Heading 4 15" xfId="459"/>
    <cellStyle name="Heading 4 16" xfId="823"/>
    <cellStyle name="Heading 4 2" xfId="460"/>
    <cellStyle name="Heading 4 2 2" xfId="702"/>
    <cellStyle name="Heading 4 3" xfId="461"/>
    <cellStyle name="Heading 4 4" xfId="462"/>
    <cellStyle name="Heading 4 5" xfId="463"/>
    <cellStyle name="Heading 4 6" xfId="464"/>
    <cellStyle name="Heading 4 7" xfId="465"/>
    <cellStyle name="Heading 4 8" xfId="466"/>
    <cellStyle name="Heading 4 9" xfId="467"/>
    <cellStyle name="Hyperlink 2" xfId="784"/>
    <cellStyle name="Hyperlink 2 2" xfId="1003"/>
    <cellStyle name="Hyperlink 3" xfId="691"/>
    <cellStyle name="Input [yellow]" xfId="759"/>
    <cellStyle name="Input 10" xfId="468"/>
    <cellStyle name="Input 11" xfId="469"/>
    <cellStyle name="Input 12" xfId="470"/>
    <cellStyle name="Input 13" xfId="471"/>
    <cellStyle name="Input 14" xfId="472"/>
    <cellStyle name="Input 15" xfId="473"/>
    <cellStyle name="Input 16" xfId="776"/>
    <cellStyle name="Input 17" xfId="852"/>
    <cellStyle name="Input 18" xfId="851"/>
    <cellStyle name="Input 19" xfId="850"/>
    <cellStyle name="Input 2" xfId="474"/>
    <cellStyle name="Input 2 2" xfId="706"/>
    <cellStyle name="Input 20" xfId="858"/>
    <cellStyle name="Input 3" xfId="475"/>
    <cellStyle name="Input 4" xfId="476"/>
    <cellStyle name="Input 5" xfId="477"/>
    <cellStyle name="Input 6" xfId="478"/>
    <cellStyle name="Input 7" xfId="479"/>
    <cellStyle name="Input 8" xfId="480"/>
    <cellStyle name="Input 9" xfId="481"/>
    <cellStyle name="Linked Cell 10" xfId="482"/>
    <cellStyle name="Linked Cell 11" xfId="483"/>
    <cellStyle name="Linked Cell 12" xfId="484"/>
    <cellStyle name="Linked Cell 13" xfId="485"/>
    <cellStyle name="Linked Cell 14" xfId="486"/>
    <cellStyle name="Linked Cell 15" xfId="487"/>
    <cellStyle name="Linked Cell 16" xfId="817"/>
    <cellStyle name="Linked Cell 2" xfId="488"/>
    <cellStyle name="Linked Cell 2 2" xfId="709"/>
    <cellStyle name="Linked Cell 3" xfId="489"/>
    <cellStyle name="Linked Cell 4" xfId="490"/>
    <cellStyle name="Linked Cell 5" xfId="491"/>
    <cellStyle name="Linked Cell 6" xfId="492"/>
    <cellStyle name="Linked Cell 7" xfId="493"/>
    <cellStyle name="Linked Cell 8" xfId="494"/>
    <cellStyle name="Linked Cell 9" xfId="495"/>
    <cellStyle name="M" xfId="760"/>
    <cellStyle name="M.00" xfId="773"/>
    <cellStyle name="M_9. Rev2Cost_GDPIPI" xfId="761"/>
    <cellStyle name="M_lists" xfId="762"/>
    <cellStyle name="M_lists_4. Current Monthly Fixed Charge" xfId="763"/>
    <cellStyle name="M_Sheet4" xfId="764"/>
    <cellStyle name="Neutral 10" xfId="496"/>
    <cellStyle name="Neutral 11" xfId="497"/>
    <cellStyle name="Neutral 12" xfId="498"/>
    <cellStyle name="Neutral 13" xfId="499"/>
    <cellStyle name="Neutral 14" xfId="500"/>
    <cellStyle name="Neutral 15" xfId="501"/>
    <cellStyle name="Neutral 16" xfId="692"/>
    <cellStyle name="Neutral 2" xfId="502"/>
    <cellStyle name="Neutral 2 2" xfId="705"/>
    <cellStyle name="Neutral 3" xfId="503"/>
    <cellStyle name="Neutral 4" xfId="504"/>
    <cellStyle name="Neutral 5" xfId="505"/>
    <cellStyle name="Neutral 6" xfId="506"/>
    <cellStyle name="Neutral 7" xfId="507"/>
    <cellStyle name="Neutral 8" xfId="508"/>
    <cellStyle name="Neutral 9" xfId="509"/>
    <cellStyle name="Normal" xfId="0" builtinId="0"/>
    <cellStyle name="Normal - Style1" xfId="765"/>
    <cellStyle name="Normal 10" xfId="510"/>
    <cellStyle name="Normal 11" xfId="511"/>
    <cellStyle name="Normal 12" xfId="512"/>
    <cellStyle name="Normal 13" xfId="513"/>
    <cellStyle name="Normal 14" xfId="514"/>
    <cellStyle name="Normal 15" xfId="515"/>
    <cellStyle name="Normal 16" xfId="516"/>
    <cellStyle name="Normal 16 10" xfId="1183"/>
    <cellStyle name="Normal 16 11" xfId="939"/>
    <cellStyle name="Normal 16 2" xfId="602"/>
    <cellStyle name="Normal 16 2 2" xfId="619"/>
    <cellStyle name="Normal 16 2 2 2" xfId="656"/>
    <cellStyle name="Normal 16 2 2 2 2" xfId="835"/>
    <cellStyle name="Normal 16 2 2 2 2 2" xfId="1166"/>
    <cellStyle name="Normal 16 2 2 2 2 2 2" xfId="1399"/>
    <cellStyle name="Normal 16 2 2 2 2 3" xfId="1283"/>
    <cellStyle name="Normal 16 2 2 2 2 4" xfId="1047"/>
    <cellStyle name="Normal 16 2 2 2 3" xfId="905"/>
    <cellStyle name="Normal 16 2 2 2 3 2" xfId="1343"/>
    <cellStyle name="Normal 16 2 2 2 3 3" xfId="1110"/>
    <cellStyle name="Normal 16 2 2 2 4" xfId="1227"/>
    <cellStyle name="Normal 16 2 2 2 5" xfId="990"/>
    <cellStyle name="Normal 16 2 2 3" xfId="802"/>
    <cellStyle name="Normal 16 2 2 3 2" xfId="1136"/>
    <cellStyle name="Normal 16 2 2 3 2 2" xfId="1369"/>
    <cellStyle name="Normal 16 2 2 3 3" xfId="1253"/>
    <cellStyle name="Normal 16 2 2 3 4" xfId="1017"/>
    <cellStyle name="Normal 16 2 2 4" xfId="875"/>
    <cellStyle name="Normal 16 2 2 4 2" xfId="1317"/>
    <cellStyle name="Normal 16 2 2 4 3" xfId="1084"/>
    <cellStyle name="Normal 16 2 2 5" xfId="1201"/>
    <cellStyle name="Normal 16 2 2 6" xfId="964"/>
    <cellStyle name="Normal 16 2 3" xfId="627"/>
    <cellStyle name="Normal 16 2 3 2" xfId="664"/>
    <cellStyle name="Normal 16 2 3 2 2" xfId="843"/>
    <cellStyle name="Normal 16 2 3 2 2 2" xfId="1174"/>
    <cellStyle name="Normal 16 2 3 2 2 2 2" xfId="1407"/>
    <cellStyle name="Normal 16 2 3 2 2 3" xfId="1291"/>
    <cellStyle name="Normal 16 2 3 2 2 4" xfId="1055"/>
    <cellStyle name="Normal 16 2 3 2 3" xfId="913"/>
    <cellStyle name="Normal 16 2 3 2 3 2" xfId="1351"/>
    <cellStyle name="Normal 16 2 3 2 3 3" xfId="1118"/>
    <cellStyle name="Normal 16 2 3 2 4" xfId="1235"/>
    <cellStyle name="Normal 16 2 3 2 5" xfId="998"/>
    <cellStyle name="Normal 16 2 3 3" xfId="810"/>
    <cellStyle name="Normal 16 2 3 3 2" xfId="1144"/>
    <cellStyle name="Normal 16 2 3 3 2 2" xfId="1377"/>
    <cellStyle name="Normal 16 2 3 3 3" xfId="1261"/>
    <cellStyle name="Normal 16 2 3 3 4" xfId="1025"/>
    <cellStyle name="Normal 16 2 3 4" xfId="883"/>
    <cellStyle name="Normal 16 2 3 4 2" xfId="1325"/>
    <cellStyle name="Normal 16 2 3 4 3" xfId="1092"/>
    <cellStyle name="Normal 16 2 3 5" xfId="1209"/>
    <cellStyle name="Normal 16 2 3 6" xfId="972"/>
    <cellStyle name="Normal 16 2 4" xfId="648"/>
    <cellStyle name="Normal 16 2 4 2" xfId="827"/>
    <cellStyle name="Normal 16 2 4 2 2" xfId="1158"/>
    <cellStyle name="Normal 16 2 4 2 2 2" xfId="1391"/>
    <cellStyle name="Normal 16 2 4 2 3" xfId="1275"/>
    <cellStyle name="Normal 16 2 4 2 4" xfId="1039"/>
    <cellStyle name="Normal 16 2 4 3" xfId="897"/>
    <cellStyle name="Normal 16 2 4 3 2" xfId="1309"/>
    <cellStyle name="Normal 16 2 4 3 3" xfId="1076"/>
    <cellStyle name="Normal 16 2 4 4" xfId="1193"/>
    <cellStyle name="Normal 16 2 4 5" xfId="956"/>
    <cellStyle name="Normal 16 2 5" xfId="791"/>
    <cellStyle name="Normal 16 2 5 2" xfId="1102"/>
    <cellStyle name="Normal 16 2 5 2 2" xfId="1335"/>
    <cellStyle name="Normal 16 2 5 3" xfId="1219"/>
    <cellStyle name="Normal 16 2 5 4" xfId="982"/>
    <cellStyle name="Normal 16 2 6" xfId="867"/>
    <cellStyle name="Normal 16 2 6 2" xfId="1128"/>
    <cellStyle name="Normal 16 2 6 2 2" xfId="1361"/>
    <cellStyle name="Normal 16 2 6 3" xfId="1245"/>
    <cellStyle name="Normal 16 2 6 4" xfId="1009"/>
    <cellStyle name="Normal 16 2 7" xfId="1069"/>
    <cellStyle name="Normal 16 2 7 2" xfId="1302"/>
    <cellStyle name="Normal 16 2 8" xfId="1186"/>
    <cellStyle name="Normal 16 2 9" xfId="949"/>
    <cellStyle name="Normal 16 3" xfId="591"/>
    <cellStyle name="Normal 16 3 2" xfId="645"/>
    <cellStyle name="Normal 16 3 2 2" xfId="824"/>
    <cellStyle name="Normal 16 3 2 2 2" xfId="1155"/>
    <cellStyle name="Normal 16 3 2 2 2 2" xfId="1388"/>
    <cellStyle name="Normal 16 3 2 2 3" xfId="1272"/>
    <cellStyle name="Normal 16 3 2 2 4" xfId="1036"/>
    <cellStyle name="Normal 16 3 2 3" xfId="894"/>
    <cellStyle name="Normal 16 3 2 3 2" xfId="1332"/>
    <cellStyle name="Normal 16 3 2 3 3" xfId="1099"/>
    <cellStyle name="Normal 16 3 2 4" xfId="1216"/>
    <cellStyle name="Normal 16 3 2 5" xfId="979"/>
    <cellStyle name="Normal 16 3 3" xfId="785"/>
    <cellStyle name="Normal 16 3 3 2" xfId="1125"/>
    <cellStyle name="Normal 16 3 3 2 2" xfId="1358"/>
    <cellStyle name="Normal 16 3 3 3" xfId="1242"/>
    <cellStyle name="Normal 16 3 3 4" xfId="1006"/>
    <cellStyle name="Normal 16 3 4" xfId="864"/>
    <cellStyle name="Normal 16 3 4 2" xfId="1306"/>
    <cellStyle name="Normal 16 3 4 3" xfId="1073"/>
    <cellStyle name="Normal 16 3 5" xfId="1190"/>
    <cellStyle name="Normal 16 3 6" xfId="953"/>
    <cellStyle name="Normal 16 4" xfId="616"/>
    <cellStyle name="Normal 16 4 2" xfId="653"/>
    <cellStyle name="Normal 16 4 2 2" xfId="832"/>
    <cellStyle name="Normal 16 4 2 2 2" xfId="1163"/>
    <cellStyle name="Normal 16 4 2 2 2 2" xfId="1396"/>
    <cellStyle name="Normal 16 4 2 2 3" xfId="1280"/>
    <cellStyle name="Normal 16 4 2 2 4" xfId="1044"/>
    <cellStyle name="Normal 16 4 2 3" xfId="902"/>
    <cellStyle name="Normal 16 4 2 3 2" xfId="1340"/>
    <cellStyle name="Normal 16 4 2 3 3" xfId="1107"/>
    <cellStyle name="Normal 16 4 2 4" xfId="1224"/>
    <cellStyle name="Normal 16 4 2 5" xfId="987"/>
    <cellStyle name="Normal 16 4 3" xfId="799"/>
    <cellStyle name="Normal 16 4 3 2" xfId="1133"/>
    <cellStyle name="Normal 16 4 3 2 2" xfId="1366"/>
    <cellStyle name="Normal 16 4 3 3" xfId="1250"/>
    <cellStyle name="Normal 16 4 3 4" xfId="1014"/>
    <cellStyle name="Normal 16 4 4" xfId="872"/>
    <cellStyle name="Normal 16 4 4 2" xfId="1314"/>
    <cellStyle name="Normal 16 4 4 3" xfId="1081"/>
    <cellStyle name="Normal 16 4 5" xfId="1198"/>
    <cellStyle name="Normal 16 4 6" xfId="961"/>
    <cellStyle name="Normal 16 5" xfId="624"/>
    <cellStyle name="Normal 16 5 2" xfId="661"/>
    <cellStyle name="Normal 16 5 2 2" xfId="840"/>
    <cellStyle name="Normal 16 5 2 2 2" xfId="1171"/>
    <cellStyle name="Normal 16 5 2 2 2 2" xfId="1404"/>
    <cellStyle name="Normal 16 5 2 2 3" xfId="1288"/>
    <cellStyle name="Normal 16 5 2 2 4" xfId="1052"/>
    <cellStyle name="Normal 16 5 2 3" xfId="910"/>
    <cellStyle name="Normal 16 5 2 3 2" xfId="1348"/>
    <cellStyle name="Normal 16 5 2 3 3" xfId="1115"/>
    <cellStyle name="Normal 16 5 2 4" xfId="1232"/>
    <cellStyle name="Normal 16 5 2 5" xfId="995"/>
    <cellStyle name="Normal 16 5 3" xfId="807"/>
    <cellStyle name="Normal 16 5 3 2" xfId="1141"/>
    <cellStyle name="Normal 16 5 3 2 2" xfId="1374"/>
    <cellStyle name="Normal 16 5 3 3" xfId="1258"/>
    <cellStyle name="Normal 16 5 3 4" xfId="1022"/>
    <cellStyle name="Normal 16 5 4" xfId="880"/>
    <cellStyle name="Normal 16 5 4 2" xfId="1322"/>
    <cellStyle name="Normal 16 5 4 3" xfId="1089"/>
    <cellStyle name="Normal 16 5 5" xfId="1206"/>
    <cellStyle name="Normal 16 5 6" xfId="969"/>
    <cellStyle name="Normal 16 6" xfId="642"/>
    <cellStyle name="Normal 16 6 2" xfId="821"/>
    <cellStyle name="Normal 16 6 2 2" xfId="1153"/>
    <cellStyle name="Normal 16 6 2 2 2" xfId="1386"/>
    <cellStyle name="Normal 16 6 2 3" xfId="1270"/>
    <cellStyle name="Normal 16 6 2 4" xfId="1034"/>
    <cellStyle name="Normal 16 6 3" xfId="892"/>
    <cellStyle name="Normal 16 6 3 2" xfId="1304"/>
    <cellStyle name="Normal 16 6 3 3" xfId="1071"/>
    <cellStyle name="Normal 16 6 4" xfId="1188"/>
    <cellStyle name="Normal 16 6 5" xfId="951"/>
    <cellStyle name="Normal 16 7" xfId="771"/>
    <cellStyle name="Normal 16 7 2" xfId="1097"/>
    <cellStyle name="Normal 16 7 2 2" xfId="1330"/>
    <cellStyle name="Normal 16 7 3" xfId="1214"/>
    <cellStyle name="Normal 16 7 4" xfId="977"/>
    <cellStyle name="Normal 16 8" xfId="861"/>
    <cellStyle name="Normal 16 8 2" xfId="1123"/>
    <cellStyle name="Normal 16 8 2 2" xfId="1356"/>
    <cellStyle name="Normal 16 8 3" xfId="1240"/>
    <cellStyle name="Normal 16 8 4" xfId="1004"/>
    <cellStyle name="Normal 16 9" xfId="1064"/>
    <cellStyle name="Normal 16 9 2" xfId="1299"/>
    <cellStyle name="Normal 17" xfId="517"/>
    <cellStyle name="Normal 17 10" xfId="1184"/>
    <cellStyle name="Normal 17 11" xfId="940"/>
    <cellStyle name="Normal 17 2" xfId="603"/>
    <cellStyle name="Normal 17 2 2" xfId="620"/>
    <cellStyle name="Normal 17 2 2 2" xfId="657"/>
    <cellStyle name="Normal 17 2 2 2 2" xfId="836"/>
    <cellStyle name="Normal 17 2 2 2 2 2" xfId="1167"/>
    <cellStyle name="Normal 17 2 2 2 2 2 2" xfId="1400"/>
    <cellStyle name="Normal 17 2 2 2 2 3" xfId="1284"/>
    <cellStyle name="Normal 17 2 2 2 2 4" xfId="1048"/>
    <cellStyle name="Normal 17 2 2 2 3" xfId="906"/>
    <cellStyle name="Normal 17 2 2 2 3 2" xfId="1344"/>
    <cellStyle name="Normal 17 2 2 2 3 3" xfId="1111"/>
    <cellStyle name="Normal 17 2 2 2 4" xfId="1228"/>
    <cellStyle name="Normal 17 2 2 2 5" xfId="991"/>
    <cellStyle name="Normal 17 2 2 3" xfId="803"/>
    <cellStyle name="Normal 17 2 2 3 2" xfId="1137"/>
    <cellStyle name="Normal 17 2 2 3 2 2" xfId="1370"/>
    <cellStyle name="Normal 17 2 2 3 3" xfId="1254"/>
    <cellStyle name="Normal 17 2 2 3 4" xfId="1018"/>
    <cellStyle name="Normal 17 2 2 4" xfId="876"/>
    <cellStyle name="Normal 17 2 2 4 2" xfId="1318"/>
    <cellStyle name="Normal 17 2 2 4 3" xfId="1085"/>
    <cellStyle name="Normal 17 2 2 5" xfId="1202"/>
    <cellStyle name="Normal 17 2 2 6" xfId="965"/>
    <cellStyle name="Normal 17 2 3" xfId="628"/>
    <cellStyle name="Normal 17 2 3 2" xfId="665"/>
    <cellStyle name="Normal 17 2 3 2 2" xfId="844"/>
    <cellStyle name="Normal 17 2 3 2 2 2" xfId="1175"/>
    <cellStyle name="Normal 17 2 3 2 2 2 2" xfId="1408"/>
    <cellStyle name="Normal 17 2 3 2 2 3" xfId="1292"/>
    <cellStyle name="Normal 17 2 3 2 2 4" xfId="1056"/>
    <cellStyle name="Normal 17 2 3 2 3" xfId="914"/>
    <cellStyle name="Normal 17 2 3 2 3 2" xfId="1352"/>
    <cellStyle name="Normal 17 2 3 2 3 3" xfId="1119"/>
    <cellStyle name="Normal 17 2 3 2 4" xfId="1236"/>
    <cellStyle name="Normal 17 2 3 2 5" xfId="999"/>
    <cellStyle name="Normal 17 2 3 3" xfId="811"/>
    <cellStyle name="Normal 17 2 3 3 2" xfId="1145"/>
    <cellStyle name="Normal 17 2 3 3 2 2" xfId="1378"/>
    <cellStyle name="Normal 17 2 3 3 3" xfId="1262"/>
    <cellStyle name="Normal 17 2 3 3 4" xfId="1026"/>
    <cellStyle name="Normal 17 2 3 4" xfId="884"/>
    <cellStyle name="Normal 17 2 3 4 2" xfId="1326"/>
    <cellStyle name="Normal 17 2 3 4 3" xfId="1093"/>
    <cellStyle name="Normal 17 2 3 5" xfId="1210"/>
    <cellStyle name="Normal 17 2 3 6" xfId="973"/>
    <cellStyle name="Normal 17 2 4" xfId="649"/>
    <cellStyle name="Normal 17 2 4 2" xfId="828"/>
    <cellStyle name="Normal 17 2 4 2 2" xfId="1159"/>
    <cellStyle name="Normal 17 2 4 2 2 2" xfId="1392"/>
    <cellStyle name="Normal 17 2 4 2 3" xfId="1276"/>
    <cellStyle name="Normal 17 2 4 2 4" xfId="1040"/>
    <cellStyle name="Normal 17 2 4 3" xfId="898"/>
    <cellStyle name="Normal 17 2 4 3 2" xfId="1310"/>
    <cellStyle name="Normal 17 2 4 3 3" xfId="1077"/>
    <cellStyle name="Normal 17 2 4 4" xfId="1194"/>
    <cellStyle name="Normal 17 2 4 5" xfId="957"/>
    <cellStyle name="Normal 17 2 5" xfId="792"/>
    <cellStyle name="Normal 17 2 5 2" xfId="1103"/>
    <cellStyle name="Normal 17 2 5 2 2" xfId="1336"/>
    <cellStyle name="Normal 17 2 5 3" xfId="1220"/>
    <cellStyle name="Normal 17 2 5 4" xfId="983"/>
    <cellStyle name="Normal 17 2 6" xfId="868"/>
    <cellStyle name="Normal 17 2 6 2" xfId="1129"/>
    <cellStyle name="Normal 17 2 6 2 2" xfId="1362"/>
    <cellStyle name="Normal 17 2 6 3" xfId="1246"/>
    <cellStyle name="Normal 17 2 6 4" xfId="1010"/>
    <cellStyle name="Normal 17 2 7" xfId="1070"/>
    <cellStyle name="Normal 17 2 7 2" xfId="1303"/>
    <cellStyle name="Normal 17 2 8" xfId="1187"/>
    <cellStyle name="Normal 17 2 9" xfId="950"/>
    <cellStyle name="Normal 17 3" xfId="592"/>
    <cellStyle name="Normal 17 3 2" xfId="646"/>
    <cellStyle name="Normal 17 3 2 2" xfId="825"/>
    <cellStyle name="Normal 17 3 2 2 2" xfId="1156"/>
    <cellStyle name="Normal 17 3 2 2 2 2" xfId="1389"/>
    <cellStyle name="Normal 17 3 2 2 3" xfId="1273"/>
    <cellStyle name="Normal 17 3 2 2 4" xfId="1037"/>
    <cellStyle name="Normal 17 3 2 3" xfId="895"/>
    <cellStyle name="Normal 17 3 2 3 2" xfId="1333"/>
    <cellStyle name="Normal 17 3 2 3 3" xfId="1100"/>
    <cellStyle name="Normal 17 3 2 4" xfId="1217"/>
    <cellStyle name="Normal 17 3 2 5" xfId="980"/>
    <cellStyle name="Normal 17 3 3" xfId="786"/>
    <cellStyle name="Normal 17 3 3 2" xfId="1126"/>
    <cellStyle name="Normal 17 3 3 2 2" xfId="1359"/>
    <cellStyle name="Normal 17 3 3 3" xfId="1243"/>
    <cellStyle name="Normal 17 3 3 4" xfId="1007"/>
    <cellStyle name="Normal 17 3 4" xfId="865"/>
    <cellStyle name="Normal 17 3 4 2" xfId="1307"/>
    <cellStyle name="Normal 17 3 4 3" xfId="1074"/>
    <cellStyle name="Normal 17 3 5" xfId="1191"/>
    <cellStyle name="Normal 17 3 6" xfId="954"/>
    <cellStyle name="Normal 17 4" xfId="617"/>
    <cellStyle name="Normal 17 4 2" xfId="654"/>
    <cellStyle name="Normal 17 4 2 2" xfId="833"/>
    <cellStyle name="Normal 17 4 2 2 2" xfId="1164"/>
    <cellStyle name="Normal 17 4 2 2 2 2" xfId="1397"/>
    <cellStyle name="Normal 17 4 2 2 3" xfId="1281"/>
    <cellStyle name="Normal 17 4 2 2 4" xfId="1045"/>
    <cellStyle name="Normal 17 4 2 3" xfId="903"/>
    <cellStyle name="Normal 17 4 2 3 2" xfId="1341"/>
    <cellStyle name="Normal 17 4 2 3 3" xfId="1108"/>
    <cellStyle name="Normal 17 4 2 4" xfId="1225"/>
    <cellStyle name="Normal 17 4 2 5" xfId="988"/>
    <cellStyle name="Normal 17 4 3" xfId="800"/>
    <cellStyle name="Normal 17 4 3 2" xfId="1134"/>
    <cellStyle name="Normal 17 4 3 2 2" xfId="1367"/>
    <cellStyle name="Normal 17 4 3 3" xfId="1251"/>
    <cellStyle name="Normal 17 4 3 4" xfId="1015"/>
    <cellStyle name="Normal 17 4 4" xfId="873"/>
    <cellStyle name="Normal 17 4 4 2" xfId="1315"/>
    <cellStyle name="Normal 17 4 4 3" xfId="1082"/>
    <cellStyle name="Normal 17 4 5" xfId="1199"/>
    <cellStyle name="Normal 17 4 6" xfId="962"/>
    <cellStyle name="Normal 17 5" xfId="625"/>
    <cellStyle name="Normal 17 5 2" xfId="662"/>
    <cellStyle name="Normal 17 5 2 2" xfId="841"/>
    <cellStyle name="Normal 17 5 2 2 2" xfId="1172"/>
    <cellStyle name="Normal 17 5 2 2 2 2" xfId="1405"/>
    <cellStyle name="Normal 17 5 2 2 3" xfId="1289"/>
    <cellStyle name="Normal 17 5 2 2 4" xfId="1053"/>
    <cellStyle name="Normal 17 5 2 3" xfId="911"/>
    <cellStyle name="Normal 17 5 2 3 2" xfId="1349"/>
    <cellStyle name="Normal 17 5 2 3 3" xfId="1116"/>
    <cellStyle name="Normal 17 5 2 4" xfId="1233"/>
    <cellStyle name="Normal 17 5 2 5" xfId="996"/>
    <cellStyle name="Normal 17 5 3" xfId="808"/>
    <cellStyle name="Normal 17 5 3 2" xfId="1142"/>
    <cellStyle name="Normal 17 5 3 2 2" xfId="1375"/>
    <cellStyle name="Normal 17 5 3 3" xfId="1259"/>
    <cellStyle name="Normal 17 5 3 4" xfId="1023"/>
    <cellStyle name="Normal 17 5 4" xfId="881"/>
    <cellStyle name="Normal 17 5 4 2" xfId="1323"/>
    <cellStyle name="Normal 17 5 4 3" xfId="1090"/>
    <cellStyle name="Normal 17 5 5" xfId="1207"/>
    <cellStyle name="Normal 17 5 6" xfId="970"/>
    <cellStyle name="Normal 17 6" xfId="643"/>
    <cellStyle name="Normal 17 6 2" xfId="822"/>
    <cellStyle name="Normal 17 6 2 2" xfId="1154"/>
    <cellStyle name="Normal 17 6 2 2 2" xfId="1387"/>
    <cellStyle name="Normal 17 6 2 3" xfId="1271"/>
    <cellStyle name="Normal 17 6 2 4" xfId="1035"/>
    <cellStyle name="Normal 17 6 3" xfId="893"/>
    <cellStyle name="Normal 17 6 3 2" xfId="1305"/>
    <cellStyle name="Normal 17 6 3 3" xfId="1072"/>
    <cellStyle name="Normal 17 6 4" xfId="1189"/>
    <cellStyle name="Normal 17 6 5" xfId="952"/>
    <cellStyle name="Normal 17 7" xfId="772"/>
    <cellStyle name="Normal 17 7 2" xfId="1098"/>
    <cellStyle name="Normal 17 7 2 2" xfId="1331"/>
    <cellStyle name="Normal 17 7 3" xfId="1215"/>
    <cellStyle name="Normal 17 7 4" xfId="978"/>
    <cellStyle name="Normal 17 8" xfId="862"/>
    <cellStyle name="Normal 17 8 2" xfId="1124"/>
    <cellStyle name="Normal 17 8 2 2" xfId="1357"/>
    <cellStyle name="Normal 17 8 3" xfId="1241"/>
    <cellStyle name="Normal 17 8 4" xfId="1005"/>
    <cellStyle name="Normal 17 9" xfId="1065"/>
    <cellStyle name="Normal 17 9 2" xfId="1300"/>
    <cellStyle name="Normal 18" xfId="518"/>
    <cellStyle name="Normal 19" xfId="519"/>
    <cellStyle name="Normal 19 2" xfId="604"/>
    <cellStyle name="Normal 19 3" xfId="593"/>
    <cellStyle name="Normal 2" xfId="520"/>
    <cellStyle name="Normal 2 2" xfId="605"/>
    <cellStyle name="Normal 2 2 2" xfId="621"/>
    <cellStyle name="Normal 2 2 2 2" xfId="658"/>
    <cellStyle name="Normal 2 2 2 2 2" xfId="837"/>
    <cellStyle name="Normal 2 2 2 2 2 2" xfId="1168"/>
    <cellStyle name="Normal 2 2 2 2 2 2 2" xfId="1401"/>
    <cellStyle name="Normal 2 2 2 2 2 3" xfId="1285"/>
    <cellStyle name="Normal 2 2 2 2 2 4" xfId="1049"/>
    <cellStyle name="Normal 2 2 2 2 3" xfId="907"/>
    <cellStyle name="Normal 2 2 2 2 3 2" xfId="1345"/>
    <cellStyle name="Normal 2 2 2 2 3 3" xfId="1112"/>
    <cellStyle name="Normal 2 2 2 2 4" xfId="1229"/>
    <cellStyle name="Normal 2 2 2 2 5" xfId="992"/>
    <cellStyle name="Normal 2 2 2 3" xfId="804"/>
    <cellStyle name="Normal 2 2 2 3 2" xfId="1138"/>
    <cellStyle name="Normal 2 2 2 3 2 2" xfId="1371"/>
    <cellStyle name="Normal 2 2 2 3 3" xfId="1255"/>
    <cellStyle name="Normal 2 2 2 3 4" xfId="1019"/>
    <cellStyle name="Normal 2 2 2 4" xfId="877"/>
    <cellStyle name="Normal 2 2 2 4 2" xfId="1319"/>
    <cellStyle name="Normal 2 2 2 4 3" xfId="1086"/>
    <cellStyle name="Normal 2 2 2 5" xfId="1203"/>
    <cellStyle name="Normal 2 2 2 6" xfId="966"/>
    <cellStyle name="Normal 2 2 3" xfId="629"/>
    <cellStyle name="Normal 2 2 3 2" xfId="666"/>
    <cellStyle name="Normal 2 2 3 2 2" xfId="845"/>
    <cellStyle name="Normal 2 2 3 2 2 2" xfId="1176"/>
    <cellStyle name="Normal 2 2 3 2 2 2 2" xfId="1409"/>
    <cellStyle name="Normal 2 2 3 2 2 3" xfId="1293"/>
    <cellStyle name="Normal 2 2 3 2 2 4" xfId="1057"/>
    <cellStyle name="Normal 2 2 3 2 3" xfId="915"/>
    <cellStyle name="Normal 2 2 3 2 3 2" xfId="1353"/>
    <cellStyle name="Normal 2 2 3 2 3 3" xfId="1120"/>
    <cellStyle name="Normal 2 2 3 2 4" xfId="1237"/>
    <cellStyle name="Normal 2 2 3 2 5" xfId="1000"/>
    <cellStyle name="Normal 2 2 3 3" xfId="812"/>
    <cellStyle name="Normal 2 2 3 3 2" xfId="1146"/>
    <cellStyle name="Normal 2 2 3 3 2 2" xfId="1379"/>
    <cellStyle name="Normal 2 2 3 3 3" xfId="1263"/>
    <cellStyle name="Normal 2 2 3 3 4" xfId="1027"/>
    <cellStyle name="Normal 2 2 3 4" xfId="885"/>
    <cellStyle name="Normal 2 2 3 4 2" xfId="1327"/>
    <cellStyle name="Normal 2 2 3 4 3" xfId="1094"/>
    <cellStyle name="Normal 2 2 3 5" xfId="1211"/>
    <cellStyle name="Normal 2 2 3 6" xfId="974"/>
    <cellStyle name="Normal 2 2 4" xfId="650"/>
    <cellStyle name="Normal 2 2 4 2" xfId="829"/>
    <cellStyle name="Normal 2 2 4 2 2" xfId="1160"/>
    <cellStyle name="Normal 2 2 4 2 2 2" xfId="1393"/>
    <cellStyle name="Normal 2 2 4 2 3" xfId="1277"/>
    <cellStyle name="Normal 2 2 4 2 4" xfId="1041"/>
    <cellStyle name="Normal 2 2 4 3" xfId="899"/>
    <cellStyle name="Normal 2 2 4 3 2" xfId="1311"/>
    <cellStyle name="Normal 2 2 4 3 3" xfId="1078"/>
    <cellStyle name="Normal 2 2 4 4" xfId="1195"/>
    <cellStyle name="Normal 2 2 4 5" xfId="958"/>
    <cellStyle name="Normal 2 2 5" xfId="793"/>
    <cellStyle name="Normal 2 2 5 2" xfId="1104"/>
    <cellStyle name="Normal 2 2 5 2 2" xfId="1337"/>
    <cellStyle name="Normal 2 2 5 3" xfId="1221"/>
    <cellStyle name="Normal 2 2 5 4" xfId="984"/>
    <cellStyle name="Normal 2 2 6" xfId="869"/>
    <cellStyle name="Normal 2 2 6 2" xfId="1130"/>
    <cellStyle name="Normal 2 2 6 2 2" xfId="1363"/>
    <cellStyle name="Normal 2 2 6 3" xfId="1247"/>
    <cellStyle name="Normal 2 2 6 4" xfId="1011"/>
    <cellStyle name="Normal 2 2 7" xfId="1068"/>
    <cellStyle name="Normal 2 2 7 2" xfId="1301"/>
    <cellStyle name="Normal 2 2 8" xfId="1185"/>
    <cellStyle name="Normal 2 2 9" xfId="947"/>
    <cellStyle name="Normal 2 3" xfId="636"/>
    <cellStyle name="Normal 2 4" xfId="696"/>
    <cellStyle name="Normal 20" xfId="521"/>
    <cellStyle name="Normal 21" xfId="606"/>
    <cellStyle name="Normal 22" xfId="632"/>
    <cellStyle name="Normal 22 2" xfId="640"/>
    <cellStyle name="Normal 22 3" xfId="815"/>
    <cellStyle name="Normal 22 3 2" xfId="1382"/>
    <cellStyle name="Normal 22 3 3" xfId="1149"/>
    <cellStyle name="Normal 22 4" xfId="888"/>
    <cellStyle name="Normal 22 4 2" xfId="1266"/>
    <cellStyle name="Normal 22 5" xfId="1030"/>
    <cellStyle name="Normal 23" xfId="637"/>
    <cellStyle name="Normal 23 2" xfId="818"/>
    <cellStyle name="Normal 23 2 2" xfId="1383"/>
    <cellStyle name="Normal 23 2 3" xfId="1150"/>
    <cellStyle name="Normal 23 3" xfId="889"/>
    <cellStyle name="Normal 23 3 2" xfId="1267"/>
    <cellStyle name="Normal 23 4" xfId="1031"/>
    <cellStyle name="Normal 24" xfId="848"/>
    <cellStyle name="Normal 24 2" xfId="1062"/>
    <cellStyle name="Normal 25" xfId="859"/>
    <cellStyle name="Normal 25 2" xfId="1298"/>
    <cellStyle name="Normal 25 3" xfId="1061"/>
    <cellStyle name="Normal 26" xfId="849"/>
    <cellStyle name="Normal 26 2" xfId="1180"/>
    <cellStyle name="Normal 27" xfId="855"/>
    <cellStyle name="Normal 28" xfId="860"/>
    <cellStyle name="Normal 29" xfId="930"/>
    <cellStyle name="Normal 3" xfId="522"/>
    <cellStyle name="Normal 3 2" xfId="607"/>
    <cellStyle name="Normal 3 3" xfId="608"/>
    <cellStyle name="Normal 3 3 2" xfId="601"/>
    <cellStyle name="Normal 3 4" xfId="633"/>
    <cellStyle name="Normal 3 4 2" xfId="816"/>
    <cellStyle name="Normal 3 5" xfId="700"/>
    <cellStyle name="Normal 3 6" xfId="923"/>
    <cellStyle name="Normal 30" xfId="926"/>
    <cellStyle name="Normal 31" xfId="1413"/>
    <cellStyle name="Normal 32" xfId="924"/>
    <cellStyle name="Normal 33" xfId="928"/>
    <cellStyle name="Normal 34" xfId="938"/>
    <cellStyle name="Normal 35" xfId="1422"/>
    <cellStyle name="Normal 36" xfId="1424"/>
    <cellStyle name="Normal 37" xfId="1426"/>
    <cellStyle name="Normal 38" xfId="1428"/>
    <cellStyle name="Normal 39" xfId="1430"/>
    <cellStyle name="Normal 4" xfId="523"/>
    <cellStyle name="Normal 4 2" xfId="609"/>
    <cellStyle name="Normal 4 3" xfId="739"/>
    <cellStyle name="Normal 40" xfId="1432"/>
    <cellStyle name="Normal 41" xfId="1434"/>
    <cellStyle name="Normal 42" xfId="1436"/>
    <cellStyle name="Normal 43" xfId="1438"/>
    <cellStyle name="Normal 44" xfId="1440"/>
    <cellStyle name="Normal 45" xfId="1442"/>
    <cellStyle name="Normal 46" xfId="1444"/>
    <cellStyle name="Normal 5" xfId="524"/>
    <cellStyle name="Normal 5 2" xfId="767"/>
    <cellStyle name="Normal 5 3" xfId="741"/>
    <cellStyle name="Normal 6" xfId="525"/>
    <cellStyle name="Normal 6 2" xfId="744"/>
    <cellStyle name="Normal 7" xfId="526"/>
    <cellStyle name="Normal 8" xfId="527"/>
    <cellStyle name="Normal 9" xfId="528"/>
    <cellStyle name="Note 10" xfId="529"/>
    <cellStyle name="Note 11" xfId="530"/>
    <cellStyle name="Note 12" xfId="531"/>
    <cellStyle name="Note 13" xfId="532"/>
    <cellStyle name="Note 14" xfId="533"/>
    <cellStyle name="Note 15" xfId="534"/>
    <cellStyle name="Note 16" xfId="777"/>
    <cellStyle name="Note 2" xfId="535"/>
    <cellStyle name="Note 2 2" xfId="712"/>
    <cellStyle name="Note 3" xfId="536"/>
    <cellStyle name="Note 4" xfId="537"/>
    <cellStyle name="Note 5" xfId="538"/>
    <cellStyle name="Note 6" xfId="539"/>
    <cellStyle name="Note 7" xfId="540"/>
    <cellStyle name="Note 8" xfId="541"/>
    <cellStyle name="Note 9" xfId="542"/>
    <cellStyle name="Output 10" xfId="543"/>
    <cellStyle name="Output 11" xfId="544"/>
    <cellStyle name="Output 12" xfId="545"/>
    <cellStyle name="Output 13" xfId="546"/>
    <cellStyle name="Output 14" xfId="547"/>
    <cellStyle name="Output 15" xfId="548"/>
    <cellStyle name="Output 16" xfId="774"/>
    <cellStyle name="Output 2" xfId="549"/>
    <cellStyle name="Output 2 2" xfId="707"/>
    <cellStyle name="Output 3" xfId="550"/>
    <cellStyle name="Output 4" xfId="551"/>
    <cellStyle name="Output 5" xfId="552"/>
    <cellStyle name="Output 6" xfId="553"/>
    <cellStyle name="Output 7" xfId="554"/>
    <cellStyle name="Output 8" xfId="555"/>
    <cellStyle name="Output 9" xfId="556"/>
    <cellStyle name="Percent" xfId="557" builtinId="5"/>
    <cellStyle name="Percent [2]" xfId="766"/>
    <cellStyle name="Percent 10" xfId="856"/>
    <cellStyle name="Percent 11" xfId="863"/>
    <cellStyle name="Percent 12" xfId="941"/>
    <cellStyle name="Percent 13" xfId="925"/>
    <cellStyle name="Percent 14" xfId="929"/>
    <cellStyle name="Percent 15" xfId="918"/>
    <cellStyle name="Percent 16" xfId="1414"/>
    <cellStyle name="Percent 17" xfId="934"/>
    <cellStyle name="Percent 18" xfId="943"/>
    <cellStyle name="Percent 19" xfId="920"/>
    <cellStyle name="Percent 2" xfId="558"/>
    <cellStyle name="Percent 2 2" xfId="610"/>
    <cellStyle name="Percent 2 2 2" xfId="622"/>
    <cellStyle name="Percent 2 2 2 2" xfId="659"/>
    <cellStyle name="Percent 2 2 2 2 2" xfId="838"/>
    <cellStyle name="Percent 2 2 2 2 2 2" xfId="1169"/>
    <cellStyle name="Percent 2 2 2 2 2 2 2" xfId="1402"/>
    <cellStyle name="Percent 2 2 2 2 2 3" xfId="1286"/>
    <cellStyle name="Percent 2 2 2 2 2 4" xfId="1050"/>
    <cellStyle name="Percent 2 2 2 2 3" xfId="908"/>
    <cellStyle name="Percent 2 2 2 2 3 2" xfId="1346"/>
    <cellStyle name="Percent 2 2 2 2 3 3" xfId="1113"/>
    <cellStyle name="Percent 2 2 2 2 4" xfId="1230"/>
    <cellStyle name="Percent 2 2 2 2 5" xfId="993"/>
    <cellStyle name="Percent 2 2 2 3" xfId="805"/>
    <cellStyle name="Percent 2 2 2 3 2" xfId="1139"/>
    <cellStyle name="Percent 2 2 2 3 2 2" xfId="1372"/>
    <cellStyle name="Percent 2 2 2 3 3" xfId="1256"/>
    <cellStyle name="Percent 2 2 2 3 4" xfId="1020"/>
    <cellStyle name="Percent 2 2 2 4" xfId="878"/>
    <cellStyle name="Percent 2 2 2 4 2" xfId="1320"/>
    <cellStyle name="Percent 2 2 2 4 3" xfId="1087"/>
    <cellStyle name="Percent 2 2 2 5" xfId="1204"/>
    <cellStyle name="Percent 2 2 2 6" xfId="967"/>
    <cellStyle name="Percent 2 2 3" xfId="630"/>
    <cellStyle name="Percent 2 2 3 2" xfId="667"/>
    <cellStyle name="Percent 2 2 3 2 2" xfId="846"/>
    <cellStyle name="Percent 2 2 3 2 2 2" xfId="1177"/>
    <cellStyle name="Percent 2 2 3 2 2 2 2" xfId="1410"/>
    <cellStyle name="Percent 2 2 3 2 2 3" xfId="1294"/>
    <cellStyle name="Percent 2 2 3 2 2 4" xfId="1058"/>
    <cellStyle name="Percent 2 2 3 2 3" xfId="916"/>
    <cellStyle name="Percent 2 2 3 2 3 2" xfId="1354"/>
    <cellStyle name="Percent 2 2 3 2 3 3" xfId="1121"/>
    <cellStyle name="Percent 2 2 3 2 4" xfId="1238"/>
    <cellStyle name="Percent 2 2 3 2 5" xfId="1001"/>
    <cellStyle name="Percent 2 2 3 3" xfId="813"/>
    <cellStyle name="Percent 2 2 3 3 2" xfId="1147"/>
    <cellStyle name="Percent 2 2 3 3 2 2" xfId="1380"/>
    <cellStyle name="Percent 2 2 3 3 3" xfId="1264"/>
    <cellStyle name="Percent 2 2 3 3 4" xfId="1028"/>
    <cellStyle name="Percent 2 2 3 4" xfId="886"/>
    <cellStyle name="Percent 2 2 3 4 2" xfId="1328"/>
    <cellStyle name="Percent 2 2 3 4 3" xfId="1095"/>
    <cellStyle name="Percent 2 2 3 5" xfId="1212"/>
    <cellStyle name="Percent 2 2 3 6" xfId="975"/>
    <cellStyle name="Percent 2 2 4" xfId="651"/>
    <cellStyle name="Percent 2 2 4 2" xfId="830"/>
    <cellStyle name="Percent 2 2 4 2 2" xfId="1161"/>
    <cellStyle name="Percent 2 2 4 2 2 2" xfId="1394"/>
    <cellStyle name="Percent 2 2 4 2 3" xfId="1278"/>
    <cellStyle name="Percent 2 2 4 2 4" xfId="1042"/>
    <cellStyle name="Percent 2 2 4 3" xfId="900"/>
    <cellStyle name="Percent 2 2 4 3 2" xfId="1338"/>
    <cellStyle name="Percent 2 2 4 3 3" xfId="1105"/>
    <cellStyle name="Percent 2 2 4 4" xfId="1222"/>
    <cellStyle name="Percent 2 2 4 5" xfId="985"/>
    <cellStyle name="Percent 2 2 5" xfId="797"/>
    <cellStyle name="Percent 2 2 5 2" xfId="1131"/>
    <cellStyle name="Percent 2 2 5 2 2" xfId="1364"/>
    <cellStyle name="Percent 2 2 5 3" xfId="1248"/>
    <cellStyle name="Percent 2 2 5 4" xfId="1012"/>
    <cellStyle name="Percent 2 2 6" xfId="870"/>
    <cellStyle name="Percent 2 2 6 2" xfId="1312"/>
    <cellStyle name="Percent 2 2 6 3" xfId="1079"/>
    <cellStyle name="Percent 2 2 7" xfId="1196"/>
    <cellStyle name="Percent 2 2 8" xfId="959"/>
    <cellStyle name="Percent 2 3" xfId="615"/>
    <cellStyle name="Percent 2 3 2" xfId="623"/>
    <cellStyle name="Percent 2 3 2 2" xfId="660"/>
    <cellStyle name="Percent 2 3 2 2 2" xfId="839"/>
    <cellStyle name="Percent 2 3 2 2 2 2" xfId="1170"/>
    <cellStyle name="Percent 2 3 2 2 2 2 2" xfId="1403"/>
    <cellStyle name="Percent 2 3 2 2 2 3" xfId="1287"/>
    <cellStyle name="Percent 2 3 2 2 2 4" xfId="1051"/>
    <cellStyle name="Percent 2 3 2 2 3" xfId="909"/>
    <cellStyle name="Percent 2 3 2 2 3 2" xfId="1347"/>
    <cellStyle name="Percent 2 3 2 2 3 3" xfId="1114"/>
    <cellStyle name="Percent 2 3 2 2 4" xfId="1231"/>
    <cellStyle name="Percent 2 3 2 2 5" xfId="994"/>
    <cellStyle name="Percent 2 3 2 3" xfId="806"/>
    <cellStyle name="Percent 2 3 2 3 2" xfId="1140"/>
    <cellStyle name="Percent 2 3 2 3 2 2" xfId="1373"/>
    <cellStyle name="Percent 2 3 2 3 3" xfId="1257"/>
    <cellStyle name="Percent 2 3 2 3 4" xfId="1021"/>
    <cellStyle name="Percent 2 3 2 4" xfId="879"/>
    <cellStyle name="Percent 2 3 2 4 2" xfId="1321"/>
    <cellStyle name="Percent 2 3 2 4 3" xfId="1088"/>
    <cellStyle name="Percent 2 3 2 5" xfId="1205"/>
    <cellStyle name="Percent 2 3 2 6" xfId="968"/>
    <cellStyle name="Percent 2 3 3" xfId="631"/>
    <cellStyle name="Percent 2 3 3 2" xfId="668"/>
    <cellStyle name="Percent 2 3 3 2 2" xfId="847"/>
    <cellStyle name="Percent 2 3 3 2 2 2" xfId="1178"/>
    <cellStyle name="Percent 2 3 3 2 2 2 2" xfId="1411"/>
    <cellStyle name="Percent 2 3 3 2 2 3" xfId="1295"/>
    <cellStyle name="Percent 2 3 3 2 2 4" xfId="1059"/>
    <cellStyle name="Percent 2 3 3 2 3" xfId="917"/>
    <cellStyle name="Percent 2 3 3 2 3 2" xfId="1355"/>
    <cellStyle name="Percent 2 3 3 2 3 3" xfId="1122"/>
    <cellStyle name="Percent 2 3 3 2 4" xfId="1239"/>
    <cellStyle name="Percent 2 3 3 2 5" xfId="1002"/>
    <cellStyle name="Percent 2 3 3 3" xfId="814"/>
    <cellStyle name="Percent 2 3 3 3 2" xfId="1148"/>
    <cellStyle name="Percent 2 3 3 3 2 2" xfId="1381"/>
    <cellStyle name="Percent 2 3 3 3 3" xfId="1265"/>
    <cellStyle name="Percent 2 3 3 3 4" xfId="1029"/>
    <cellStyle name="Percent 2 3 3 4" xfId="887"/>
    <cellStyle name="Percent 2 3 3 4 2" xfId="1329"/>
    <cellStyle name="Percent 2 3 3 4 3" xfId="1096"/>
    <cellStyle name="Percent 2 3 3 5" xfId="1213"/>
    <cellStyle name="Percent 2 3 3 6" xfId="976"/>
    <cellStyle name="Percent 2 3 4" xfId="652"/>
    <cellStyle name="Percent 2 3 4 2" xfId="831"/>
    <cellStyle name="Percent 2 3 4 2 2" xfId="1162"/>
    <cellStyle name="Percent 2 3 4 2 2 2" xfId="1395"/>
    <cellStyle name="Percent 2 3 4 2 3" xfId="1279"/>
    <cellStyle name="Percent 2 3 4 2 4" xfId="1043"/>
    <cellStyle name="Percent 2 3 4 3" xfId="901"/>
    <cellStyle name="Percent 2 3 4 3 2" xfId="1339"/>
    <cellStyle name="Percent 2 3 4 3 3" xfId="1106"/>
    <cellStyle name="Percent 2 3 4 4" xfId="1223"/>
    <cellStyle name="Percent 2 3 4 5" xfId="986"/>
    <cellStyle name="Percent 2 3 5" xfId="798"/>
    <cellStyle name="Percent 2 3 5 2" xfId="1132"/>
    <cellStyle name="Percent 2 3 5 2 2" xfId="1365"/>
    <cellStyle name="Percent 2 3 5 3" xfId="1249"/>
    <cellStyle name="Percent 2 3 5 4" xfId="1013"/>
    <cellStyle name="Percent 2 3 6" xfId="871"/>
    <cellStyle name="Percent 2 3 6 2" xfId="1313"/>
    <cellStyle name="Percent 2 3 6 3" xfId="1080"/>
    <cellStyle name="Percent 2 3 7" xfId="1197"/>
    <cellStyle name="Percent 2 3 8" xfId="960"/>
    <cellStyle name="Percent 2 4" xfId="1415"/>
    <cellStyle name="Percent 20" xfId="919"/>
    <cellStyle name="Percent 21" xfId="921"/>
    <cellStyle name="Percent 22" xfId="932"/>
    <cellStyle name="Percent 23" xfId="1416"/>
    <cellStyle name="Percent 24" xfId="935"/>
    <cellStyle name="Percent 25" xfId="1418"/>
    <cellStyle name="Percent 26" xfId="945"/>
    <cellStyle name="Percent 27" xfId="922"/>
    <cellStyle name="Percent 28" xfId="931"/>
    <cellStyle name="Percent 29" xfId="1420"/>
    <cellStyle name="Percent 3" xfId="559"/>
    <cellStyle name="Percent 3 2" xfId="611"/>
    <cellStyle name="Percent 3 2 2" xfId="769"/>
    <cellStyle name="Percent 3 3" xfId="635"/>
    <cellStyle name="Percent 3 4" xfId="743"/>
    <cellStyle name="Percent 30" xfId="942"/>
    <cellStyle name="Percent 31" xfId="944"/>
    <cellStyle name="Percent 32" xfId="933"/>
    <cellStyle name="Percent 33" xfId="1419"/>
    <cellStyle name="Percent 34" xfId="927"/>
    <cellStyle name="Percent 35" xfId="1417"/>
    <cellStyle name="Percent 36" xfId="1421"/>
    <cellStyle name="Percent 37" xfId="1423"/>
    <cellStyle name="Percent 38" xfId="1425"/>
    <cellStyle name="Percent 39" xfId="1427"/>
    <cellStyle name="Percent 4" xfId="612"/>
    <cellStyle name="Percent 4 2" xfId="788"/>
    <cellStyle name="Percent 40" xfId="1429"/>
    <cellStyle name="Percent 41" xfId="1431"/>
    <cellStyle name="Percent 42" xfId="1433"/>
    <cellStyle name="Percent 43" xfId="1435"/>
    <cellStyle name="Percent 44" xfId="1437"/>
    <cellStyle name="Percent 45" xfId="1439"/>
    <cellStyle name="Percent 46" xfId="1441"/>
    <cellStyle name="Percent 47" xfId="1443"/>
    <cellStyle name="Percent 48" xfId="1445"/>
    <cellStyle name="Percent 5" xfId="644"/>
    <cellStyle name="Percent 6" xfId="639"/>
    <cellStyle name="Percent 6 2" xfId="820"/>
    <cellStyle name="Percent 6 2 2" xfId="1385"/>
    <cellStyle name="Percent 6 2 3" xfId="1152"/>
    <cellStyle name="Percent 6 3" xfId="891"/>
    <cellStyle name="Percent 6 3 2" xfId="1269"/>
    <cellStyle name="Percent 6 4" xfId="1033"/>
    <cellStyle name="Percent 7" xfId="853"/>
    <cellStyle name="Percent 7 2" xfId="1066"/>
    <cellStyle name="Percent 8" xfId="854"/>
    <cellStyle name="Percent 8 2" xfId="1182"/>
    <cellStyle name="Percent 9" xfId="857"/>
    <cellStyle name="Style 23" xfId="613"/>
    <cellStyle name="Style 23 2" xfId="614"/>
    <cellStyle name="Title" xfId="560" builtinId="15" customBuiltin="1"/>
    <cellStyle name="Title 2" xfId="697"/>
    <cellStyle name="Title 2 2" xfId="946"/>
    <cellStyle name="Title 3" xfId="693"/>
    <cellStyle name="Total 10" xfId="561"/>
    <cellStyle name="Total 11" xfId="562"/>
    <cellStyle name="Total 12" xfId="563"/>
    <cellStyle name="Total 13" xfId="564"/>
    <cellStyle name="Total 14" xfId="565"/>
    <cellStyle name="Total 15" xfId="566"/>
    <cellStyle name="Total 16" xfId="694"/>
    <cellStyle name="Total 2" xfId="567"/>
    <cellStyle name="Total 2 2" xfId="714"/>
    <cellStyle name="Total 3" xfId="568"/>
    <cellStyle name="Total 4" xfId="569"/>
    <cellStyle name="Total 5" xfId="570"/>
    <cellStyle name="Total 6" xfId="571"/>
    <cellStyle name="Total 7" xfId="572"/>
    <cellStyle name="Total 8" xfId="573"/>
    <cellStyle name="Total 9" xfId="574"/>
    <cellStyle name="Warning Text 10" xfId="575"/>
    <cellStyle name="Warning Text 11" xfId="576"/>
    <cellStyle name="Warning Text 12" xfId="577"/>
    <cellStyle name="Warning Text 13" xfId="578"/>
    <cellStyle name="Warning Text 14" xfId="579"/>
    <cellStyle name="Warning Text 15" xfId="580"/>
    <cellStyle name="Warning Text 16" xfId="695"/>
    <cellStyle name="Warning Text 2" xfId="581"/>
    <cellStyle name="Warning Text 2 2" xfId="711"/>
    <cellStyle name="Warning Text 3" xfId="582"/>
    <cellStyle name="Warning Text 4" xfId="583"/>
    <cellStyle name="Warning Text 5" xfId="584"/>
    <cellStyle name="Warning Text 6" xfId="585"/>
    <cellStyle name="Warning Text 7" xfId="586"/>
    <cellStyle name="Warning Text 8" xfId="587"/>
    <cellStyle name="Warning Text 9" xfId="588"/>
  </cellStyles>
  <dxfs count="1">
    <dxf>
      <font>
        <color rgb="FFFF0000"/>
      </font>
    </dxf>
  </dxfs>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onnections" Target="connection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653356015307445E-2"/>
          <c:y val="3.5542275424528813E-2"/>
          <c:w val="0.72609264993784484"/>
          <c:h val="0.76901503668994686"/>
        </c:manualLayout>
      </c:layout>
      <c:barChart>
        <c:barDir val="col"/>
        <c:grouping val="clustered"/>
        <c:varyColors val="0"/>
        <c:ser>
          <c:idx val="2"/>
          <c:order val="0"/>
          <c:tx>
            <c:strRef>
              <c:f>'6. WS Regression Analysis'!$V$58</c:f>
              <c:strCache>
                <c:ptCount val="1"/>
                <c:pt idx="0">
                  <c:v>kWh Purchased</c:v>
                </c:pt>
              </c:strCache>
            </c:strRef>
          </c:tx>
          <c:invertIfNegative val="0"/>
          <c:cat>
            <c:numRef>
              <c:f>'6. WS Regression Analysis'!$U$59:$U$68</c:f>
              <c:numCache>
                <c:formatCode>@</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'6. WS Regression Analysis'!$V$59:$V$68</c:f>
              <c:numCache>
                <c:formatCode>_(* #,##0.00_);_(* \(#,##0.00\);_(* "-"??_);_(@_)</c:formatCode>
                <c:ptCount val="10"/>
                <c:pt idx="0">
                  <c:v>209871328.75141218</c:v>
                </c:pt>
                <c:pt idx="1">
                  <c:v>203367791.46020103</c:v>
                </c:pt>
                <c:pt idx="2">
                  <c:v>205302856.46000004</c:v>
                </c:pt>
                <c:pt idx="3">
                  <c:v>194146899.85907778</c:v>
                </c:pt>
                <c:pt idx="4">
                  <c:v>201115656.45999998</c:v>
                </c:pt>
                <c:pt idx="5">
                  <c:v>197081317.46300003</c:v>
                </c:pt>
                <c:pt idx="6">
                  <c:v>199623009.43799999</c:v>
                </c:pt>
                <c:pt idx="7">
                  <c:v>194771161.25000003</c:v>
                </c:pt>
                <c:pt idx="8">
                  <c:v>198259056.0149</c:v>
                </c:pt>
                <c:pt idx="9">
                  <c:v>191637148.35999998</c:v>
                </c:pt>
              </c:numCache>
            </c:numRef>
          </c:val>
        </c:ser>
        <c:ser>
          <c:idx val="0"/>
          <c:order val="1"/>
          <c:tx>
            <c:strRef>
              <c:f>'6. WS Regression Analysis'!$W$58</c:f>
              <c:strCache>
                <c:ptCount val="1"/>
                <c:pt idx="0">
                  <c:v>Adjusted</c:v>
                </c:pt>
              </c:strCache>
            </c:strRef>
          </c:tx>
          <c:invertIfNegative val="0"/>
          <c:cat>
            <c:numRef>
              <c:f>'6. WS Regression Analysis'!$U$59:$U$68</c:f>
              <c:numCache>
                <c:formatCode>@</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'6. WS Regression Analysis'!$W$59:$W$68</c:f>
              <c:numCache>
                <c:formatCode>_(* #,##0.00_);_(* \(#,##0.00\);_(* "-"??_);_(@_)</c:formatCode>
                <c:ptCount val="10"/>
                <c:pt idx="0">
                  <c:v>203293901.55999801</c:v>
                </c:pt>
                <c:pt idx="1">
                  <c:v>197705360.17346084</c:v>
                </c:pt>
                <c:pt idx="2">
                  <c:v>200129976.47693971</c:v>
                </c:pt>
                <c:pt idx="3">
                  <c:v>199499870.71552044</c:v>
                </c:pt>
                <c:pt idx="4">
                  <c:v>198852587.20216557</c:v>
                </c:pt>
                <c:pt idx="5">
                  <c:v>199110325.82630143</c:v>
                </c:pt>
                <c:pt idx="6">
                  <c:v>197163923.49149352</c:v>
                </c:pt>
                <c:pt idx="7">
                  <c:v>200033688.73731855</c:v>
                </c:pt>
                <c:pt idx="8">
                  <c:v>199265600.47060758</c:v>
                </c:pt>
                <c:pt idx="9">
                  <c:v>200120990.86278558</c:v>
                </c:pt>
              </c:numCache>
            </c:numRef>
          </c:val>
        </c:ser>
        <c:dLbls>
          <c:showLegendKey val="0"/>
          <c:showVal val="0"/>
          <c:showCatName val="0"/>
          <c:showSerName val="0"/>
          <c:showPercent val="0"/>
          <c:showBubbleSize val="0"/>
        </c:dLbls>
        <c:gapWidth val="150"/>
        <c:axId val="525052592"/>
        <c:axId val="525059648"/>
      </c:barChart>
      <c:dateAx>
        <c:axId val="525052592"/>
        <c:scaling>
          <c:orientation val="minMax"/>
        </c:scaling>
        <c:delete val="0"/>
        <c:axPos val="b"/>
        <c:title>
          <c:tx>
            <c:rich>
              <a:bodyPr/>
              <a:lstStyle/>
              <a:p>
                <a:pPr>
                  <a:defRPr/>
                </a:pPr>
                <a:r>
                  <a:rPr lang="en-US"/>
                  <a:t>Year</a:t>
                </a:r>
              </a:p>
            </c:rich>
          </c:tx>
          <c:overlay val="0"/>
        </c:title>
        <c:numFmt formatCode="@" sourceLinked="1"/>
        <c:majorTickMark val="out"/>
        <c:minorTickMark val="none"/>
        <c:tickLblPos val="nextTo"/>
        <c:crossAx val="525059648"/>
        <c:crosses val="autoZero"/>
        <c:auto val="0"/>
        <c:lblOffset val="100"/>
        <c:baseTimeUnit val="days"/>
      </c:dateAx>
      <c:valAx>
        <c:axId val="525059648"/>
        <c:scaling>
          <c:orientation val="minMax"/>
          <c:min val="0"/>
        </c:scaling>
        <c:delete val="0"/>
        <c:axPos val="l"/>
        <c:majorGridlines/>
        <c:title>
          <c:tx>
            <c:rich>
              <a:bodyPr rot="0" vert="horz"/>
              <a:lstStyle/>
              <a:p>
                <a:pPr>
                  <a:defRPr/>
                </a:pPr>
                <a:r>
                  <a:rPr lang="en-US"/>
                  <a:t>kWh</a:t>
                </a:r>
              </a:p>
            </c:rich>
          </c:tx>
          <c:layout>
            <c:manualLayout>
              <c:xMode val="edge"/>
              <c:yMode val="edge"/>
              <c:x val="1.2783576388157308E-2"/>
              <c:y val="0.21644031263651128"/>
            </c:manualLayout>
          </c:layout>
          <c:overlay val="0"/>
        </c:title>
        <c:numFmt formatCode="#,##0" sourceLinked="0"/>
        <c:majorTickMark val="out"/>
        <c:minorTickMark val="none"/>
        <c:tickLblPos val="nextTo"/>
        <c:crossAx val="525052592"/>
        <c:crossesAt val="1"/>
        <c:crossBetween val="between"/>
        <c:dispUnits>
          <c:builtInUnit val="millions"/>
          <c:dispUnitsLbl/>
        </c:dispUnits>
      </c:valAx>
      <c:spPr>
        <a:noFill/>
        <a:ln w="25400">
          <a:noFill/>
        </a:ln>
      </c:spPr>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631</xdr:colOff>
      <xdr:row>7</xdr:row>
      <xdr:rowOff>28575</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83</xdr:row>
      <xdr:rowOff>66675</xdr:rowOff>
    </xdr:from>
    <xdr:to>
      <xdr:col>9</xdr:col>
      <xdr:colOff>247650</xdr:colOff>
      <xdr:row>83</xdr:row>
      <xdr:rowOff>371475</xdr:rowOff>
    </xdr:to>
    <xdr:sp macro="" textlink="">
      <xdr:nvSpPr>
        <xdr:cNvPr id="2" name="Right Brace 1"/>
        <xdr:cNvSpPr/>
      </xdr:nvSpPr>
      <xdr:spPr>
        <a:xfrm>
          <a:off x="13535025" y="22555200"/>
          <a:ext cx="114300" cy="3048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562606</xdr:colOff>
      <xdr:row>7</xdr:row>
      <xdr:rowOff>28575</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114300</xdr:colOff>
      <xdr:row>13</xdr:row>
      <xdr:rowOff>9525</xdr:rowOff>
    </xdr:from>
    <xdr:to>
      <xdr:col>4</xdr:col>
      <xdr:colOff>209550</xdr:colOff>
      <xdr:row>16</xdr:row>
      <xdr:rowOff>123825</xdr:rowOff>
    </xdr:to>
    <xdr:sp macro="" textlink="">
      <xdr:nvSpPr>
        <xdr:cNvPr id="2" name="Right Brace 1"/>
        <xdr:cNvSpPr/>
      </xdr:nvSpPr>
      <xdr:spPr>
        <a:xfrm>
          <a:off x="7696200" y="1676400"/>
          <a:ext cx="95250" cy="6000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4</xdr:col>
      <xdr:colOff>76201</xdr:colOff>
      <xdr:row>16</xdr:row>
      <xdr:rowOff>161926</xdr:rowOff>
    </xdr:from>
    <xdr:to>
      <xdr:col>4</xdr:col>
      <xdr:colOff>190501</xdr:colOff>
      <xdr:row>19</xdr:row>
      <xdr:rowOff>152401</xdr:rowOff>
    </xdr:to>
    <xdr:sp macro="" textlink="">
      <xdr:nvSpPr>
        <xdr:cNvPr id="3" name="Right Brace 2"/>
        <xdr:cNvSpPr/>
      </xdr:nvSpPr>
      <xdr:spPr>
        <a:xfrm>
          <a:off x="7658101" y="2333626"/>
          <a:ext cx="114300" cy="4953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5" name="Picture 4"/>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409575</xdr:colOff>
      <xdr:row>12</xdr:row>
      <xdr:rowOff>47625</xdr:rowOff>
    </xdr:from>
    <xdr:to>
      <xdr:col>0</xdr:col>
      <xdr:colOff>552450</xdr:colOff>
      <xdr:row>12</xdr:row>
      <xdr:rowOff>180975</xdr:rowOff>
    </xdr:to>
    <xdr:sp macro="" textlink="">
      <xdr:nvSpPr>
        <xdr:cNvPr id="2" name="Isosceles Triangle 1"/>
        <xdr:cNvSpPr/>
      </xdr:nvSpPr>
      <xdr:spPr>
        <a:xfrm>
          <a:off x="409575" y="2162175"/>
          <a:ext cx="142875" cy="1333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0</xdr:col>
      <xdr:colOff>390525</xdr:colOff>
      <xdr:row>14</xdr:row>
      <xdr:rowOff>132848</xdr:rowOff>
    </xdr:from>
    <xdr:to>
      <xdr:col>0</xdr:col>
      <xdr:colOff>542925</xdr:colOff>
      <xdr:row>15</xdr:row>
      <xdr:rowOff>85223</xdr:rowOff>
    </xdr:to>
    <xdr:sp macro="" textlink="">
      <xdr:nvSpPr>
        <xdr:cNvPr id="3" name="Oval 2"/>
        <xdr:cNvSpPr/>
      </xdr:nvSpPr>
      <xdr:spPr>
        <a:xfrm>
          <a:off x="390525" y="2618873"/>
          <a:ext cx="152400" cy="133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0</xdr:col>
      <xdr:colOff>413586</xdr:colOff>
      <xdr:row>13</xdr:row>
      <xdr:rowOff>101767</xdr:rowOff>
    </xdr:from>
    <xdr:to>
      <xdr:col>0</xdr:col>
      <xdr:colOff>543928</xdr:colOff>
      <xdr:row>14</xdr:row>
      <xdr:rowOff>46121</xdr:rowOff>
    </xdr:to>
    <xdr:sp macro="" textlink="">
      <xdr:nvSpPr>
        <xdr:cNvPr id="4" name="Rectangle 3"/>
        <xdr:cNvSpPr/>
      </xdr:nvSpPr>
      <xdr:spPr>
        <a:xfrm>
          <a:off x="413586" y="2406817"/>
          <a:ext cx="130342" cy="1253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xdr:col>
      <xdr:colOff>320385</xdr:colOff>
      <xdr:row>23</xdr:row>
      <xdr:rowOff>7056</xdr:rowOff>
    </xdr:from>
    <xdr:to>
      <xdr:col>3</xdr:col>
      <xdr:colOff>458610</xdr:colOff>
      <xdr:row>23</xdr:row>
      <xdr:rowOff>151308</xdr:rowOff>
    </xdr:to>
    <xdr:sp macro="" textlink="">
      <xdr:nvSpPr>
        <xdr:cNvPr id="5" name="Rectangle 4"/>
        <xdr:cNvSpPr/>
      </xdr:nvSpPr>
      <xdr:spPr>
        <a:xfrm>
          <a:off x="1816163" y="2310695"/>
          <a:ext cx="138225" cy="14425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5</xdr:col>
      <xdr:colOff>346363</xdr:colOff>
      <xdr:row>23</xdr:row>
      <xdr:rowOff>6735</xdr:rowOff>
    </xdr:from>
    <xdr:to>
      <xdr:col>5</xdr:col>
      <xdr:colOff>486832</xdr:colOff>
      <xdr:row>23</xdr:row>
      <xdr:rowOff>151694</xdr:rowOff>
    </xdr:to>
    <xdr:sp macro="" textlink="">
      <xdr:nvSpPr>
        <xdr:cNvPr id="6" name="Rectangle 5"/>
        <xdr:cNvSpPr/>
      </xdr:nvSpPr>
      <xdr:spPr>
        <a:xfrm>
          <a:off x="3464919" y="2310374"/>
          <a:ext cx="140469" cy="14495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11</xdr:col>
      <xdr:colOff>329045</xdr:colOff>
      <xdr:row>23</xdr:row>
      <xdr:rowOff>8659</xdr:rowOff>
    </xdr:from>
    <xdr:to>
      <xdr:col>11</xdr:col>
      <xdr:colOff>472723</xdr:colOff>
      <xdr:row>23</xdr:row>
      <xdr:rowOff>151694</xdr:rowOff>
    </xdr:to>
    <xdr:sp macro="" textlink="">
      <xdr:nvSpPr>
        <xdr:cNvPr id="7" name="Rectangle 6"/>
        <xdr:cNvSpPr/>
      </xdr:nvSpPr>
      <xdr:spPr>
        <a:xfrm>
          <a:off x="5070378" y="2312298"/>
          <a:ext cx="143678" cy="14303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12</xdr:col>
      <xdr:colOff>329045</xdr:colOff>
      <xdr:row>23</xdr:row>
      <xdr:rowOff>8659</xdr:rowOff>
    </xdr:from>
    <xdr:to>
      <xdr:col>12</xdr:col>
      <xdr:colOff>481262</xdr:colOff>
      <xdr:row>23</xdr:row>
      <xdr:rowOff>155408</xdr:rowOff>
    </xdr:to>
    <xdr:sp macro="" textlink="">
      <xdr:nvSpPr>
        <xdr:cNvPr id="8" name="Rectangle 7"/>
        <xdr:cNvSpPr/>
      </xdr:nvSpPr>
      <xdr:spPr>
        <a:xfrm>
          <a:off x="5883624" y="2304685"/>
          <a:ext cx="152217" cy="14674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17</xdr:col>
      <xdr:colOff>341231</xdr:colOff>
      <xdr:row>23</xdr:row>
      <xdr:rowOff>7056</xdr:rowOff>
    </xdr:from>
    <xdr:to>
      <xdr:col>17</xdr:col>
      <xdr:colOff>493888</xdr:colOff>
      <xdr:row>23</xdr:row>
      <xdr:rowOff>151694</xdr:rowOff>
    </xdr:to>
    <xdr:sp macro="" textlink="">
      <xdr:nvSpPr>
        <xdr:cNvPr id="9" name="Rectangle 8"/>
        <xdr:cNvSpPr/>
      </xdr:nvSpPr>
      <xdr:spPr>
        <a:xfrm>
          <a:off x="7516731" y="2310695"/>
          <a:ext cx="152657" cy="1446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18</xdr:col>
      <xdr:colOff>351495</xdr:colOff>
      <xdr:row>23</xdr:row>
      <xdr:rowOff>11866</xdr:rowOff>
    </xdr:from>
    <xdr:to>
      <xdr:col>18</xdr:col>
      <xdr:colOff>490361</xdr:colOff>
      <xdr:row>23</xdr:row>
      <xdr:rowOff>151694</xdr:rowOff>
    </xdr:to>
    <xdr:sp macro="" textlink="">
      <xdr:nvSpPr>
        <xdr:cNvPr id="10" name="Rectangle 9"/>
        <xdr:cNvSpPr/>
      </xdr:nvSpPr>
      <xdr:spPr>
        <a:xfrm>
          <a:off x="8338384" y="2315505"/>
          <a:ext cx="138866" cy="1398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14</xdr:col>
      <xdr:colOff>341231</xdr:colOff>
      <xdr:row>23</xdr:row>
      <xdr:rowOff>7056</xdr:rowOff>
    </xdr:from>
    <xdr:to>
      <xdr:col>14</xdr:col>
      <xdr:colOff>493888</xdr:colOff>
      <xdr:row>23</xdr:row>
      <xdr:rowOff>151694</xdr:rowOff>
    </xdr:to>
    <xdr:sp macro="" textlink="">
      <xdr:nvSpPr>
        <xdr:cNvPr id="12" name="Rectangle 11"/>
        <xdr:cNvSpPr/>
      </xdr:nvSpPr>
      <xdr:spPr>
        <a:xfrm>
          <a:off x="9932906" y="2312106"/>
          <a:ext cx="152657" cy="1446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15</xdr:col>
      <xdr:colOff>351495</xdr:colOff>
      <xdr:row>23</xdr:row>
      <xdr:rowOff>11866</xdr:rowOff>
    </xdr:from>
    <xdr:to>
      <xdr:col>15</xdr:col>
      <xdr:colOff>490361</xdr:colOff>
      <xdr:row>23</xdr:row>
      <xdr:rowOff>151694</xdr:rowOff>
    </xdr:to>
    <xdr:sp macro="" textlink="">
      <xdr:nvSpPr>
        <xdr:cNvPr id="13" name="Rectangle 12"/>
        <xdr:cNvSpPr/>
      </xdr:nvSpPr>
      <xdr:spPr>
        <a:xfrm>
          <a:off x="10752795" y="2316916"/>
          <a:ext cx="138866" cy="1398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20</xdr:col>
      <xdr:colOff>346363</xdr:colOff>
      <xdr:row>23</xdr:row>
      <xdr:rowOff>6735</xdr:rowOff>
    </xdr:from>
    <xdr:to>
      <xdr:col>20</xdr:col>
      <xdr:colOff>483304</xdr:colOff>
      <xdr:row>23</xdr:row>
      <xdr:rowOff>148167</xdr:rowOff>
    </xdr:to>
    <xdr:sp macro="" textlink="">
      <xdr:nvSpPr>
        <xdr:cNvPr id="16" name="Rectangle 15"/>
        <xdr:cNvSpPr/>
      </xdr:nvSpPr>
      <xdr:spPr>
        <a:xfrm>
          <a:off x="13395613"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23</xdr:col>
      <xdr:colOff>346363</xdr:colOff>
      <xdr:row>23</xdr:row>
      <xdr:rowOff>6735</xdr:rowOff>
    </xdr:from>
    <xdr:to>
      <xdr:col>23</xdr:col>
      <xdr:colOff>483304</xdr:colOff>
      <xdr:row>23</xdr:row>
      <xdr:rowOff>148167</xdr:rowOff>
    </xdr:to>
    <xdr:sp macro="" textlink="">
      <xdr:nvSpPr>
        <xdr:cNvPr id="17" name="Rectangle 16"/>
        <xdr:cNvSpPr/>
      </xdr:nvSpPr>
      <xdr:spPr>
        <a:xfrm>
          <a:off x="1510058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25</xdr:col>
      <xdr:colOff>346363</xdr:colOff>
      <xdr:row>23</xdr:row>
      <xdr:rowOff>6735</xdr:rowOff>
    </xdr:from>
    <xdr:to>
      <xdr:col>25</xdr:col>
      <xdr:colOff>483304</xdr:colOff>
      <xdr:row>23</xdr:row>
      <xdr:rowOff>148167</xdr:rowOff>
    </xdr:to>
    <xdr:sp macro="" textlink="">
      <xdr:nvSpPr>
        <xdr:cNvPr id="18" name="Rectangle 17"/>
        <xdr:cNvSpPr/>
      </xdr:nvSpPr>
      <xdr:spPr>
        <a:xfrm>
          <a:off x="16748413"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7</xdr:col>
      <xdr:colOff>346363</xdr:colOff>
      <xdr:row>23</xdr:row>
      <xdr:rowOff>6735</xdr:rowOff>
    </xdr:from>
    <xdr:to>
      <xdr:col>7</xdr:col>
      <xdr:colOff>483304</xdr:colOff>
      <xdr:row>23</xdr:row>
      <xdr:rowOff>148167</xdr:rowOff>
    </xdr:to>
    <xdr:sp macro="" textlink="">
      <xdr:nvSpPr>
        <xdr:cNvPr id="22" name="Rectangle 21"/>
        <xdr:cNvSpPr/>
      </xdr:nvSpPr>
      <xdr:spPr>
        <a:xfrm>
          <a:off x="1675793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9</xdr:col>
      <xdr:colOff>346363</xdr:colOff>
      <xdr:row>23</xdr:row>
      <xdr:rowOff>6735</xdr:rowOff>
    </xdr:from>
    <xdr:to>
      <xdr:col>9</xdr:col>
      <xdr:colOff>483304</xdr:colOff>
      <xdr:row>23</xdr:row>
      <xdr:rowOff>148167</xdr:rowOff>
    </xdr:to>
    <xdr:sp macro="" textlink="">
      <xdr:nvSpPr>
        <xdr:cNvPr id="23" name="Rectangle 22"/>
        <xdr:cNvSpPr/>
      </xdr:nvSpPr>
      <xdr:spPr>
        <a:xfrm>
          <a:off x="595658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21</xdr:col>
      <xdr:colOff>346363</xdr:colOff>
      <xdr:row>23</xdr:row>
      <xdr:rowOff>6735</xdr:rowOff>
    </xdr:from>
    <xdr:to>
      <xdr:col>21</xdr:col>
      <xdr:colOff>483304</xdr:colOff>
      <xdr:row>23</xdr:row>
      <xdr:rowOff>148167</xdr:rowOff>
    </xdr:to>
    <xdr:sp macro="" textlink="">
      <xdr:nvSpPr>
        <xdr:cNvPr id="21" name="Rectangle 20"/>
        <xdr:cNvSpPr/>
      </xdr:nvSpPr>
      <xdr:spPr>
        <a:xfrm>
          <a:off x="16691263" y="259753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20" name="Picture 19"/>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16</xdr:col>
      <xdr:colOff>104775</xdr:colOff>
      <xdr:row>31</xdr:row>
      <xdr:rowOff>133349</xdr:rowOff>
    </xdr:from>
    <xdr:to>
      <xdr:col>16</xdr:col>
      <xdr:colOff>190500</xdr:colOff>
      <xdr:row>32</xdr:row>
      <xdr:rowOff>133349</xdr:rowOff>
    </xdr:to>
    <xdr:sp macro="" textlink="">
      <xdr:nvSpPr>
        <xdr:cNvPr id="10" name="Down Arrow 9"/>
        <xdr:cNvSpPr/>
      </xdr:nvSpPr>
      <xdr:spPr>
        <a:xfrm>
          <a:off x="12830175" y="5838824"/>
          <a:ext cx="85725" cy="1619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534031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406213</xdr:colOff>
      <xdr:row>17</xdr:row>
      <xdr:rowOff>87406</xdr:rowOff>
    </xdr:from>
    <xdr:to>
      <xdr:col>2</xdr:col>
      <xdr:colOff>587188</xdr:colOff>
      <xdr:row>17</xdr:row>
      <xdr:rowOff>258856</xdr:rowOff>
    </xdr:to>
    <xdr:sp macro="" textlink="">
      <xdr:nvSpPr>
        <xdr:cNvPr id="3" name="Isosceles Triangle 2"/>
        <xdr:cNvSpPr/>
      </xdr:nvSpPr>
      <xdr:spPr>
        <a:xfrm>
          <a:off x="1907801" y="849406"/>
          <a:ext cx="180975" cy="1714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17</xdr:col>
      <xdr:colOff>428625</xdr:colOff>
      <xdr:row>17</xdr:row>
      <xdr:rowOff>104775</xdr:rowOff>
    </xdr:from>
    <xdr:to>
      <xdr:col>17</xdr:col>
      <xdr:colOff>676275</xdr:colOff>
      <xdr:row>17</xdr:row>
      <xdr:rowOff>333375</xdr:rowOff>
    </xdr:to>
    <xdr:sp macro="" textlink="">
      <xdr:nvSpPr>
        <xdr:cNvPr id="2" name="5-Point Star 1"/>
        <xdr:cNvSpPr/>
      </xdr:nvSpPr>
      <xdr:spPr>
        <a:xfrm>
          <a:off x="13420725" y="723900"/>
          <a:ext cx="247650" cy="2286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9</xdr:col>
      <xdr:colOff>95250</xdr:colOff>
      <xdr:row>18</xdr:row>
      <xdr:rowOff>302559</xdr:rowOff>
    </xdr:from>
    <xdr:to>
      <xdr:col>9</xdr:col>
      <xdr:colOff>910477</xdr:colOff>
      <xdr:row>18</xdr:row>
      <xdr:rowOff>348278</xdr:rowOff>
    </xdr:to>
    <xdr:sp macro="" textlink="">
      <xdr:nvSpPr>
        <xdr:cNvPr id="6" name="Right Arrow 5"/>
        <xdr:cNvSpPr/>
      </xdr:nvSpPr>
      <xdr:spPr>
        <a:xfrm>
          <a:off x="9058275" y="4245909"/>
          <a:ext cx="815227"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19</xdr:col>
      <xdr:colOff>571500</xdr:colOff>
      <xdr:row>79</xdr:row>
      <xdr:rowOff>85725</xdr:rowOff>
    </xdr:from>
    <xdr:to>
      <xdr:col>25</xdr:col>
      <xdr:colOff>502444</xdr:colOff>
      <xdr:row>103</xdr:row>
      <xdr:rowOff>49213</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1</xdr:row>
      <xdr:rowOff>0</xdr:rowOff>
    </xdr:from>
    <xdr:to>
      <xdr:col>1</xdr:col>
      <xdr:colOff>534031</xdr:colOff>
      <xdr:row>7</xdr:row>
      <xdr:rowOff>28575</xdr:rowOff>
    </xdr:to>
    <xdr:pic>
      <xdr:nvPicPr>
        <xdr:cNvPr id="7" name="Picture 6"/>
        <xdr:cNvPicPr>
          <a:picLocks noChangeAspect="1"/>
        </xdr:cNvPicPr>
      </xdr:nvPicPr>
      <xdr:blipFill>
        <a:blip xmlns:r="http://schemas.openxmlformats.org/officeDocument/2006/relationships" r:embed="rId2"/>
        <a:stretch>
          <a:fillRect/>
        </a:stretch>
      </xdr:blipFill>
      <xdr:spPr>
        <a:xfrm>
          <a:off x="0" y="161925"/>
          <a:ext cx="1315081" cy="10001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2</xdr:col>
      <xdr:colOff>631</xdr:colOff>
      <xdr:row>7</xdr:row>
      <xdr:rowOff>28575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173394</xdr:colOff>
      <xdr:row>30</xdr:row>
      <xdr:rowOff>34636</xdr:rowOff>
    </xdr:from>
    <xdr:to>
      <xdr:col>0</xdr:col>
      <xdr:colOff>536863</xdr:colOff>
      <xdr:row>33</xdr:row>
      <xdr:rowOff>164521</xdr:rowOff>
    </xdr:to>
    <xdr:sp macro="" textlink="">
      <xdr:nvSpPr>
        <xdr:cNvPr id="2" name="Right Brace 1"/>
        <xdr:cNvSpPr/>
      </xdr:nvSpPr>
      <xdr:spPr>
        <a:xfrm rot="10800000">
          <a:off x="173394" y="5602431"/>
          <a:ext cx="363469" cy="79663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CA"/>
        </a:p>
      </xdr:txBody>
    </xdr:sp>
    <xdr:clientData/>
  </xdr:twoCellAnchor>
  <xdr:twoCellAnchor>
    <xdr:from>
      <xdr:col>4</xdr:col>
      <xdr:colOff>180108</xdr:colOff>
      <xdr:row>33</xdr:row>
      <xdr:rowOff>0</xdr:rowOff>
    </xdr:from>
    <xdr:to>
      <xdr:col>4</xdr:col>
      <xdr:colOff>435552</xdr:colOff>
      <xdr:row>36</xdr:row>
      <xdr:rowOff>141143</xdr:rowOff>
    </xdr:to>
    <xdr:sp macro="" textlink="">
      <xdr:nvSpPr>
        <xdr:cNvPr id="3" name="Down Arrow 2"/>
        <xdr:cNvSpPr/>
      </xdr:nvSpPr>
      <xdr:spPr>
        <a:xfrm>
          <a:off x="3590058" y="69723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12</xdr:col>
      <xdr:colOff>79663</xdr:colOff>
      <xdr:row>33</xdr:row>
      <xdr:rowOff>38100</xdr:rowOff>
    </xdr:from>
    <xdr:to>
      <xdr:col>12</xdr:col>
      <xdr:colOff>344632</xdr:colOff>
      <xdr:row>36</xdr:row>
      <xdr:rowOff>161059</xdr:rowOff>
    </xdr:to>
    <xdr:sp macro="" textlink="">
      <xdr:nvSpPr>
        <xdr:cNvPr id="4" name="Down Arrow 3"/>
        <xdr:cNvSpPr/>
      </xdr:nvSpPr>
      <xdr:spPr>
        <a:xfrm>
          <a:off x="9680863" y="7010400"/>
          <a:ext cx="264969" cy="60873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20</xdr:col>
      <xdr:colOff>166253</xdr:colOff>
      <xdr:row>33</xdr:row>
      <xdr:rowOff>47624</xdr:rowOff>
    </xdr:from>
    <xdr:to>
      <xdr:col>20</xdr:col>
      <xdr:colOff>431222</xdr:colOff>
      <xdr:row>37</xdr:row>
      <xdr:rowOff>19915</xdr:rowOff>
    </xdr:to>
    <xdr:sp macro="" textlink="">
      <xdr:nvSpPr>
        <xdr:cNvPr id="5" name="Down Arrow 4"/>
        <xdr:cNvSpPr/>
      </xdr:nvSpPr>
      <xdr:spPr>
        <a:xfrm>
          <a:off x="15949178" y="7019924"/>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4</xdr:col>
      <xdr:colOff>247650</xdr:colOff>
      <xdr:row>19</xdr:row>
      <xdr:rowOff>76200</xdr:rowOff>
    </xdr:from>
    <xdr:to>
      <xdr:col>4</xdr:col>
      <xdr:colOff>495300</xdr:colOff>
      <xdr:row>19</xdr:row>
      <xdr:rowOff>238125</xdr:rowOff>
    </xdr:to>
    <xdr:sp macro="" textlink="">
      <xdr:nvSpPr>
        <xdr:cNvPr id="6" name="5-Point Star 5"/>
        <xdr:cNvSpPr/>
      </xdr:nvSpPr>
      <xdr:spPr>
        <a:xfrm>
          <a:off x="3657600" y="4143375"/>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12</xdr:col>
      <xdr:colOff>209550</xdr:colOff>
      <xdr:row>19</xdr:row>
      <xdr:rowOff>104775</xdr:rowOff>
    </xdr:from>
    <xdr:to>
      <xdr:col>12</xdr:col>
      <xdr:colOff>457200</xdr:colOff>
      <xdr:row>19</xdr:row>
      <xdr:rowOff>257175</xdr:rowOff>
    </xdr:to>
    <xdr:sp macro="" textlink="">
      <xdr:nvSpPr>
        <xdr:cNvPr id="7" name="5-Point Star 6"/>
        <xdr:cNvSpPr/>
      </xdr:nvSpPr>
      <xdr:spPr>
        <a:xfrm>
          <a:off x="9810750" y="4171950"/>
          <a:ext cx="247650" cy="1524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20</xdr:col>
      <xdr:colOff>228600</xdr:colOff>
      <xdr:row>19</xdr:row>
      <xdr:rowOff>114300</xdr:rowOff>
    </xdr:from>
    <xdr:to>
      <xdr:col>20</xdr:col>
      <xdr:colOff>476250</xdr:colOff>
      <xdr:row>19</xdr:row>
      <xdr:rowOff>276225</xdr:rowOff>
    </xdr:to>
    <xdr:sp macro="" textlink="">
      <xdr:nvSpPr>
        <xdr:cNvPr id="8" name="5-Point Star 7"/>
        <xdr:cNvSpPr/>
      </xdr:nvSpPr>
      <xdr:spPr>
        <a:xfrm>
          <a:off x="16011525" y="4181475"/>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xdr:col>
      <xdr:colOff>323850</xdr:colOff>
      <xdr:row>19</xdr:row>
      <xdr:rowOff>104774</xdr:rowOff>
    </xdr:from>
    <xdr:to>
      <xdr:col>2</xdr:col>
      <xdr:colOff>523875</xdr:colOff>
      <xdr:row>19</xdr:row>
      <xdr:rowOff>247649</xdr:rowOff>
    </xdr:to>
    <xdr:sp macro="" textlink="">
      <xdr:nvSpPr>
        <xdr:cNvPr id="10" name="Rectangle 9"/>
        <xdr:cNvSpPr/>
      </xdr:nvSpPr>
      <xdr:spPr>
        <a:xfrm>
          <a:off x="1962150" y="4171949"/>
          <a:ext cx="200025" cy="1428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10</xdr:col>
      <xdr:colOff>323850</xdr:colOff>
      <xdr:row>19</xdr:row>
      <xdr:rowOff>133350</xdr:rowOff>
    </xdr:from>
    <xdr:to>
      <xdr:col>10</xdr:col>
      <xdr:colOff>523875</xdr:colOff>
      <xdr:row>19</xdr:row>
      <xdr:rowOff>266700</xdr:rowOff>
    </xdr:to>
    <xdr:sp macro="" textlink="">
      <xdr:nvSpPr>
        <xdr:cNvPr id="11" name="Rectangle 10"/>
        <xdr:cNvSpPr/>
      </xdr:nvSpPr>
      <xdr:spPr>
        <a:xfrm>
          <a:off x="8210550" y="4200525"/>
          <a:ext cx="200025" cy="1333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18</xdr:col>
      <xdr:colOff>314325</xdr:colOff>
      <xdr:row>19</xdr:row>
      <xdr:rowOff>133350</xdr:rowOff>
    </xdr:from>
    <xdr:to>
      <xdr:col>18</xdr:col>
      <xdr:colOff>514350</xdr:colOff>
      <xdr:row>19</xdr:row>
      <xdr:rowOff>257175</xdr:rowOff>
    </xdr:to>
    <xdr:sp macro="" textlink="">
      <xdr:nvSpPr>
        <xdr:cNvPr id="12" name="Rectangle 11"/>
        <xdr:cNvSpPr/>
      </xdr:nvSpPr>
      <xdr:spPr>
        <a:xfrm>
          <a:off x="14382750" y="4200525"/>
          <a:ext cx="200025" cy="123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19</xdr:col>
      <xdr:colOff>295275</xdr:colOff>
      <xdr:row>19</xdr:row>
      <xdr:rowOff>133349</xdr:rowOff>
    </xdr:from>
    <xdr:to>
      <xdr:col>19</xdr:col>
      <xdr:colOff>495300</xdr:colOff>
      <xdr:row>19</xdr:row>
      <xdr:rowOff>257174</xdr:rowOff>
    </xdr:to>
    <xdr:sp macro="" textlink="">
      <xdr:nvSpPr>
        <xdr:cNvPr id="13" name="Isosceles Triangle 12"/>
        <xdr:cNvSpPr/>
      </xdr:nvSpPr>
      <xdr:spPr>
        <a:xfrm>
          <a:off x="15220950" y="4200524"/>
          <a:ext cx="200025" cy="1238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11</xdr:col>
      <xdr:colOff>276225</xdr:colOff>
      <xdr:row>19</xdr:row>
      <xdr:rowOff>114300</xdr:rowOff>
    </xdr:from>
    <xdr:to>
      <xdr:col>11</xdr:col>
      <xdr:colOff>514350</xdr:colOff>
      <xdr:row>19</xdr:row>
      <xdr:rowOff>276225</xdr:rowOff>
    </xdr:to>
    <xdr:sp macro="" textlink="">
      <xdr:nvSpPr>
        <xdr:cNvPr id="14" name="Isosceles Triangle 13"/>
        <xdr:cNvSpPr/>
      </xdr:nvSpPr>
      <xdr:spPr>
        <a:xfrm>
          <a:off x="9020175" y="4181475"/>
          <a:ext cx="238125" cy="1619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xdr:col>
      <xdr:colOff>295275</xdr:colOff>
      <xdr:row>19</xdr:row>
      <xdr:rowOff>85725</xdr:rowOff>
    </xdr:from>
    <xdr:to>
      <xdr:col>3</xdr:col>
      <xdr:colOff>523875</xdr:colOff>
      <xdr:row>19</xdr:row>
      <xdr:rowOff>257175</xdr:rowOff>
    </xdr:to>
    <xdr:sp macro="" textlink="">
      <xdr:nvSpPr>
        <xdr:cNvPr id="15" name="Isosceles Triangle 14"/>
        <xdr:cNvSpPr/>
      </xdr:nvSpPr>
      <xdr:spPr>
        <a:xfrm>
          <a:off x="2847975" y="4152900"/>
          <a:ext cx="228600" cy="1714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28</xdr:col>
      <xdr:colOff>147203</xdr:colOff>
      <xdr:row>33</xdr:row>
      <xdr:rowOff>38099</xdr:rowOff>
    </xdr:from>
    <xdr:to>
      <xdr:col>28</xdr:col>
      <xdr:colOff>412172</xdr:colOff>
      <xdr:row>37</xdr:row>
      <xdr:rowOff>10390</xdr:rowOff>
    </xdr:to>
    <xdr:sp macro="" textlink="">
      <xdr:nvSpPr>
        <xdr:cNvPr id="16" name="Down Arrow 15"/>
        <xdr:cNvSpPr/>
      </xdr:nvSpPr>
      <xdr:spPr>
        <a:xfrm>
          <a:off x="22102328" y="7010399"/>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28</xdr:col>
      <xdr:colOff>247650</xdr:colOff>
      <xdr:row>19</xdr:row>
      <xdr:rowOff>85725</xdr:rowOff>
    </xdr:from>
    <xdr:to>
      <xdr:col>28</xdr:col>
      <xdr:colOff>495300</xdr:colOff>
      <xdr:row>19</xdr:row>
      <xdr:rowOff>247650</xdr:rowOff>
    </xdr:to>
    <xdr:sp macro="" textlink="">
      <xdr:nvSpPr>
        <xdr:cNvPr id="17" name="5-Point Star 16"/>
        <xdr:cNvSpPr/>
      </xdr:nvSpPr>
      <xdr:spPr>
        <a:xfrm>
          <a:off x="22202775" y="4152900"/>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26</xdr:col>
      <xdr:colOff>304800</xdr:colOff>
      <xdr:row>19</xdr:row>
      <xdr:rowOff>114300</xdr:rowOff>
    </xdr:from>
    <xdr:to>
      <xdr:col>26</xdr:col>
      <xdr:colOff>504825</xdr:colOff>
      <xdr:row>19</xdr:row>
      <xdr:rowOff>238125</xdr:rowOff>
    </xdr:to>
    <xdr:sp macro="" textlink="">
      <xdr:nvSpPr>
        <xdr:cNvPr id="18" name="Rectangle 17"/>
        <xdr:cNvSpPr/>
      </xdr:nvSpPr>
      <xdr:spPr>
        <a:xfrm>
          <a:off x="20545425" y="4181475"/>
          <a:ext cx="200025" cy="123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27</xdr:col>
      <xdr:colOff>295275</xdr:colOff>
      <xdr:row>19</xdr:row>
      <xdr:rowOff>114299</xdr:rowOff>
    </xdr:from>
    <xdr:to>
      <xdr:col>27</xdr:col>
      <xdr:colOff>495300</xdr:colOff>
      <xdr:row>19</xdr:row>
      <xdr:rowOff>238124</xdr:rowOff>
    </xdr:to>
    <xdr:sp macro="" textlink="">
      <xdr:nvSpPr>
        <xdr:cNvPr id="19" name="Isosceles Triangle 18"/>
        <xdr:cNvSpPr/>
      </xdr:nvSpPr>
      <xdr:spPr>
        <a:xfrm>
          <a:off x="21393150" y="4181474"/>
          <a:ext cx="200025" cy="1238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36</xdr:col>
      <xdr:colOff>147203</xdr:colOff>
      <xdr:row>33</xdr:row>
      <xdr:rowOff>28574</xdr:rowOff>
    </xdr:from>
    <xdr:to>
      <xdr:col>36</xdr:col>
      <xdr:colOff>412172</xdr:colOff>
      <xdr:row>37</xdr:row>
      <xdr:rowOff>865</xdr:rowOff>
    </xdr:to>
    <xdr:sp macro="" textlink="">
      <xdr:nvSpPr>
        <xdr:cNvPr id="23" name="Down Arrow 22"/>
        <xdr:cNvSpPr/>
      </xdr:nvSpPr>
      <xdr:spPr>
        <a:xfrm>
          <a:off x="28265003" y="7000874"/>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36</xdr:col>
      <xdr:colOff>247650</xdr:colOff>
      <xdr:row>19</xdr:row>
      <xdr:rowOff>76200</xdr:rowOff>
    </xdr:from>
    <xdr:to>
      <xdr:col>36</xdr:col>
      <xdr:colOff>495300</xdr:colOff>
      <xdr:row>19</xdr:row>
      <xdr:rowOff>238125</xdr:rowOff>
    </xdr:to>
    <xdr:sp macro="" textlink="">
      <xdr:nvSpPr>
        <xdr:cNvPr id="24" name="5-Point Star 23"/>
        <xdr:cNvSpPr/>
      </xdr:nvSpPr>
      <xdr:spPr>
        <a:xfrm>
          <a:off x="28365450" y="4143375"/>
          <a:ext cx="247650" cy="161925"/>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34</xdr:col>
      <xdr:colOff>276225</xdr:colOff>
      <xdr:row>19</xdr:row>
      <xdr:rowOff>95250</xdr:rowOff>
    </xdr:from>
    <xdr:to>
      <xdr:col>34</xdr:col>
      <xdr:colOff>476250</xdr:colOff>
      <xdr:row>19</xdr:row>
      <xdr:rowOff>219075</xdr:rowOff>
    </xdr:to>
    <xdr:sp macro="" textlink="">
      <xdr:nvSpPr>
        <xdr:cNvPr id="25" name="Rectangle 24"/>
        <xdr:cNvSpPr/>
      </xdr:nvSpPr>
      <xdr:spPr>
        <a:xfrm>
          <a:off x="26679525" y="4162425"/>
          <a:ext cx="200025" cy="1238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35</xdr:col>
      <xdr:colOff>257175</xdr:colOff>
      <xdr:row>19</xdr:row>
      <xdr:rowOff>85724</xdr:rowOff>
    </xdr:from>
    <xdr:to>
      <xdr:col>35</xdr:col>
      <xdr:colOff>457200</xdr:colOff>
      <xdr:row>19</xdr:row>
      <xdr:rowOff>209549</xdr:rowOff>
    </xdr:to>
    <xdr:sp macro="" textlink="">
      <xdr:nvSpPr>
        <xdr:cNvPr id="26" name="Isosceles Triangle 25"/>
        <xdr:cNvSpPr/>
      </xdr:nvSpPr>
      <xdr:spPr>
        <a:xfrm>
          <a:off x="27517725" y="4152899"/>
          <a:ext cx="200025" cy="12382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28" name="Picture 27"/>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5</xdr:col>
      <xdr:colOff>484908</xdr:colOff>
      <xdr:row>41</xdr:row>
      <xdr:rowOff>66675</xdr:rowOff>
    </xdr:from>
    <xdr:to>
      <xdr:col>5</xdr:col>
      <xdr:colOff>740352</xdr:colOff>
      <xdr:row>45</xdr:row>
      <xdr:rowOff>45893</xdr:rowOff>
    </xdr:to>
    <xdr:sp macro="" textlink="">
      <xdr:nvSpPr>
        <xdr:cNvPr id="8" name="Down Arrow 7"/>
        <xdr:cNvSpPr/>
      </xdr:nvSpPr>
      <xdr:spPr>
        <a:xfrm>
          <a:off x="4733058" y="7515225"/>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16</xdr:col>
      <xdr:colOff>837333</xdr:colOff>
      <xdr:row>41</xdr:row>
      <xdr:rowOff>57150</xdr:rowOff>
    </xdr:from>
    <xdr:to>
      <xdr:col>17</xdr:col>
      <xdr:colOff>226002</xdr:colOff>
      <xdr:row>45</xdr:row>
      <xdr:rowOff>36368</xdr:rowOff>
    </xdr:to>
    <xdr:sp macro="" textlink="">
      <xdr:nvSpPr>
        <xdr:cNvPr id="9" name="Down Arrow 8"/>
        <xdr:cNvSpPr/>
      </xdr:nvSpPr>
      <xdr:spPr>
        <a:xfrm>
          <a:off x="13781808" y="75057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26</xdr:col>
      <xdr:colOff>770658</xdr:colOff>
      <xdr:row>41</xdr:row>
      <xdr:rowOff>76200</xdr:rowOff>
    </xdr:from>
    <xdr:to>
      <xdr:col>27</xdr:col>
      <xdr:colOff>159327</xdr:colOff>
      <xdr:row>45</xdr:row>
      <xdr:rowOff>55418</xdr:rowOff>
    </xdr:to>
    <xdr:sp macro="" textlink="">
      <xdr:nvSpPr>
        <xdr:cNvPr id="10" name="Down Arrow 9"/>
        <xdr:cNvSpPr/>
      </xdr:nvSpPr>
      <xdr:spPr>
        <a:xfrm>
          <a:off x="21763758" y="752475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37</xdr:col>
      <xdr:colOff>65808</xdr:colOff>
      <xdr:row>41</xdr:row>
      <xdr:rowOff>57150</xdr:rowOff>
    </xdr:from>
    <xdr:to>
      <xdr:col>37</xdr:col>
      <xdr:colOff>321252</xdr:colOff>
      <xdr:row>45</xdr:row>
      <xdr:rowOff>36368</xdr:rowOff>
    </xdr:to>
    <xdr:sp macro="" textlink="">
      <xdr:nvSpPr>
        <xdr:cNvPr id="11" name="Down Arrow 10"/>
        <xdr:cNvSpPr/>
      </xdr:nvSpPr>
      <xdr:spPr>
        <a:xfrm>
          <a:off x="29707608" y="750570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46</xdr:col>
      <xdr:colOff>799233</xdr:colOff>
      <xdr:row>41</xdr:row>
      <xdr:rowOff>76200</xdr:rowOff>
    </xdr:from>
    <xdr:to>
      <xdr:col>47</xdr:col>
      <xdr:colOff>187902</xdr:colOff>
      <xdr:row>45</xdr:row>
      <xdr:rowOff>55418</xdr:rowOff>
    </xdr:to>
    <xdr:sp macro="" textlink="">
      <xdr:nvSpPr>
        <xdr:cNvPr id="12" name="Down Arrow 11"/>
        <xdr:cNvSpPr/>
      </xdr:nvSpPr>
      <xdr:spPr>
        <a:xfrm>
          <a:off x="37861008" y="752475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editAs="oneCell">
    <xdr:from>
      <xdr:col>0</xdr:col>
      <xdr:colOff>0</xdr:colOff>
      <xdr:row>1</xdr:row>
      <xdr:rowOff>0</xdr:rowOff>
    </xdr:from>
    <xdr:to>
      <xdr:col>1</xdr:col>
      <xdr:colOff>534031</xdr:colOff>
      <xdr:row>7</xdr:row>
      <xdr:rowOff>28575</xdr:rowOff>
    </xdr:to>
    <xdr:pic>
      <xdr:nvPicPr>
        <xdr:cNvPr id="15" name="Picture 14"/>
        <xdr:cNvPicPr>
          <a:picLocks noChangeAspect="1"/>
        </xdr:cNvPicPr>
      </xdr:nvPicPr>
      <xdr:blipFill>
        <a:blip xmlns:r="http://schemas.openxmlformats.org/officeDocument/2006/relationships" r:embed="rId1"/>
        <a:stretch>
          <a:fillRect/>
        </a:stretch>
      </xdr:blipFill>
      <xdr:spPr>
        <a:xfrm>
          <a:off x="0" y="161925"/>
          <a:ext cx="1315081" cy="10001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2.%20TESI%20CODES%20&amp;%20POLICIES\Minimum%20Filing%20Requirements\2015%20Minimum%20Filing%20Requirements\2015_Filing_Requirements_Chapter2_Appendic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_MIFRS Summary Impacts"/>
      <sheetName val="App. 2-Z_Tariff"/>
      <sheetName val="lists"/>
      <sheetName val="lists2"/>
      <sheetName val="Sheet19"/>
      <sheetName val="Sheet1"/>
    </sheetNames>
    <sheetDataSet>
      <sheetData sheetId="0">
        <row r="16">
          <cell r="E16">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AB34"/>
  <sheetViews>
    <sheetView showGridLines="0" workbookViewId="0">
      <selection activeCell="F26" sqref="F26"/>
    </sheetView>
  </sheetViews>
  <sheetFormatPr defaultRowHeight="12.75" x14ac:dyDescent="0.2"/>
  <cols>
    <col min="1" max="1" width="13.6640625" style="1" customWidth="1"/>
    <col min="2" max="16384" width="9.33203125" style="1"/>
  </cols>
  <sheetData>
    <row r="1" spans="1:28" s="536" customFormat="1" x14ac:dyDescent="0.2">
      <c r="A1" s="758" t="s">
        <v>272</v>
      </c>
      <c r="B1" s="758"/>
    </row>
    <row r="2" spans="1:28" s="536" customFormat="1" x14ac:dyDescent="0.2"/>
    <row r="3" spans="1:28" s="536" customFormat="1" x14ac:dyDescent="0.2"/>
    <row r="4" spans="1:28" s="536" customFormat="1" x14ac:dyDescent="0.2"/>
    <row r="5" spans="1:28" s="536" customFormat="1" x14ac:dyDescent="0.2"/>
    <row r="6" spans="1:28" s="536" customFormat="1" x14ac:dyDescent="0.2"/>
    <row r="7" spans="1:28" s="536" customFormat="1" x14ac:dyDescent="0.2"/>
    <row r="8" spans="1:28" s="536" customFormat="1" x14ac:dyDescent="0.2"/>
    <row r="9" spans="1:28" s="536" customFormat="1" x14ac:dyDescent="0.2"/>
    <row r="10" spans="1:28" customFormat="1" ht="12.75" customHeight="1" x14ac:dyDescent="0.2">
      <c r="B10" s="979"/>
      <c r="C10" s="979"/>
      <c r="D10" s="979"/>
      <c r="E10" s="979"/>
      <c r="F10" s="979"/>
      <c r="G10" s="979"/>
      <c r="H10" s="979"/>
      <c r="I10" s="979"/>
      <c r="J10" s="137"/>
      <c r="K10" s="137"/>
      <c r="L10" s="137"/>
      <c r="M10" s="137"/>
    </row>
    <row r="11" spans="1:28" customFormat="1" ht="23.25" x14ac:dyDescent="0.2">
      <c r="B11" s="980" t="s">
        <v>102</v>
      </c>
      <c r="C11" s="980"/>
      <c r="D11" s="980"/>
      <c r="E11" s="980"/>
      <c r="F11" s="980"/>
      <c r="G11" s="980"/>
      <c r="H11" s="980"/>
      <c r="I11" s="980"/>
      <c r="J11" s="137"/>
      <c r="K11" s="137"/>
      <c r="L11" s="137"/>
      <c r="M11" s="137"/>
    </row>
    <row r="12" spans="1:28" x14ac:dyDescent="0.2">
      <c r="M12"/>
    </row>
    <row r="13" spans="1:28" ht="15" x14ac:dyDescent="0.2">
      <c r="B13" s="155" t="s">
        <v>88</v>
      </c>
      <c r="F13" s="981" t="s">
        <v>277</v>
      </c>
      <c r="G13" s="981"/>
      <c r="H13" s="981"/>
      <c r="I13" s="981"/>
      <c r="J13" s="981"/>
      <c r="K13" s="140"/>
      <c r="L13" s="140"/>
      <c r="AB13" s="134"/>
    </row>
    <row r="14" spans="1:28" x14ac:dyDescent="0.2">
      <c r="B14" s="156"/>
      <c r="F14" s="138"/>
      <c r="G14" s="139"/>
      <c r="H14" s="138"/>
      <c r="I14" s="138"/>
      <c r="J14" s="138"/>
      <c r="K14" s="141"/>
      <c r="L14" s="141"/>
      <c r="AB14" s="134"/>
    </row>
    <row r="15" spans="1:28" ht="15" x14ac:dyDescent="0.2">
      <c r="B15" s="155" t="s">
        <v>89</v>
      </c>
      <c r="F15" s="977"/>
      <c r="G15" s="977"/>
      <c r="H15" s="977"/>
      <c r="I15" s="977"/>
      <c r="J15" s="977"/>
      <c r="K15" s="141"/>
      <c r="L15" s="141"/>
      <c r="AB15" s="134"/>
    </row>
    <row r="16" spans="1:28" x14ac:dyDescent="0.2">
      <c r="B16" s="157"/>
      <c r="F16" s="135"/>
      <c r="G16" s="135"/>
      <c r="H16" s="135"/>
      <c r="I16" s="135"/>
      <c r="J16" s="135"/>
      <c r="K16" s="135"/>
      <c r="L16" s="135"/>
      <c r="AB16" s="134"/>
    </row>
    <row r="17" spans="2:28" ht="15" x14ac:dyDescent="0.2">
      <c r="B17" s="155" t="s">
        <v>90</v>
      </c>
      <c r="F17" s="977" t="s">
        <v>278</v>
      </c>
      <c r="G17" s="977"/>
      <c r="H17" s="977"/>
      <c r="I17" s="977"/>
      <c r="J17" s="977"/>
      <c r="K17" s="135"/>
      <c r="L17" s="135"/>
      <c r="AB17" s="134"/>
    </row>
    <row r="18" spans="2:28" x14ac:dyDescent="0.2">
      <c r="B18" s="157"/>
      <c r="F18" s="135"/>
      <c r="G18" s="135"/>
      <c r="H18" s="135"/>
      <c r="I18" s="135"/>
      <c r="J18" s="135"/>
      <c r="K18" s="135"/>
      <c r="L18" s="135"/>
      <c r="AB18" s="134"/>
    </row>
    <row r="19" spans="2:28" ht="15" x14ac:dyDescent="0.2">
      <c r="B19" s="155" t="s">
        <v>91</v>
      </c>
      <c r="F19" s="977" t="s">
        <v>409</v>
      </c>
      <c r="G19" s="977"/>
      <c r="H19" s="977"/>
      <c r="I19" s="977"/>
      <c r="J19" s="977"/>
      <c r="K19" s="978"/>
      <c r="L19" s="978"/>
      <c r="AB19" s="134"/>
    </row>
    <row r="20" spans="2:28" x14ac:dyDescent="0.2">
      <c r="B20" s="156"/>
      <c r="F20" s="142"/>
      <c r="G20" s="143"/>
      <c r="H20" s="142"/>
      <c r="I20" s="142"/>
      <c r="J20" s="142"/>
      <c r="K20" s="135"/>
      <c r="L20" s="135"/>
      <c r="AB20" s="134"/>
    </row>
    <row r="21" spans="2:28" ht="15" x14ac:dyDescent="0.2">
      <c r="B21" s="155" t="s">
        <v>92</v>
      </c>
      <c r="F21" s="977"/>
      <c r="G21" s="977"/>
      <c r="H21" s="977"/>
      <c r="I21" s="977"/>
      <c r="J21" s="977"/>
      <c r="K21" s="135"/>
      <c r="L21" s="135"/>
      <c r="AB21" s="134"/>
    </row>
    <row r="22" spans="2:28" x14ac:dyDescent="0.2">
      <c r="B22" s="156"/>
      <c r="F22" s="142"/>
      <c r="G22" s="143"/>
      <c r="H22" s="142"/>
      <c r="I22" s="142"/>
      <c r="J22" s="142"/>
      <c r="K22" s="135"/>
      <c r="L22" s="135"/>
      <c r="AB22" s="134"/>
    </row>
    <row r="23" spans="2:28" ht="15" x14ac:dyDescent="0.2">
      <c r="B23" s="155" t="s">
        <v>93</v>
      </c>
      <c r="F23" s="976"/>
      <c r="G23" s="977"/>
      <c r="H23" s="977"/>
      <c r="I23" s="977"/>
      <c r="J23" s="977"/>
      <c r="K23" s="135"/>
      <c r="L23" s="135"/>
      <c r="AB23" s="134"/>
    </row>
    <row r="24" spans="2:28" x14ac:dyDescent="0.2">
      <c r="B24" s="156"/>
      <c r="F24" s="142"/>
      <c r="G24" s="143"/>
      <c r="H24" s="142"/>
      <c r="I24" s="142"/>
      <c r="J24" s="142"/>
      <c r="K24" s="135"/>
      <c r="L24" s="135"/>
      <c r="AB24" s="134"/>
    </row>
    <row r="25" spans="2:28" ht="15" x14ac:dyDescent="0.2">
      <c r="B25" s="155" t="s">
        <v>94</v>
      </c>
      <c r="F25" s="159" t="s">
        <v>85</v>
      </c>
      <c r="G25" s="160"/>
      <c r="H25" s="160"/>
      <c r="I25" s="142"/>
      <c r="J25" s="142"/>
      <c r="K25" s="135"/>
      <c r="L25" s="135"/>
      <c r="AB25" s="134"/>
    </row>
    <row r="26" spans="2:28" x14ac:dyDescent="0.2">
      <c r="B26" s="61"/>
      <c r="F26" s="58"/>
      <c r="G26" s="161"/>
      <c r="H26" s="161"/>
      <c r="AB26" s="134"/>
    </row>
    <row r="27" spans="2:28" ht="15" x14ac:dyDescent="0.2">
      <c r="B27" s="155" t="s">
        <v>95</v>
      </c>
      <c r="F27" s="159" t="s">
        <v>410</v>
      </c>
      <c r="G27" s="160"/>
      <c r="H27" s="160"/>
      <c r="AB27" s="134"/>
    </row>
    <row r="28" spans="2:28" x14ac:dyDescent="0.2">
      <c r="B28" s="158"/>
      <c r="F28" s="58"/>
      <c r="G28" s="161"/>
      <c r="H28" s="161"/>
      <c r="AB28" s="134"/>
    </row>
    <row r="29" spans="2:28" ht="15" x14ac:dyDescent="0.2">
      <c r="B29" s="155" t="s">
        <v>96</v>
      </c>
      <c r="F29" s="159" t="s">
        <v>266</v>
      </c>
      <c r="G29" s="160"/>
      <c r="H29" s="160"/>
      <c r="AB29" s="134"/>
    </row>
    <row r="30" spans="2:28" x14ac:dyDescent="0.2">
      <c r="AB30" s="134"/>
    </row>
    <row r="32" spans="2:28" x14ac:dyDescent="0.2">
      <c r="B32" s="177" t="s">
        <v>275</v>
      </c>
      <c r="D32" s="62"/>
    </row>
    <row r="33" spans="2:4" x14ac:dyDescent="0.2">
      <c r="B33" s="1" t="s">
        <v>273</v>
      </c>
      <c r="D33" s="759"/>
    </row>
    <row r="34" spans="2:4" x14ac:dyDescent="0.2">
      <c r="B34" s="1" t="s">
        <v>274</v>
      </c>
      <c r="D34" s="763"/>
    </row>
  </sheetData>
  <mergeCells count="9">
    <mergeCell ref="F23:J23"/>
    <mergeCell ref="K19:L19"/>
    <mergeCell ref="F21:J21"/>
    <mergeCell ref="B10:I10"/>
    <mergeCell ref="B11:I11"/>
    <mergeCell ref="F15:J15"/>
    <mergeCell ref="F17:J17"/>
    <mergeCell ref="F19:J19"/>
    <mergeCell ref="F13:J13"/>
  </mergeCells>
  <pageMargins left="0.7" right="0.7" top="0.75" bottom="0.75" header="0.3" footer="0.3"/>
  <pageSetup paperSize="9" orientation="portrait" horizontalDpi="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4"/>
  <sheetViews>
    <sheetView showGridLines="0" topLeftCell="A10" zoomScaleNormal="100" workbookViewId="0">
      <selection activeCell="O34" sqref="O34:P34"/>
    </sheetView>
  </sheetViews>
  <sheetFormatPr defaultColWidth="10.5" defaultRowHeight="12.75" x14ac:dyDescent="0.2"/>
  <cols>
    <col min="1" max="1" width="13.6640625" style="1" customWidth="1"/>
    <col min="2" max="2" width="50.1640625" style="1" customWidth="1"/>
    <col min="3" max="3" width="50.1640625" style="1" hidden="1" customWidth="1"/>
    <col min="4" max="4" width="12.5" style="1" bestFit="1" customWidth="1"/>
    <col min="5" max="5" width="18" style="1" bestFit="1" customWidth="1"/>
    <col min="6" max="16" width="16.33203125" style="1" bestFit="1" customWidth="1"/>
    <col min="17" max="18" width="10.5" style="1"/>
    <col min="19" max="20" width="1.83203125" style="1" bestFit="1" customWidth="1"/>
    <col min="21" max="16384" width="10.5" style="1"/>
  </cols>
  <sheetData>
    <row r="1" spans="1:16" s="536" customFormat="1" x14ac:dyDescent="0.2">
      <c r="A1" s="758" t="s">
        <v>272</v>
      </c>
    </row>
    <row r="2" spans="1:16" s="536" customFormat="1" x14ac:dyDescent="0.2"/>
    <row r="3" spans="1:16" s="536" customFormat="1" x14ac:dyDescent="0.2"/>
    <row r="4" spans="1:16" s="536" customFormat="1" x14ac:dyDescent="0.2"/>
    <row r="5" spans="1:16" s="536" customFormat="1" x14ac:dyDescent="0.2"/>
    <row r="6" spans="1:16" s="536" customFormat="1" x14ac:dyDescent="0.2"/>
    <row r="7" spans="1:16" s="536" customFormat="1" x14ac:dyDescent="0.2"/>
    <row r="8" spans="1:16" s="536" customFormat="1" x14ac:dyDescent="0.2"/>
    <row r="9" spans="1:16" s="536" customFormat="1" x14ac:dyDescent="0.2"/>
    <row r="11" spans="1:16" ht="23.25" x14ac:dyDescent="0.2">
      <c r="B11" s="133" t="s">
        <v>103</v>
      </c>
      <c r="C11" s="133"/>
    </row>
    <row r="12" spans="1:16" ht="13.5" customHeight="1" x14ac:dyDescent="0.2">
      <c r="B12" s="63" t="s">
        <v>64</v>
      </c>
      <c r="C12" s="133"/>
    </row>
    <row r="13" spans="1:16" ht="13.5" customHeight="1" x14ac:dyDescent="0.2">
      <c r="B13" s="100" t="s">
        <v>262</v>
      </c>
      <c r="C13" s="133"/>
    </row>
    <row r="14" spans="1:16" ht="13.5" customHeight="1" thickBot="1" x14ac:dyDescent="0.25"/>
    <row r="15" spans="1:16" ht="13.5" thickBot="1" x14ac:dyDescent="0.25">
      <c r="B15" s="473"/>
      <c r="C15" s="474"/>
      <c r="D15" s="420" t="s">
        <v>33</v>
      </c>
      <c r="E15" s="418">
        <f>'4. Customer Growth'!B17</f>
        <v>2005</v>
      </c>
      <c r="F15" s="418">
        <f>'4. Customer Growth'!B18</f>
        <v>2006</v>
      </c>
      <c r="G15" s="418">
        <f>'4. Customer Growth'!B19</f>
        <v>2007</v>
      </c>
      <c r="H15" s="418">
        <f>'4. Customer Growth'!B20</f>
        <v>2008</v>
      </c>
      <c r="I15" s="418">
        <f>'4. Customer Growth'!B21</f>
        <v>2009</v>
      </c>
      <c r="J15" s="418">
        <f>'4. Customer Growth'!B22</f>
        <v>2010</v>
      </c>
      <c r="K15" s="418">
        <f>'4. Customer Growth'!B23</f>
        <v>2011</v>
      </c>
      <c r="L15" s="418">
        <f>'4. Customer Growth'!B24</f>
        <v>2012</v>
      </c>
      <c r="M15" s="418">
        <f>'4. Customer Growth'!B25</f>
        <v>2013</v>
      </c>
      <c r="N15" s="418">
        <f>'4. Customer Growth'!B26</f>
        <v>2014</v>
      </c>
      <c r="O15" s="418" t="str">
        <f>'4. Customer Growth'!B30</f>
        <v>2015</v>
      </c>
      <c r="P15" s="419" t="str">
        <f>'4. Customer Growth'!B31</f>
        <v>2016</v>
      </c>
    </row>
    <row r="16" spans="1:16" x14ac:dyDescent="0.2">
      <c r="B16" s="760" t="s">
        <v>195</v>
      </c>
      <c r="C16" s="777" t="str">
        <f>IF($B16=$F$65,+$B$65,+IF($B16=$F$66,+$B$66,+IF($B16=$F$67,+$B$67,+IF($B16=$F$67,$B$67,+IF($B16=$F$68,+$B$68,+IF($B16=$F$69,+$B$69,+IF($B16=$F$70,+$B$70,+IF($B16=$F$71,+$B$71,+IF($B16=$F$72,+$B$72,+IF($B16=$F$73,+$B$73,+IF($B16=$F$74,+$B$74)))))))))))</f>
        <v>Residential</v>
      </c>
      <c r="D16" s="401" t="s">
        <v>131</v>
      </c>
      <c r="E16" s="509">
        <f>IF($C16='4. Customer Growth'!$C$15,+'4. Customer Growth'!$C$17,+IF($C16='4. Customer Growth'!$E$15,+'4. Customer Growth'!$E$17,+IF($C16='4. Customer Growth'!$G$15,+'4. Customer Growth'!$G$17,+IF($C16='4. Customer Growth'!$I$15,+'4. Customer Growth'!$I$17,+IF($C16='4. Customer Growth'!$K$15,+'4. Customer Growth'!$K$17,+IF($C16='4. Customer Growth'!$M$15,+'4. Customer Growth'!$M$17,IF($C16='4. Customer Growth'!$O$15,+'4. Customer Growth'!$O$17)))))))</f>
        <v>8625</v>
      </c>
      <c r="F16" s="509">
        <f>IF($C16='4. Customer Growth'!$C$15,+'4. Customer Growth'!$C$18,+IF($C16='4. Customer Growth'!$E$15,+'4. Customer Growth'!$E$18,+IF($C16='4. Customer Growth'!$G$15,+'4. Customer Growth'!$G$18,+IF($C16='4. Customer Growth'!$I$15,+'4. Customer Growth'!$I$18,+IF($C16='4. Customer Growth'!$K$15,+'4. Customer Growth'!$K$18,+IF($C16='4. Customer Growth'!$M$15,+'4. Customer Growth'!$M$18,IF($C16='4. Customer Growth'!$O$15,+'4. Customer Growth'!$O$18)))))))</f>
        <v>8696</v>
      </c>
      <c r="G16" s="509">
        <f>IF($C16='4. Customer Growth'!$C$15,+'4. Customer Growth'!$C$19,+IF($C16='4. Customer Growth'!$E$15,+'4. Customer Growth'!$E$19,+IF($C16='4. Customer Growth'!$G$15,+'4. Customer Growth'!$G$19,+IF($C16='4. Customer Growth'!$I$15,+'4. Customer Growth'!$I$19,+IF($C16='4. Customer Growth'!$K$15,+'4. Customer Growth'!$K$19,+IF($C16='4. Customer Growth'!$M$15,+'4. Customer Growth'!$M$19,IF($C16='4. Customer Growth'!$O$15,+'4. Customer Growth'!$O$19)))))))</f>
        <v>8809</v>
      </c>
      <c r="H16" s="509">
        <f>IF($C16='4. Customer Growth'!$C$15,+'4. Customer Growth'!$C$20,+IF($C16='4. Customer Growth'!$E$15,+'4. Customer Growth'!$E$20,+IF($C16='4. Customer Growth'!$G$15,+'4. Customer Growth'!$G$20,+IF($C16='4. Customer Growth'!$I$15,+'4. Customer Growth'!$I$20,+IF($C16='4. Customer Growth'!$K$15,+'4. Customer Growth'!$K$20,+IF($C16='4. Customer Growth'!$M$15,+'4. Customer Growth'!$M$20,IF($C16='4. Customer Growth'!$O$15,+'4. Customer Growth'!$O$20)))))))</f>
        <v>8809</v>
      </c>
      <c r="I16" s="509">
        <f>IF($C16='4. Customer Growth'!$C$15,+'4. Customer Growth'!$C$21,+IF($C16='4. Customer Growth'!$E$15,+'4. Customer Growth'!$E$21,+IF($C16='4. Customer Growth'!$G$15,+'4. Customer Growth'!$G$21,+IF($C16='4. Customer Growth'!$I$15,+'4. Customer Growth'!$I$21,+IF($C16='4. Customer Growth'!$K$15,+'4. Customer Growth'!$K$21,+IF($C16='4. Customer Growth'!$M$15,+'4. Customer Growth'!$M$21,IF($C16='4. Customer Growth'!$O$15,+'4. Customer Growth'!$O$21)))))))</f>
        <v>8941</v>
      </c>
      <c r="J16" s="509">
        <f>IF($C16='4. Customer Growth'!$C$15,+'4. Customer Growth'!$C$22,+IF($C16='4. Customer Growth'!$E$15,+'4. Customer Growth'!$E$22,+IF($C16='4. Customer Growth'!$G$15,+'4. Customer Growth'!$G$22,+IF($C16='4. Customer Growth'!$I$15,+'4. Customer Growth'!$I$22,+IF($C16='4. Customer Growth'!$K$15,+'4. Customer Growth'!$K$22,+IF($C16='4. Customer Growth'!$M$15,+'4. Customer Growth'!$M$22,IF($C16='4. Customer Growth'!$O$15,+'4. Customer Growth'!$O$22)))))))</f>
        <v>8955</v>
      </c>
      <c r="K16" s="509">
        <f>IF($C16='4. Customer Growth'!$C$15,+'4. Customer Growth'!$C$23,+IF($C16='4. Customer Growth'!$E$15,+'4. Customer Growth'!$E$23,+IF($C16='4. Customer Growth'!$G$15,+'4. Customer Growth'!$G$23,+IF($C16='4. Customer Growth'!$I$15,+'4. Customer Growth'!$I$23,+IF($C16='4. Customer Growth'!$K$15,+'4. Customer Growth'!$K$23,+IF($C16='4. Customer Growth'!$M$15,+'4. Customer Growth'!$M$23,IF($C16='4. Customer Growth'!$O$15,+'4. Customer Growth'!$O$23)))))))</f>
        <v>9030</v>
      </c>
      <c r="L16" s="509">
        <f>IF($C16='4. Customer Growth'!$C$15,+'4. Customer Growth'!$C$24,+IF($C16='4. Customer Growth'!$E$15,+'4. Customer Growth'!$E$24,+IF($C16='4. Customer Growth'!$G$15,+'4. Customer Growth'!$G$24,+IF($C16='4. Customer Growth'!$I$15,+'4. Customer Growth'!$I$24,+IF($C16='4. Customer Growth'!$K$15,+'4. Customer Growth'!$K$24,+IF($C16='4. Customer Growth'!$M$15,+'4. Customer Growth'!$M$24,IF($C16='4. Customer Growth'!$O$15,+'4. Customer Growth'!$O$24)))))))</f>
        <v>9086.5</v>
      </c>
      <c r="M16" s="509">
        <f>IF($C16='4. Customer Growth'!$C$15,+'4. Customer Growth'!$C$25,+IF($C16='4. Customer Growth'!$E$15,+'4. Customer Growth'!$E$25,+IF($C16='4. Customer Growth'!$G$15,+'4. Customer Growth'!$G$25,+IF($C16='4. Customer Growth'!$I$15,+'4. Customer Growth'!$I$25,+IF($C16='4. Customer Growth'!$K$15,+'4. Customer Growth'!$K$25,+IF($C16='4. Customer Growth'!$M$15,+'4. Customer Growth'!$M$25,IF($C16='4. Customer Growth'!$O$15,+'4. Customer Growth'!$O$25)))))))</f>
        <v>9195</v>
      </c>
      <c r="N16" s="509">
        <f>IF($C16='4. Customer Growth'!$C$15,+'4. Customer Growth'!$C$26,+IF($C16='4. Customer Growth'!$E$15,+'4. Customer Growth'!$E$26,+IF($C16='4. Customer Growth'!$G$15,+'4. Customer Growth'!$G$26,+IF($C16='4. Customer Growth'!$I$15,+'4. Customer Growth'!$I$26,+IF($C16='4. Customer Growth'!$K$15,+'4. Customer Growth'!$K$26,+IF($C16='4. Customer Growth'!$M$15,+'4. Customer Growth'!$M$26,IF($C16='4. Customer Growth'!$O$15,+'4. Customer Growth'!$O$26)))))))</f>
        <v>9305</v>
      </c>
      <c r="O16" s="509">
        <f>IF($C16='4. Customer Growth'!$C$15,+'4. Customer Growth'!$C$42,+IF($C16='4. Customer Growth'!$E$15,+'4. Customer Growth'!$E$42,+IF($C16='4. Customer Growth'!$G$15,+'4. Customer Growth'!$G$42,+IF($C16='4. Customer Growth'!$I$15,+'4. Customer Growth'!$I$42,+IF($C16='4. Customer Growth'!$K$15,+'4. Customer Growth'!$K$42,+IF($C16='4. Customer Growth'!$M$15,+'4. Customer Growth'!$M$42,IF($C16='4. Customer Growth'!$O$15,+'4. Customer Growth'!$O$42)))))))</f>
        <v>9383.7903594694271</v>
      </c>
      <c r="P16" s="510">
        <f>IF($C16='4. Customer Growth'!$C$15,+'4. Customer Growth'!$C$43,+IF($C16='4. Customer Growth'!$E$15,+'4. Customer Growth'!$E$43,+IF($C16='4. Customer Growth'!$G$15,+'4. Customer Growth'!$G$43,+IF($C16='4. Customer Growth'!$I$15,+'4. Customer Growth'!$I$43,+IF($C16='4. Customer Growth'!$K$15,+'4. Customer Growth'!$K$43,+IF($C16='4. Customer Growth'!$M$15,+'4. Customer Growth'!$M$43,IF($C16='4. Customer Growth'!$O$15,+'4. Customer Growth'!$O$43)))))))</f>
        <v>9463.2478786105712</v>
      </c>
    </row>
    <row r="17" spans="2:16" x14ac:dyDescent="0.2">
      <c r="B17" s="89"/>
      <c r="C17" s="778"/>
      <c r="D17" s="59" t="s">
        <v>36</v>
      </c>
      <c r="E17" s="509">
        <f>IF($B16=$F$65,+'7. Weather Senstive Class'!$C$21,IF($B16=$F$66,+'7. Weather Senstive Class'!$O$21,IF($B16=$F$67,+'7. Weather Senstive Class'!$W$21,IF($B16=$F$68,+'7. Weather Senstive Class'!$AE$21,IF($B16=$F$69,+'7. Weather Senstive Class'!$AM$21,IF($B16=$F$70,+'8. KW and Non-Weather Sensitive'!$E$21,IF($B16=$F$71,+'8. KW and Non-Weather Sensitive'!$P$21,IF($B16=$F$72,+'8. KW and Non-Weather Sensitive'!$Z$21,IF($B16=$F$73,+'8. KW and Non-Weather Sensitive'!$AJ$21,IF($B16=$F$74,+'8. KW and Non-Weather Sensitive'!$AT$21))))))))))</f>
        <v>76867401</v>
      </c>
      <c r="F17" s="509">
        <f>IF($B16=$F$65,+'7. Weather Senstive Class'!$C$22,IF($B16=$F$66,+'7. Weather Senstive Class'!$O$22,IF($B16=$F$67,+'7. Weather Senstive Class'!$W$22,IF($B16=$F$68,+'7. Weather Senstive Class'!$AE$22,IF($B16=$F$69,+'7. Weather Senstive Class'!$AM$22,IF($B16=$F$70,+'8. KW and Non-Weather Sensitive'!$E$22,IF($B16=$F$71,+'8. KW and Non-Weather Sensitive'!$P$22,IF($B16=$F$72,+'8. KW and Non-Weather Sensitive'!$Z$22,IF($B16=$F$73,+'8. KW and Non-Weather Sensitive'!$AJ$22,IF($B16=$F$74,+'8. KW and Non-Weather Sensitive'!$AT$22))))))))))</f>
        <v>80301785</v>
      </c>
      <c r="G17" s="509">
        <f>IF($B16=$F$65,+'7. Weather Senstive Class'!$C$23,IF($B16=$F$66,+'7. Weather Senstive Class'!$O$23,IF($B16=$F$67,+'7. Weather Senstive Class'!$W$23,IF($B16=$F$68,+'7. Weather Senstive Class'!$AE$23,IF($B16=$F$69,+'7. Weather Senstive Class'!$AM$23,IF($B16=$F$70,+'8. KW and Non-Weather Sensitive'!$E$23,IF($B16=$F$71,+'8. KW and Non-Weather Sensitive'!$P$23,IF($B16=$F$72,+'8. KW and Non-Weather Sensitive'!$Z$23,IF($B16=$F$73,+'8. KW and Non-Weather Sensitive'!$AJ$23,IF($B16=$F$74,+'8. KW and Non-Weather Sensitive'!$AT$23))))))))))</f>
        <v>78894594</v>
      </c>
      <c r="H17" s="509">
        <f>IF($B16=$F$65,+'7. Weather Senstive Class'!$C$24,IF($B16=$F$66,+'7. Weather Senstive Class'!$O$24,IF($B16=$F$67,+'7. Weather Senstive Class'!$W$24,IF($B16=$F$68,+'7. Weather Senstive Class'!$AE$24,IF($B16=$F$69,+'7. Weather Senstive Class'!$AM$24,IF($B16=$F$70,+'8. KW and Non-Weather Sensitive'!$E$24,IF($B16=$F$71,+'8. KW and Non-Weather Sensitive'!$P$24,IF($B16=$F$72,+'8. KW and Non-Weather Sensitive'!$Z$24,IF($B16=$F$73,+'8. KW and Non-Weather Sensitive'!$AJ$24,IF($B16=$F$74,+'8. KW and Non-Weather Sensitive'!$AT$24))))))))))</f>
        <v>78894594</v>
      </c>
      <c r="I17" s="509">
        <f>IF($B16=$F$65,+'7. Weather Senstive Class'!$C$25,IF($B16=$F$66,+'7. Weather Senstive Class'!$O$25,IF($B16=$F$67,+'7. Weather Senstive Class'!$W$25,IF($B16=$F$68,+'7. Weather Senstive Class'!$AE$25,IF($B16=$F$69,+'7. Weather Senstive Class'!$AM$25,IF($B16=$F$70,+'8. KW and Non-Weather Sensitive'!$E$25,IF($B16=$F$71,+'8. KW and Non-Weather Sensitive'!$P$25,IF($B16=$F$72,+'8. KW and Non-Weather Sensitive'!$Z$25,IF($B16=$F$73,+'8. KW and Non-Weather Sensitive'!$AJ$25,IF($B16=$F$74,+'8. KW and Non-Weather Sensitive'!$AT$25))))))))))</f>
        <v>76058961.349999994</v>
      </c>
      <c r="J17" s="509">
        <f>IF($B16=$F$65,+'7. Weather Senstive Class'!$C$26,IF($B16=$F$66,+'7. Weather Senstive Class'!$O$26,IF($B16=$F$67,+'7. Weather Senstive Class'!$M$26,IF($B16=$F$68,+'7. Weather Senstive Class'!$AE$26,IF($B16=$F$69,+'7. Weather Senstive Class'!$AM$26,IF($B16=$F$70,+'8. KW and Non-Weather Sensitive'!$E$26,IF($B16=$F$71,+'8. KW and Non-Weather Sensitive'!$P$26,IF($B16=$F$72,+'8. KW and Non-Weather Sensitive'!$Z$26,IF($B16=$F$73,+'8. KW and Non-Weather Sensitive'!$AJ$26,IF($B16=$F$74,+'8. KW and Non-Weather Sensitive'!$AT$26))))))))))</f>
        <v>75301012.150000006</v>
      </c>
      <c r="K17" s="509">
        <f>IF($B16=$F$65,+'7. Weather Senstive Class'!$C$27,IF($B16=$F$66,+'7. Weather Senstive Class'!$O$27,IF($B16=$F$67,+'7. Weather Senstive Class'!$W$27,IF($B16=$F$68,+'7. Weather Senstive Class'!$AE$27,IF($B16=$F$69,+'7. Weather Senstive Class'!$AM$27,IF($B16=$F$70,+'8. KW and Non-Weather Sensitive'!$E$27,IF($B16=$F$71,+'8. KW and Non-Weather Sensitive'!$P$27,IF($B16=$F$72,+'8. KW and Non-Weather Sensitive'!$Z$27,IF($B16=$F$73,+'8. KW and Non-Weather Sensitive'!$AJ$27,IF($B16=$F$74,+'8. KW and Non-Weather Sensitive'!$AT$27))))))))))</f>
        <v>79270519.859999999</v>
      </c>
      <c r="L17" s="509">
        <f>IF($B16=$F$65,+'7. Weather Senstive Class'!$C$28,IF($B16=$F$66,+'7. Weather Senstive Class'!$O$28,IF($B16=$F$67,+'7. Weather Senstive Class'!$W$28,IF($B16=$F$68,+'7. Weather Senstive Class'!$AE$28,IF($B16=$F$69,+'7. Weather Senstive Class'!$AM$28,IF($B16=$F$70,+'8. KW and Non-Weather Sensitive'!$E$28,IF($B16=$F$71,+'8. KW and Non-Weather Sensitive'!$P$28,IF($B16=$F$72,+'8. KW and Non-Weather Sensitive'!$Z$28,IF($B16=$F$73,+'8. KW and Non-Weather Sensitive'!$AJ$28,IF($B16=$F$74,+'8. KW and Non-Weather Sensitive'!$AT$28))))))))))</f>
        <v>78553743.920000002</v>
      </c>
      <c r="M17" s="509">
        <f>IF($B16=$F$65,+'7. Weather Senstive Class'!$C$29,IF($B16=$F$66,+'7. Weather Senstive Class'!$O$29,IF($B16=$F$67,+'7. Weather Senstive Class'!$W$29,IF($B16=$F$68,+'7. Weather Senstive Class'!$AE$29,IF($B16=$F$69,+'7. Weather Senstive Class'!$AM$29,IF($B16=$F$70,+'8. KW and Non-Weather Sensitive'!$E$29,IF($B16=$F$71,+'8. KW and Non-Weather Sensitive'!$P$29,IF($B16=$F$72,+'8. KW and Non-Weather Sensitive'!$Z$29,IF($B16=$F$73,+'8. KW and Non-Weather Sensitive'!$AJ$29,IF($B16=$F$74,+'8. KW and Non-Weather Sensitive'!$AT$29))))))))))</f>
        <v>80138213.859999999</v>
      </c>
      <c r="N17" s="509">
        <f>IF($B16=$F$65,+'7. Weather Senstive Class'!$C$30,IF($B16=$F$66,+'7. Weather Senstive Class'!$O$30,IF($B16=$F$67,+'7. Weather Senstive Class'!$W$30,IF($B16=$F$68,+'7. Weather Senstive Class'!$AE$30,IF($B16=$F$69,+'7. Weather Senstive Class'!$AM$30,IF($B16=$F$70,+'8. KW and Non-Weather Sensitive'!$E$30,IF($B16=$F$71,+'8. KW and Non-Weather Sensitive'!$P$30,IF($B16=$F$72,+'8. KW and Non-Weather Sensitive'!$Z$30,IF($B16=$F$73,+'8. KW and Non-Weather Sensitive'!$AJ$30,IF($B16=$F$74,+'8. KW and Non-Weather Sensitive'!$AT$30))))))))))</f>
        <v>79483998.230000004</v>
      </c>
      <c r="O17" s="509">
        <f>IF($B16=$F$65,+'7. Weather Senstive Class'!$H$42,IF($B16=$F$66,+'7. Weather Senstive Class'!$P$42,IF($B16=$F$67,+'7. Weather Senstive Class'!$X$42,IF($B16=$F$68,+'7. Weather Senstive Class'!$AF$42,IF($B16=$F$69,+'7. Weather Senstive Class'!$AN$42,IF($B16=$F$70,+'8. KW and Non-Weather Sensitive'!$I$49,IF($B16=$F$71,+'8. KW and Non-Weather Sensitive'!$T$49,IF($B16=$F$72,+'8. KW and Non-Weather Sensitive'!$AD$49,IF($B16=$F$73,+'8. KW and Non-Weather Sensitive'!$AN$49,IF($B16=$F$74,+'8. KW and Non-Weather Sensitive'!$AX$49))))))))))</f>
        <v>78438793.189758629</v>
      </c>
      <c r="P17" s="510">
        <f>IF($B16=$F$65,+'7. Weather Senstive Class'!$H$43,IF($B16=$F$66,+'7. Weather Senstive Class'!$P$43,IF($B16=$F$67,+'7. Weather Senstive Class'!$X$43,IF($B16=$F$68,+'7. Weather Senstive Class'!$AF$43,IF($B16=$F$69,+'7. Weather Senstive Class'!$AN$43,IF($B16=$F$70,+'8. KW and Non-Weather Sensitive'!$I$50,IF($B16=$F$71,+'8. KW and Non-Weather Sensitive'!$T$50,IF($B16=$F$72,+'8. KW and Non-Weather Sensitive'!$AD$50,IF($B16=$F$73,+'8. KW and Non-Weather Sensitive'!$AN$50,IF($B16=$F$74,+'8. KW and Non-Weather Sensitive'!$AX$50))))))))))</f>
        <v>78290331.733385131</v>
      </c>
    </row>
    <row r="18" spans="2:16" x14ac:dyDescent="0.2">
      <c r="B18" s="89"/>
      <c r="C18" s="778"/>
      <c r="D18" s="59" t="s">
        <v>37</v>
      </c>
      <c r="E18" s="407">
        <f>IF(B$16=$F$70,+'8. KW and Non-Weather Sensitive'!$F$21,IF($B16=$F$71,+'8. KW and Non-Weather Sensitive'!$Q$21,IF($B16=$F$72,+'8. KW and Non-Weather Sensitive'!$AA$21,IF($B16=$F$73,+'8. KW and Non-Weather Sensitive'!$AK$21,+IF($B16=$F$74,+'8. KW and Non-Weather Sensitive'!$AU$21,0)))))</f>
        <v>0</v>
      </c>
      <c r="F18" s="407">
        <f>IF($B16=$F$70,+'8. KW and Non-Weather Sensitive'!$F$22,IF($B16=$F$71,+'8. KW and Non-Weather Sensitive'!$Q$22,IF($B16=$F$72,+'8. KW and Non-Weather Sensitive'!$AA$22,IF($B16=$F$73,+'8. KW and Non-Weather Sensitive'!$AK$22,+IF($B16=$F$74,+'8. KW and Non-Weather Sensitive'!$AU$22,0)))))</f>
        <v>0</v>
      </c>
      <c r="G18" s="407">
        <f>IF($B16=$F$70,+'8. KW and Non-Weather Sensitive'!$F$23,IF($B16=$F$71,+'8. KW and Non-Weather Sensitive'!$Q$23,IF($B16=$F$72,+'8. KW and Non-Weather Sensitive'!$AA$23,IF($B16=$F$73,+'8. KW and Non-Weather Sensitive'!$AK$23,+IF($B16=$F$74,+'8. KW and Non-Weather Sensitive'!$AU$23,0)))))</f>
        <v>0</v>
      </c>
      <c r="H18" s="407">
        <f>IF($B16=$F$70,+'8. KW and Non-Weather Sensitive'!$F$24,IF($B16=$F$71,+'8. KW and Non-Weather Sensitive'!$Q$24,IF($B16=$F$72,+'8. KW and Non-Weather Sensitive'!$AA$24,IF($B16=$F$73,+'8. KW and Non-Weather Sensitive'!$AK$24,+IF($B16=$F$74,+'8. KW and Non-Weather Sensitive'!$AU$24,0)))))</f>
        <v>0</v>
      </c>
      <c r="I18" s="407">
        <f>IF($B16=$F$70,+'8. KW and Non-Weather Sensitive'!$F$25,IF($B16=$F$71,+'8. KW and Non-Weather Sensitive'!$Q$25,IF($B16=$F$72,+'8. KW and Non-Weather Sensitive'!$AA$25,IF($B16=$F$73,+'8. KW and Non-Weather Sensitive'!$AK$25,+IF($B16=$F$74,+'8. KW and Non-Weather Sensitive'!$AU$25,0)))))</f>
        <v>0</v>
      </c>
      <c r="J18" s="407">
        <f>IF($B16=$F$70,+'8. KW and Non-Weather Sensitive'!$F$26,IF($B16=$F$71,+'8. KW and Non-Weather Sensitive'!$Q$26,IF($B16=$F$72,+'8. KW and Non-Weather Sensitive'!$AA$26,IF($B16=$F$73,+'8. KW and Non-Weather Sensitive'!$AK$26,+IF($B16=$F$74,+'8. KW and Non-Weather Sensitive'!$AU$26,0)))))</f>
        <v>0</v>
      </c>
      <c r="K18" s="407">
        <f>IF($B16=$F$70,+'8. KW and Non-Weather Sensitive'!$F$27,IF($B16=$F$71,+'8. KW and Non-Weather Sensitive'!$Q$27,IF($B16=$F$72,+'8. KW and Non-Weather Sensitive'!$AA$27,IF($B16=$F$73,+'8. KW and Non-Weather Sensitive'!$AK$27,+IF($B16=$F$74,+'8. KW and Non-Weather Sensitive'!$AU$27,0)))))</f>
        <v>0</v>
      </c>
      <c r="L18" s="407">
        <f>IF($B16=$F$70,+'8. KW and Non-Weather Sensitive'!$F$28,IF($B16=$F$71,+'8. KW and Non-Weather Sensitive'!$Q$28,IF($B16=$F$72,+'8. KW and Non-Weather Sensitive'!$AA$28,IF($B16=$F$73,+'8. KW and Non-Weather Sensitive'!$AK$28,+IF($B16=$F$74,+'8. KW and Non-Weather Sensitive'!$AU$28,0)))))</f>
        <v>0</v>
      </c>
      <c r="M18" s="407">
        <f>IF($B16=$F$70,+'8. KW and Non-Weather Sensitive'!$F$29,IF($B16=$F$71,+'8. KW and Non-Weather Sensitive'!$Q$29,IF($B16=$F$72,+'8. KW and Non-Weather Sensitive'!$AA$29,IF($B16=$F$73,+'8. KW and Non-Weather Sensitive'!$AK$29,+IF($B16=$F$74,+'8. KW and Non-Weather Sensitive'!$AU$29,0)))))</f>
        <v>0</v>
      </c>
      <c r="N18" s="407">
        <f>IF($B16=$F$70,+'8. KW and Non-Weather Sensitive'!$F$30,IF($B16=$F$71,+'8. KW and Non-Weather Sensitive'!$Q$30,IF($B16=$F$72,+'8. KW and Non-Weather Sensitive'!$AA$30,IF($B16=$F$73,+'8. KW and Non-Weather Sensitive'!$AK$30,+IF($B16=$F$74,+'8. KW and Non-Weather Sensitive'!$AU$30,0)))))</f>
        <v>0</v>
      </c>
      <c r="O18" s="407">
        <f>IF($B16=$F$70,+'8. KW and Non-Weather Sensitive'!$J$49,IF($B16=$F$71,+'8. KW and Non-Weather Sensitive'!$U$49,IF($B16=$F$72,+'8. KW and Non-Weather Sensitive'!$AE$49,IF($B16=$F$73,+'8. KW and Non-Weather Sensitive'!$AO$49,+IF($B16=$F$74,+'8. KW and Non-Weather Sensitive'!$AY$49,0)))))</f>
        <v>0</v>
      </c>
      <c r="P18" s="511">
        <f>IF($B16=$F$70,+'8. KW and Non-Weather Sensitive'!$J$50,IF($B16=$F$71,+'8. KW and Non-Weather Sensitive'!$U$50,IF($B16=$F$72,+'8. KW and Non-Weather Sensitive'!$AE$50,IF($B16=$F$73,+'8. KW and Non-Weather Sensitive'!$AO$50,+IF($B16=$F$74,+'8. KW and Non-Weather Sensitive'!$AY$50,0)))))</f>
        <v>0</v>
      </c>
    </row>
    <row r="19" spans="2:16" x14ac:dyDescent="0.2">
      <c r="B19" s="89"/>
      <c r="C19" s="778"/>
      <c r="D19" s="59"/>
      <c r="E19" s="407"/>
      <c r="F19" s="407"/>
      <c r="G19" s="407"/>
      <c r="H19" s="407"/>
      <c r="I19" s="407"/>
      <c r="J19" s="407"/>
      <c r="K19" s="407"/>
      <c r="L19" s="407"/>
      <c r="M19" s="407"/>
      <c r="N19" s="407"/>
      <c r="O19" s="408"/>
      <c r="P19" s="409"/>
    </row>
    <row r="20" spans="2:16" x14ac:dyDescent="0.2">
      <c r="B20" s="762" t="s">
        <v>194</v>
      </c>
      <c r="C20" s="777" t="str">
        <f>IF($B20=$F$65,+$B$65,+IF($B20=$F$66,+$B$66,+IF($B20=$F$67,+$B$67,+IF($B20=$F$67,$B$67,+IF($B20=$F$68,+$B$68,+IF($B20=$F$69,+$B$69,+IF($B20=$F$70,+$B$70,+IF($B20=$F$71,+$B$71,+IF($B20=$F$72,+$B$72,+IF($B20=$F$73,+$B$73,+IF($B20=$F$74,+$B$74)))))))))))</f>
        <v>General Service &lt; 50 kW</v>
      </c>
      <c r="D20" s="88" t="s">
        <v>131</v>
      </c>
      <c r="E20" s="509">
        <f>IF($C20='4. Customer Growth'!$C$15,+'4. Customer Growth'!$C$17,+IF($C20='4. Customer Growth'!$E$15,+'4. Customer Growth'!$E$17,+IF($C20='4. Customer Growth'!$G$15,+'4. Customer Growth'!$G$17,+IF($C20='4. Customer Growth'!$I$15,+'4. Customer Growth'!$I$17,+IF($C20='4. Customer Growth'!$K$15,+'4. Customer Growth'!$K$17,+IF($C20='4. Customer Growth'!$M$15,+'4. Customer Growth'!$M$17,IF($C20='4. Customer Growth'!$O$15,+'4. Customer Growth'!$O$17)))))))</f>
        <v>1496</v>
      </c>
      <c r="F20" s="509">
        <f>IF($C20='4. Customer Growth'!$C$15,+'4. Customer Growth'!$C$18,+IF($C20='4. Customer Growth'!$E$15,+'4. Customer Growth'!$E$18,+IF($C20='4. Customer Growth'!$G$15,+'4. Customer Growth'!$G$18,+IF($C20='4. Customer Growth'!$I$15,+'4. Customer Growth'!$I$18,+IF($C20='4. Customer Growth'!$K$15,+'4. Customer Growth'!$K$18,+IF($C20='4. Customer Growth'!$M$15,+'4. Customer Growth'!$M$18,IF($C20='4. Customer Growth'!$O$15,+'4. Customer Growth'!$O$18)))))))</f>
        <v>1449</v>
      </c>
      <c r="G20" s="509">
        <f>IF($C20='4. Customer Growth'!$C$15,+'4. Customer Growth'!$C$19,+IF($C20='4. Customer Growth'!$E$15,+'4. Customer Growth'!$E$19,+IF($C20='4. Customer Growth'!$G$15,+'4. Customer Growth'!$G$19,+IF($C20='4. Customer Growth'!$I$15,+'4. Customer Growth'!$I$19,+IF($C20='4. Customer Growth'!$K$15,+'4. Customer Growth'!$K$19,+IF($C20='4. Customer Growth'!$M$15,+'4. Customer Growth'!$M$19,IF($C20='4. Customer Growth'!$O$15,+'4. Customer Growth'!$O$19)))))))</f>
        <v>1442</v>
      </c>
      <c r="H20" s="509">
        <f>IF($C20='4. Customer Growth'!$C$15,+'4. Customer Growth'!$C$20,+IF($C20='4. Customer Growth'!$E$15,+'4. Customer Growth'!$E$20,+IF($C20='4. Customer Growth'!$G$15,+'4. Customer Growth'!$G$20,+IF($C20='4. Customer Growth'!$I$15,+'4. Customer Growth'!$I$20,+IF($C20='4. Customer Growth'!$K$15,+'4. Customer Growth'!$K$20,+IF($C20='4. Customer Growth'!$M$15,+'4. Customer Growth'!$M$20,IF($C20='4. Customer Growth'!$O$15,+'4. Customer Growth'!$O$20)))))))</f>
        <v>1409</v>
      </c>
      <c r="I20" s="509">
        <f>IF($C20='4. Customer Growth'!$C$15,+'4. Customer Growth'!$C$21,+IF($C20='4. Customer Growth'!$E$15,+'4. Customer Growth'!$E$21,+IF($C20='4. Customer Growth'!$G$15,+'4. Customer Growth'!$G$21,+IF($C20='4. Customer Growth'!$I$15,+'4. Customer Growth'!$I$21,+IF($C20='4. Customer Growth'!$K$15,+'4. Customer Growth'!$K$21,+IF($C20='4. Customer Growth'!$M$15,+'4. Customer Growth'!$M$21,IF($C20='4. Customer Growth'!$O$15,+'4. Customer Growth'!$O$21)))))))</f>
        <v>1394</v>
      </c>
      <c r="J20" s="509">
        <f>IF($C20='4. Customer Growth'!$C$15,+'4. Customer Growth'!$C$22,+IF($C20='4. Customer Growth'!$E$15,+'4. Customer Growth'!$E$22,+IF($C20='4. Customer Growth'!$G$15,+'4. Customer Growth'!$G$22,+IF($C20='4. Customer Growth'!$I$15,+'4. Customer Growth'!$I$22,+IF($C20='4. Customer Growth'!$K$15,+'4. Customer Growth'!$K$22,+IF($C20='4. Customer Growth'!$M$15,+'4. Customer Growth'!$M$22,IF($C20='4. Customer Growth'!$O$15,+'4. Customer Growth'!$O$22)))))))</f>
        <v>1372</v>
      </c>
      <c r="K20" s="509">
        <f>IF($C20='4. Customer Growth'!$C$15,+'4. Customer Growth'!$C$23,+IF($C20='4. Customer Growth'!$E$15,+'4. Customer Growth'!$E$23,+IF($C20='4. Customer Growth'!$G$15,+'4. Customer Growth'!$G$23,+IF($C20='4. Customer Growth'!$I$15,+'4. Customer Growth'!$I$23,+IF($C20='4. Customer Growth'!$K$15,+'4. Customer Growth'!$K$23,+IF($C20='4. Customer Growth'!$M$15,+'4. Customer Growth'!$M$23,IF($C20='4. Customer Growth'!$O$15,+'4. Customer Growth'!$O$23)))))))</f>
        <v>1370</v>
      </c>
      <c r="L20" s="509">
        <f>IF($C20='4. Customer Growth'!$C$15,+'4. Customer Growth'!$C$24,+IF($C20='4. Customer Growth'!$E$15,+'4. Customer Growth'!$E$24,+IF($C20='4. Customer Growth'!$G$15,+'4. Customer Growth'!$G$24,+IF($C20='4. Customer Growth'!$I$15,+'4. Customer Growth'!$I$24,+IF($C20='4. Customer Growth'!$K$15,+'4. Customer Growth'!$K$24,+IF($C20='4. Customer Growth'!$M$15,+'4. Customer Growth'!$M$24,IF($C20='4. Customer Growth'!$O$15,+'4. Customer Growth'!$O$24)))))))</f>
        <v>1361.5</v>
      </c>
      <c r="M20" s="509">
        <f>IF($C20='4. Customer Growth'!$C$15,+'4. Customer Growth'!$C$25,+IF($C20='4. Customer Growth'!$E$15,+'4. Customer Growth'!$E$25,+IF($C20='4. Customer Growth'!$G$15,+'4. Customer Growth'!$G$25,+IF($C20='4. Customer Growth'!$I$15,+'4. Customer Growth'!$I$25,+IF($C20='4. Customer Growth'!$K$15,+'4. Customer Growth'!$K$25,+IF($C20='4. Customer Growth'!$M$15,+'4. Customer Growth'!$M$25,IF($C20='4. Customer Growth'!$O$15,+'4. Customer Growth'!$O$25)))))))</f>
        <v>1332.5</v>
      </c>
      <c r="N20" s="509">
        <f>IF($C20='4. Customer Growth'!$C$15,+'4. Customer Growth'!$C$26,+IF($C20='4. Customer Growth'!$E$15,+'4. Customer Growth'!$E$26,+IF($C20='4. Customer Growth'!$G$15,+'4. Customer Growth'!$G$26,+IF($C20='4. Customer Growth'!$I$15,+'4. Customer Growth'!$I$26,+IF($C20='4. Customer Growth'!$K$15,+'4. Customer Growth'!$K$26,+IF($C20='4. Customer Growth'!$M$15,+'4. Customer Growth'!$M$26,IF($C20='4. Customer Growth'!$O$15,+'4. Customer Growth'!$O$26)))))))</f>
        <v>1318</v>
      </c>
      <c r="O20" s="509">
        <f>IF($C20='4. Customer Growth'!$C$15,+'4. Customer Growth'!$C$42,+IF($C20='4. Customer Growth'!$E$15,+'4. Customer Growth'!$E$42,+IF($C20='4. Customer Growth'!$G$15,+'4. Customer Growth'!$G$42,+IF($C20='4. Customer Growth'!$I$15,+'4. Customer Growth'!$I$42,+IF($C20='4. Customer Growth'!$K$15,+'4. Customer Growth'!$K$42,+IF($C20='4. Customer Growth'!$M$15,+'4. Customer Growth'!$M$42,IF($C20='4. Customer Growth'!$O$15,+'4. Customer Growth'!$O$42)))))))</f>
        <v>1299.5784496245794</v>
      </c>
      <c r="P20" s="510">
        <f>IF($C20='4. Customer Growth'!$C$15,+'4. Customer Growth'!$C$43,+IF($C20='4. Customer Growth'!$E$15,+'4. Customer Growth'!$E$43,+IF($C20='4. Customer Growth'!$G$15,+'4. Customer Growth'!$G$43,+IF($C20='4. Customer Growth'!$I$15,+'4. Customer Growth'!$I$43,+IF($C20='4. Customer Growth'!$K$15,+'4. Customer Growth'!$K$43,+IF($C20='4. Customer Growth'!$M$15,+'4. Customer Growth'!$M$43,IF($C20='4. Customer Growth'!$O$15,+'4. Customer Growth'!$O$43)))))))</f>
        <v>1281.4143753631454</v>
      </c>
    </row>
    <row r="21" spans="2:16" x14ac:dyDescent="0.2">
      <c r="B21" s="89"/>
      <c r="C21" s="778"/>
      <c r="D21" s="59" t="s">
        <v>36</v>
      </c>
      <c r="E21" s="509">
        <f>IF($B20=$F$65,+'7. Weather Senstive Class'!$G$21,IF($B20=$F$66,+'7. Weather Senstive Class'!$K$21,IF($B20=$F$67,+'7. Weather Senstive Class'!$W$21,IF($B20=$F$68,+'7. Weather Senstive Class'!$AE$21,IF($B20=$F$69,+'7. Weather Senstive Class'!$AM$21,IF($B20=$F$70,+'8. KW and Non-Weather Sensitive'!$E$21,IF($B20=$F$71,+'8. KW and Non-Weather Sensitive'!$P$21,IF($B20=$F$72,+'8. KW and Non-Weather Sensitive'!$Z$21,IF($B20=$F$73,+'8. KW and Non-Weather Sensitive'!$AJ$21,IF($B20=$F$74,+'8. KW and Non-Weather Sensitive'!$AT$21))))))))))</f>
        <v>43814909</v>
      </c>
      <c r="F21" s="509">
        <f>IF($B20=$F$65,+'7. Weather Senstive Class'!$G$22,IF($B20=$F$66,+'7. Weather Senstive Class'!$K$22,IF($B20=$F$67,+'7. Weather Senstive Class'!$W$22,IF($B20=$F$68,+'7. Weather Senstive Class'!$AE$22,IF($B20=$F$69,+'7. Weather Senstive Class'!$AM$22,IF($B20=$F$70,+'8. KW and Non-Weather Sensitive'!$E$22,IF($B20=$F$71,+'8. KW and Non-Weather Sensitive'!$P$22,IF($B20=$F$72,+'8. KW and Non-Weather Sensitive'!$Z$22,IF($B20=$F$73,+'8. KW and Non-Weather Sensitive'!$AJ$22,IF($B20=$F$74,+'8. KW and Non-Weather Sensitive'!$AT$22))))))))))</f>
        <v>39580098</v>
      </c>
      <c r="G21" s="509">
        <f>IF($B20=$F$65,+'7. Weather Senstive Class'!$G$23,IF($B20=$F$66,+'7. Weather Senstive Class'!$K$23,IF($B20=$F$67,+'7. Weather Senstive Class'!$W$23,IF($B20=$F$68,+'7. Weather Senstive Class'!$AE$23,IF($B20=$F$69,+'7. Weather Senstive Class'!$AM$23,IF($B20=$F$70,+'8. KW and Non-Weather Sensitive'!$E$23,IF($B20=$F$71,+'8. KW and Non-Weather Sensitive'!$P$23,IF($B20=$F$72,+'8. KW and Non-Weather Sensitive'!$Z$23,IF($B20=$F$73,+'8. KW and Non-Weather Sensitive'!$AJ$23,IF($B20=$F$74,+'8. KW and Non-Weather Sensitive'!$AT$23))))))))))</f>
        <v>35721757</v>
      </c>
      <c r="H21" s="509">
        <f>IF($B20=$F$65,+'7. Weather Senstive Class'!$G$24,IF($B20=$F$66,+'7. Weather Senstive Class'!$K$24,IF($B20=$F$67,+'7. Weather Senstive Class'!$W$24,IF($B20=$F$68,+'7. Weather Senstive Class'!$AE$24,IF($B20=$F$69,+'7. Weather Senstive Class'!$AM$24,IF($B20=$F$70,+'8. KW and Non-Weather Sensitive'!$E$24,IF($B20=$F$71,+'8. KW and Non-Weather Sensitive'!$P$24,IF($B20=$F$72,+'8. KW and Non-Weather Sensitive'!$Z$24,IF($B20=$F$73,+'8. KW and Non-Weather Sensitive'!$AJ$24,IF($B20=$F$74,+'8. KW and Non-Weather Sensitive'!$AT$24))))))))))</f>
        <v>35801702</v>
      </c>
      <c r="I21" s="509">
        <f>IF($B20=$F$65,+'7. Weather Senstive Class'!$G$25,IF($B20=$F$66,+'7. Weather Senstive Class'!$K$25,IF($B20=$F$67,+'7. Weather Senstive Class'!$W$25,IF($B20=$F$68,+'7. Weather Senstive Class'!$AE$25,IF($B20=$F$69,+'7. Weather Senstive Class'!$AM$25,IF($B20=$F$70,+'8. KW and Non-Weather Sensitive'!$E$25,IF($B20=$F$71,+'8. KW and Non-Weather Sensitive'!$P$25,IF($B20=$F$72,+'8. KW and Non-Weather Sensitive'!$Z$25,IF($B20=$F$73,+'8. KW and Non-Weather Sensitive'!$AJ$25,IF($B20=$F$74,+'8. KW and Non-Weather Sensitive'!$AT$25))))))))))</f>
        <v>34198078.359999999</v>
      </c>
      <c r="J21" s="509">
        <f>IF($B20=$F$65,+'7. Weather Senstive Class'!$G$26,IF($B20=$F$66,+'7. Weather Senstive Class'!$K$26,IF($B20=$F$67,+'7. Weather Senstive Class'!$M$26,IF($B20=$F$68,+'7. Weather Senstive Class'!$AE$26,IF($B20=$F$69,+'7. Weather Senstive Class'!$AM$26,IF($B20=$F$70,+'8. KW and Non-Weather Sensitive'!$E$26,IF($B20=$F$71,+'8. KW and Non-Weather Sensitive'!$P$26,IF($B20=$F$72,+'8. KW and Non-Weather Sensitive'!$Z$26,IF($B20=$F$73,+'8. KW and Non-Weather Sensitive'!$AJ$26,IF($B20=$F$74,+'8. KW and Non-Weather Sensitive'!$AT$26))))))))))</f>
        <v>33358216.629999999</v>
      </c>
      <c r="K21" s="509">
        <f>IF($B20=$F$65,+'7. Weather Senstive Class'!$G$27,IF($B20=$F$66,+'7. Weather Senstive Class'!$K$27,IF($B20=$F$67,+'7. Weather Senstive Class'!$W$27,IF($B20=$F$68,+'7. Weather Senstive Class'!$AE$27,IF($B20=$F$69,+'7. Weather Senstive Class'!$AM$27,IF($B20=$F$70,+'8. KW and Non-Weather Sensitive'!$E$27,IF($B20=$F$71,+'8. KW and Non-Weather Sensitive'!$P$27,IF($B20=$F$72,+'8. KW and Non-Weather Sensitive'!$Z$27,IF($B20=$F$73,+'8. KW and Non-Weather Sensitive'!$AJ$27,IF($B20=$F$74,+'8. KW and Non-Weather Sensitive'!$AT$27))))))))))</f>
        <v>32279016.170000002</v>
      </c>
      <c r="L21" s="509">
        <f>IF($B20=$F$65,+'7. Weather Senstive Class'!$G$28,IF($B20=$F$66,+'7. Weather Senstive Class'!$K$28,IF($B20=$F$67,+'7. Weather Senstive Class'!$W$28,IF($B20=$F$68,+'7. Weather Senstive Class'!$AE$28,IF($B20=$F$69,+'7. Weather Senstive Class'!$AM$28,IF($B20=$F$70,+'8. KW and Non-Weather Sensitive'!$E$28,IF($B20=$F$71,+'8. KW and Non-Weather Sensitive'!$P$28,IF($B20=$F$72,+'8. KW and Non-Weather Sensitive'!$Z$28,IF($B20=$F$73,+'8. KW and Non-Weather Sensitive'!$AJ$28,IF($B20=$F$74,+'8. KW and Non-Weather Sensitive'!$AT$28))))))))))</f>
        <v>31948521.120000001</v>
      </c>
      <c r="M21" s="509">
        <f>IF($B20=$F$65,+'7. Weather Senstive Class'!$G$29,IF($B20=$F$66,+'7. Weather Senstive Class'!$K$29,IF($B20=$F$67,+'7. Weather Senstive Class'!$W$29,IF($B20=$F$68,+'7. Weather Senstive Class'!$AE$29,IF($B20=$F$69,+'7. Weather Senstive Class'!$AM$29,IF($B20=$F$70,+'8. KW and Non-Weather Sensitive'!$E$29,IF($B20=$F$71,+'8. KW and Non-Weather Sensitive'!$P$29,IF($B20=$F$72,+'8. KW and Non-Weather Sensitive'!$Z$29,IF($B20=$F$73,+'8. KW and Non-Weather Sensitive'!$AJ$29,IF($B20=$F$74,+'8. KW and Non-Weather Sensitive'!$AT$29))))))))))</f>
        <v>31708039.23</v>
      </c>
      <c r="N21" s="509">
        <f>IF($B20=$F$65,+'7. Weather Senstive Class'!$G$30,IF($B20=$F$66,+'7. Weather Senstive Class'!$K$30,IF($B20=$F$67,+'7. Weather Senstive Class'!$W$30,IF($B20=$F$68,+'7. Weather Senstive Class'!$AE$30,IF($B20=$F$69,+'7. Weather Senstive Class'!$AM$30,IF($B20=$F$70,+'8. KW and Non-Weather Sensitive'!$E$30,IF($B20=$F$71,+'8. KW and Non-Weather Sensitive'!$P$30,IF($B20=$F$72,+'8. KW and Non-Weather Sensitive'!$Z$30,IF($B20=$F$73,+'8. KW and Non-Weather Sensitive'!$AJ$30,IF($B20=$F$74,+'8. KW and Non-Weather Sensitive'!$AT$30))))))))))</f>
        <v>31649726.120000001</v>
      </c>
      <c r="O21" s="509">
        <f>IF($B20=$F$65,+'7. Weather Senstive Class'!$H$42,IF($B20=$F$66,+'7. Weather Senstive Class'!$P$42,IF($B20=$F$67,+'7. Weather Senstive Class'!$X$42,IF($B20=$F$68,+'7. Weather Senstive Class'!$AF$42,IF($B20=$F$69,+'7. Weather Senstive Class'!$AN$42,IF($B20=$F$70,+'8. KW and Non-Weather Sensitive'!$I$49,IF($B20=$F$71,+'8. KW and Non-Weather Sensitive'!$T$49,IF($B20=$F$72,+'8. KW and Non-Weather Sensitive'!$AD$49,IF($B20=$F$73,+'8. KW and Non-Weather Sensitive'!$AN$49,IF($B20=$F$74,+'8. KW and Non-Weather Sensitive'!$AX$49))))))))))</f>
        <v>34953791.572912797</v>
      </c>
      <c r="P21" s="510">
        <f>IF($B20=$F$65,+'7. Weather Senstive Class'!$H$43,IF($B20=$F$66,+'7. Weather Senstive Class'!$P$43,IF($B20=$F$67,+'7. Weather Senstive Class'!$X$43,IF($B20=$F$68,+'7. Weather Senstive Class'!$AF$43,IF($B20=$F$69,+'7. Weather Senstive Class'!$AN$43,IF($B20=$F$70,+'8. KW and Non-Weather Sensitive'!$I$50,IF($B20=$F$71,+'8. KW and Non-Weather Sensitive'!$T$50,IF($B20=$F$72,+'8. KW and Non-Weather Sensitive'!$AD$50,IF($B20=$F$73,+'8. KW and Non-Weather Sensitive'!$AN$50,IF($B20=$F$74,+'8. KW and Non-Weather Sensitive'!$AX$50))))))))))</f>
        <v>34887634.374520719</v>
      </c>
    </row>
    <row r="22" spans="2:16" x14ac:dyDescent="0.2">
      <c r="B22" s="89"/>
      <c r="C22" s="778"/>
      <c r="D22" s="59" t="s">
        <v>37</v>
      </c>
      <c r="E22" s="407">
        <f>IF(B$16=$F$70,+'8. KW and Non-Weather Sensitive'!$F$21,IF($B20=$F$71,+'8. KW and Non-Weather Sensitive'!$Q$21,IF($B20=$F$72,+'8. KW and Non-Weather Sensitive'!$AA$21,IF($B20=$F$73,+'8. KW and Non-Weather Sensitive'!$AK$21,+IF($B20=$F$74,+'8. KW and Non-Weather Sensitive'!$AU$21,0)))))</f>
        <v>0</v>
      </c>
      <c r="F22" s="407">
        <f>IF($B20=$F$70,+'8. KW and Non-Weather Sensitive'!$F$22,IF($B20=$F$71,+'8. KW and Non-Weather Sensitive'!$Q$22,IF($B20=$F$72,+'8. KW and Non-Weather Sensitive'!$AA$22,IF($B20=$F$73,+'8. KW and Non-Weather Sensitive'!$AK$22,+IF($B20=$F$74,+'8. KW and Non-Weather Sensitive'!$AU$22,0)))))</f>
        <v>0</v>
      </c>
      <c r="G22" s="407">
        <f>IF($B20=$F$70,+'8. KW and Non-Weather Sensitive'!$F$23,IF($B20=$F$71,+'8. KW and Non-Weather Sensitive'!$Q$23,IF($B20=$F$72,+'8. KW and Non-Weather Sensitive'!$AA$23,IF($B20=$F$73,+'8. KW and Non-Weather Sensitive'!$AK$23,+IF($B20=$F$74,+'8. KW and Non-Weather Sensitive'!$AU$23,0)))))</f>
        <v>0</v>
      </c>
      <c r="H22" s="407">
        <f>IF($B20=$F$70,+'8. KW and Non-Weather Sensitive'!$F$24,IF($B20=$F$71,+'8. KW and Non-Weather Sensitive'!$Q$24,IF($B20=$F$72,+'8. KW and Non-Weather Sensitive'!$AA$24,IF($B20=$F$73,+'8. KW and Non-Weather Sensitive'!$AK$24,+IF($B20=$F$74,+'8. KW and Non-Weather Sensitive'!$AU$24,0)))))</f>
        <v>0</v>
      </c>
      <c r="I22" s="407">
        <f>IF($B20=$F$70,+'8. KW and Non-Weather Sensitive'!$F$25,IF($B20=$F$71,+'8. KW and Non-Weather Sensitive'!$Q$25,IF($B20=$F$72,+'8. KW and Non-Weather Sensitive'!$AA$25,IF($B20=$F$73,+'8. KW and Non-Weather Sensitive'!$AK$25,+IF($B20=$F$74,+'8. KW and Non-Weather Sensitive'!$AU$25,0)))))</f>
        <v>0</v>
      </c>
      <c r="J22" s="407">
        <f>IF($B20=$F$70,+'8. KW and Non-Weather Sensitive'!$F$26,IF($B20=$F$71,+'8. KW and Non-Weather Sensitive'!$Q$26,IF($B20=$F$72,+'8. KW and Non-Weather Sensitive'!$AA$26,IF($B20=$F$73,+'8. KW and Non-Weather Sensitive'!$AK$26,+IF($B20=$F$74,+'8. KW and Non-Weather Sensitive'!$AU$26,0)))))</f>
        <v>0</v>
      </c>
      <c r="K22" s="407">
        <f>IF($B20=$F$70,+'8. KW and Non-Weather Sensitive'!$F$27,IF($B20=$F$71,+'8. KW and Non-Weather Sensitive'!$Q$27,IF($B20=$F$72,+'8. KW and Non-Weather Sensitive'!$AA$27,IF($B20=$F$73,+'8. KW and Non-Weather Sensitive'!$AK$27,+IF($B20=$F$74,+'8. KW and Non-Weather Sensitive'!$AU$27,0)))))</f>
        <v>0</v>
      </c>
      <c r="L22" s="407">
        <f>IF($B20=$F$70,+'8. KW and Non-Weather Sensitive'!$F$28,IF($B20=$F$71,+'8. KW and Non-Weather Sensitive'!$Q$28,IF($B20=$F$72,+'8. KW and Non-Weather Sensitive'!$AA$28,IF($B20=$F$73,+'8. KW and Non-Weather Sensitive'!$AK$28,+IF($B20=$F$74,+'8. KW and Non-Weather Sensitive'!$AU$28,0)))))</f>
        <v>0</v>
      </c>
      <c r="M22" s="407">
        <f>IF($B20=$F$70,+'8. KW and Non-Weather Sensitive'!$F$29,IF($B20=$F$71,+'8. KW and Non-Weather Sensitive'!$Q$29,IF($B20=$F$72,+'8. KW and Non-Weather Sensitive'!$AA$29,IF($B20=$F$73,+'8. KW and Non-Weather Sensitive'!$AK$29,+IF($B20=$F$74,+'8. KW and Non-Weather Sensitive'!$AU$29,0)))))</f>
        <v>0</v>
      </c>
      <c r="N22" s="407">
        <f>IF($B20=$F$70,+'8. KW and Non-Weather Sensitive'!$F$30,IF($B20=$F$71,+'8. KW and Non-Weather Sensitive'!$Q$30,IF($B20=$F$72,+'8. KW and Non-Weather Sensitive'!$AA$30,IF($B20=$F$73,+'8. KW and Non-Weather Sensitive'!$AK$30,+IF($B20=$F$74,+'8. KW and Non-Weather Sensitive'!$AU$30,0)))))</f>
        <v>0</v>
      </c>
      <c r="O22" s="407">
        <f>IF($B20=$F$70,+'8. KW and Non-Weather Sensitive'!$J$49,IF($B20=$F$71,+'8. KW and Non-Weather Sensitive'!$U$49,IF($B20=$F$72,+'8. KW and Non-Weather Sensitive'!$AE$49,IF($B20=$F$73,+'8. KW and Non-Weather Sensitive'!$AO$49,+IF($B20=$F$74,+'8. KW and Non-Weather Sensitive'!$AY$49,0)))))</f>
        <v>0</v>
      </c>
      <c r="P22" s="511">
        <f>IF($B20=$F$70,+'8. KW and Non-Weather Sensitive'!$J$50,IF($B20=$F$71,+'8. KW and Non-Weather Sensitive'!$U$50,IF($B20=$F$72,+'8. KW and Non-Weather Sensitive'!$AE$50,IF($B20=$F$73,+'8. KW and Non-Weather Sensitive'!$AO$50,+IF($B20=$F$74,+'8. KW and Non-Weather Sensitive'!$AY$50,0)))))</f>
        <v>0</v>
      </c>
    </row>
    <row r="23" spans="2:16" x14ac:dyDescent="0.2">
      <c r="B23" s="89"/>
      <c r="C23" s="778"/>
      <c r="D23" s="59"/>
      <c r="E23" s="407"/>
      <c r="F23" s="407"/>
      <c r="G23" s="407"/>
      <c r="H23" s="407"/>
      <c r="I23" s="407"/>
      <c r="J23" s="407"/>
      <c r="K23" s="407"/>
      <c r="L23" s="407"/>
      <c r="M23" s="407"/>
      <c r="N23" s="407"/>
      <c r="O23" s="408"/>
      <c r="P23" s="409"/>
    </row>
    <row r="24" spans="2:16" x14ac:dyDescent="0.2">
      <c r="B24" s="762" t="s">
        <v>276</v>
      </c>
      <c r="C24" s="777" t="str">
        <f>IF($B24=$F$65,+$B$65,+IF($B24=$F$66,+$B$66,+IF($B24=$F$67,+$B$67,+IF($B24=$F$67,$B$67,+IF($B24=$F$68,+$B$68,+IF($B24=$F$69,+$B$69,+IF($B24=$F$70,+$B$70,+IF($B24=$F$71,+$B$71,+IF($B24=$F$72,+$B$72,+IF($B24=$F$73,+$B$73,+IF($B24=$F$74,+$B$74)))))))))))</f>
        <v>Unmetered Scattered Load</v>
      </c>
      <c r="D24" s="88" t="s">
        <v>131</v>
      </c>
      <c r="E24" s="509">
        <f>IF($C24='4. Customer Growth'!$C$15,+'4. Customer Growth'!$C$17,+IF($C24='4. Customer Growth'!$E$15,+'4. Customer Growth'!$E$17,+IF($C24='4. Customer Growth'!$G$15,+'4. Customer Growth'!$G$17,+IF($C24='4. Customer Growth'!$I$15,+'4. Customer Growth'!$I$17,+IF($C24='4. Customer Growth'!$K$15,+'4. Customer Growth'!$K$17,+IF($C24='4. Customer Growth'!$M$15,+'4. Customer Growth'!$M$17,IF($C24='4. Customer Growth'!$O$15,+'4. Customer Growth'!$O$17)))))))</f>
        <v>17</v>
      </c>
      <c r="F24" s="509">
        <f>IF($C24='4. Customer Growth'!$C$15,+'4. Customer Growth'!$C$18,+IF($C24='4. Customer Growth'!$E$15,+'4. Customer Growth'!$E$18,+IF($C24='4. Customer Growth'!$G$15,+'4. Customer Growth'!$G$18,+IF($C24='4. Customer Growth'!$I$15,+'4. Customer Growth'!$I$18,+IF($C24='4. Customer Growth'!$K$15,+'4. Customer Growth'!$K$18,+IF($C24='4. Customer Growth'!$M$15,+'4. Customer Growth'!$M$18,IF($C24='4. Customer Growth'!$O$15,+'4. Customer Growth'!$O$18)))))))</f>
        <v>20</v>
      </c>
      <c r="G24" s="509">
        <f>IF($C24='4. Customer Growth'!$C$15,+'4. Customer Growth'!$C$19,+IF($C24='4. Customer Growth'!$E$15,+'4. Customer Growth'!$E$19,+IF($C24='4. Customer Growth'!$G$15,+'4. Customer Growth'!$G$19,+IF($C24='4. Customer Growth'!$I$15,+'4. Customer Growth'!$I$19,+IF($C24='4. Customer Growth'!$K$15,+'4. Customer Growth'!$K$19,+IF($C24='4. Customer Growth'!$M$15,+'4. Customer Growth'!$M$19,IF($C24='4. Customer Growth'!$O$15,+'4. Customer Growth'!$O$19)))))))</f>
        <v>20</v>
      </c>
      <c r="H24" s="509">
        <f>IF($C24='4. Customer Growth'!$C$15,+'4. Customer Growth'!$C$20,+IF($C24='4. Customer Growth'!$E$15,+'4. Customer Growth'!$E$20,+IF($C24='4. Customer Growth'!$G$15,+'4. Customer Growth'!$G$20,+IF($C24='4. Customer Growth'!$I$15,+'4. Customer Growth'!$I$20,+IF($C24='4. Customer Growth'!$K$15,+'4. Customer Growth'!$K$20,+IF($C24='4. Customer Growth'!$M$15,+'4. Customer Growth'!$M$20,IF($C24='4. Customer Growth'!$O$15,+'4. Customer Growth'!$O$20)))))))</f>
        <v>20</v>
      </c>
      <c r="I24" s="509">
        <f>IF($C24='4. Customer Growth'!$C$15,+'4. Customer Growth'!$C$21,+IF($C24='4. Customer Growth'!$E$15,+'4. Customer Growth'!$E$21,+IF($C24='4. Customer Growth'!$G$15,+'4. Customer Growth'!$G$21,+IF($C24='4. Customer Growth'!$I$15,+'4. Customer Growth'!$I$21,+IF($C24='4. Customer Growth'!$K$15,+'4. Customer Growth'!$K$21,+IF($C24='4. Customer Growth'!$M$15,+'4. Customer Growth'!$M$21,IF($C24='4. Customer Growth'!$O$15,+'4. Customer Growth'!$O$21)))))))</f>
        <v>20</v>
      </c>
      <c r="J24" s="509">
        <f>IF($C24='4. Customer Growth'!$C$15,+'4. Customer Growth'!$C$22,+IF($C24='4. Customer Growth'!$E$15,+'4. Customer Growth'!$E$22,+IF($C24='4. Customer Growth'!$G$15,+'4. Customer Growth'!$G$22,+IF($C24='4. Customer Growth'!$I$15,+'4. Customer Growth'!$I$22,+IF($C24='4. Customer Growth'!$K$15,+'4. Customer Growth'!$K$22,+IF($C24='4. Customer Growth'!$M$15,+'4. Customer Growth'!$M$22,IF($C24='4. Customer Growth'!$O$15,+'4. Customer Growth'!$O$22)))))))</f>
        <v>20</v>
      </c>
      <c r="K24" s="509">
        <f>IF($C24='4. Customer Growth'!$C$15,+'4. Customer Growth'!$C$23,+IF($C24='4. Customer Growth'!$E$15,+'4. Customer Growth'!$E$23,+IF($C24='4. Customer Growth'!$G$15,+'4. Customer Growth'!$G$23,+IF($C24='4. Customer Growth'!$I$15,+'4. Customer Growth'!$I$23,+IF($C24='4. Customer Growth'!$K$15,+'4. Customer Growth'!$K$23,+IF($C24='4. Customer Growth'!$M$15,+'4. Customer Growth'!$M$23,IF($C24='4. Customer Growth'!$O$15,+'4. Customer Growth'!$O$23)))))))</f>
        <v>20</v>
      </c>
      <c r="L24" s="509">
        <f>IF($C24='4. Customer Growth'!$C$15,+'4. Customer Growth'!$C$24,+IF($C24='4. Customer Growth'!$E$15,+'4. Customer Growth'!$E$24,+IF($C24='4. Customer Growth'!$G$15,+'4. Customer Growth'!$G$24,+IF($C24='4. Customer Growth'!$I$15,+'4. Customer Growth'!$I$24,+IF($C24='4. Customer Growth'!$K$15,+'4. Customer Growth'!$K$24,+IF($C24='4. Customer Growth'!$M$15,+'4. Customer Growth'!$M$24,IF($C24='4. Customer Growth'!$O$15,+'4. Customer Growth'!$O$24)))))))</f>
        <v>20</v>
      </c>
      <c r="M24" s="509">
        <f>IF($C24='4. Customer Growth'!$C$15,+'4. Customer Growth'!$C$25,+IF($C24='4. Customer Growth'!$E$15,+'4. Customer Growth'!$E$25,+IF($C24='4. Customer Growth'!$G$15,+'4. Customer Growth'!$G$25,+IF($C24='4. Customer Growth'!$I$15,+'4. Customer Growth'!$I$25,+IF($C24='4. Customer Growth'!$K$15,+'4. Customer Growth'!$K$25,+IF($C24='4. Customer Growth'!$M$15,+'4. Customer Growth'!$M$25,IF($C24='4. Customer Growth'!$O$15,+'4. Customer Growth'!$O$25)))))))</f>
        <v>20</v>
      </c>
      <c r="N24" s="509">
        <f>IF($C24='4. Customer Growth'!$C$15,+'4. Customer Growth'!$C$26,+IF($C24='4. Customer Growth'!$E$15,+'4. Customer Growth'!$E$26,+IF($C24='4. Customer Growth'!$G$15,+'4. Customer Growth'!$G$26,+IF($C24='4. Customer Growth'!$I$15,+'4. Customer Growth'!$I$26,+IF($C24='4. Customer Growth'!$K$15,+'4. Customer Growth'!$K$26,+IF($C24='4. Customer Growth'!$M$15,+'4. Customer Growth'!$M$26,IF($C24='4. Customer Growth'!$O$15,+'4. Customer Growth'!$O$26)))))))</f>
        <v>20</v>
      </c>
      <c r="O24" s="509">
        <f>IF($C24='4. Customer Growth'!$C$15,+'4. Customer Growth'!$C$42,+IF($C24='4. Customer Growth'!$E$15,+'4. Customer Growth'!$E$42,+IF($C24='4. Customer Growth'!$G$15,+'4. Customer Growth'!$G$42,+IF($C24='4. Customer Growth'!$I$15,+'4. Customer Growth'!$I$42,+IF($C24='4. Customer Growth'!$K$15,+'4. Customer Growth'!$K$42,+IF($C24='4. Customer Growth'!$M$15,+'4. Customer Growth'!$M$42,IF($C24='4. Customer Growth'!$O$15,+'4. Customer Growth'!$O$42)))))))</f>
        <v>20</v>
      </c>
      <c r="P24" s="510">
        <f>IF($C24='4. Customer Growth'!$C$15,+'4. Customer Growth'!$C$43,+IF($C24='4. Customer Growth'!$E$15,+'4. Customer Growth'!$E$43,+IF($C24='4. Customer Growth'!$G$15,+'4. Customer Growth'!$G$43,+IF($C24='4. Customer Growth'!$I$15,+'4. Customer Growth'!$I$43,+IF($C24='4. Customer Growth'!$K$15,+'4. Customer Growth'!$K$43,+IF($C24='4. Customer Growth'!$M$15,+'4. Customer Growth'!$M$43,IF($C24='4. Customer Growth'!$O$15,+'4. Customer Growth'!$O$43)))))))</f>
        <v>20</v>
      </c>
    </row>
    <row r="25" spans="2:16" x14ac:dyDescent="0.2">
      <c r="B25" s="89"/>
      <c r="C25" s="778"/>
      <c r="D25" s="59" t="s">
        <v>36</v>
      </c>
      <c r="E25" s="509">
        <f>IF($B24=$F$65,+'7. Weather Senstive Class'!$G$21,IF($B24=$F$66,+'7. Weather Senstive Class'!$O$21,IF($B24=$F$67,+'7. Weather Senstive Class'!$W$21,IF($B24=$F$68,+'7. Weather Senstive Class'!$AE$21,IF($B24=$F$69,+'7. Weather Senstive Class'!$AM$21,IF($B24=$F$70,+'8. KW and Non-Weather Sensitive'!$E$21,IF($B24=$F$71,+'8. KW and Non-Weather Sensitive'!$P$21,IF($B24=$F$72,+'8. KW and Non-Weather Sensitive'!$Z$21,IF($B24=$F$73,+'8. KW and Non-Weather Sensitive'!$AJ$21,IF($B24=$F$74,+'8. KW and Non-Weather Sensitive'!$AT$21))))))))))</f>
        <v>593390</v>
      </c>
      <c r="F25" s="509">
        <f>IF($B24=$F$65,+'7. Weather Senstive Class'!$G$22,IF($B24=$F$66,+'7. Weather Senstive Class'!$O$22,IF($B24=$F$67,+'7. Weather Senstive Class'!$W$22,IF($B24=$F$68,+'7. Weather Senstive Class'!$AE$22,IF($B24=$F$69,+'7. Weather Senstive Class'!$AM$22,IF($B24=$F$70,+'8. KW and Non-Weather Sensitive'!$E$22,IF($B24=$F$71,+'8. KW and Non-Weather Sensitive'!$P$22,IF($B24=$F$72,+'8. KW and Non-Weather Sensitive'!$Z$22,IF($B24=$F$73,+'8. KW and Non-Weather Sensitive'!$AJ$22,IF($B24=$F$74,+'8. KW and Non-Weather Sensitive'!$AT$22))))))))))</f>
        <v>364006</v>
      </c>
      <c r="G25" s="509">
        <f>IF($B24=$F$65,+'7. Weather Senstive Class'!$G$23,IF($B24=$F$66,+'7. Weather Senstive Class'!$O$23,IF($B24=$F$67,+'7. Weather Senstive Class'!$W$23,IF($B24=$F$68,+'7. Weather Senstive Class'!$AE$23,IF($B24=$F$69,+'7. Weather Senstive Class'!$AM$23,IF($B24=$F$70,+'8. KW and Non-Weather Sensitive'!$E$23,IF($B24=$F$71,+'8. KW and Non-Weather Sensitive'!$P$23,IF($B24=$F$72,+'8. KW and Non-Weather Sensitive'!$Z$23,IF($B24=$F$73,+'8. KW and Non-Weather Sensitive'!$AJ$23,IF($B24=$F$74,+'8. KW and Non-Weather Sensitive'!$AT$23))))))))))</f>
        <v>348199</v>
      </c>
      <c r="H25" s="509">
        <f>IF($B24=$F$65,+'7. Weather Senstive Class'!$G$24,IF($B24=$F$66,+'7. Weather Senstive Class'!$O$24,IF($B24=$F$67,+'7. Weather Senstive Class'!$W$24,IF($B24=$F$68,+'7. Weather Senstive Class'!$AE$24,IF($B24=$F$69,+'7. Weather Senstive Class'!$AM$24,IF($B24=$F$70,+'8. KW and Non-Weather Sensitive'!$E$24,IF($B24=$F$71,+'8. KW and Non-Weather Sensitive'!$P$24,IF($B24=$F$72,+'8. KW and Non-Weather Sensitive'!$Z$24,IF($B24=$F$73,+'8. KW and Non-Weather Sensitive'!$AJ$24,IF($B24=$F$74,+'8. KW and Non-Weather Sensitive'!$AT$24))))))))))</f>
        <v>386944</v>
      </c>
      <c r="I25" s="509">
        <f>IF($B24=$F$65,+'7. Weather Senstive Class'!$G$25,IF($B24=$F$66,+'7. Weather Senstive Class'!$O$25,IF($B24=$F$67,+'7. Weather Senstive Class'!$W$25,IF($B24=$F$68,+'7. Weather Senstive Class'!$AE$25,IF($B24=$F$69,+'7. Weather Senstive Class'!$AM$25,IF($B24=$F$70,+'8. KW and Non-Weather Sensitive'!$E$25,IF($B24=$F$71,+'8. KW and Non-Weather Sensitive'!$P$25,IF($B24=$F$72,+'8. KW and Non-Weather Sensitive'!$Z$25,IF($B24=$F$73,+'8. KW and Non-Weather Sensitive'!$AJ$25,IF($B24=$F$74,+'8. KW and Non-Weather Sensitive'!$AT$25))))))))))</f>
        <v>437952.27</v>
      </c>
      <c r="J25" s="509">
        <f>IF($B24=$F$65,+'7. Weather Senstive Class'!$G$26,IF($B24=$F$66,+'7. Weather Senstive Class'!$O$26,IF($B24=$F$67,+'7. Weather Senstive Class'!$M$26,IF($B24=$F$68,+'7. Weather Senstive Class'!$AE$26,IF($B24=$F$69,+'7. Weather Senstive Class'!$AM$26,IF($B24=$F$70,+'8. KW and Non-Weather Sensitive'!$E$26,IF($B24=$F$71,+'8. KW and Non-Weather Sensitive'!$P$26,IF($B24=$F$72,+'8. KW and Non-Weather Sensitive'!$Z$26,IF($B24=$F$73,+'8. KW and Non-Weather Sensitive'!$AJ$26,IF($B24=$F$74,+'8. KW and Non-Weather Sensitive'!$AT$26))))))))))</f>
        <v>458526.4</v>
      </c>
      <c r="K25" s="509">
        <f>IF($B24=$F$65,+'7. Weather Senstive Class'!$G$27,IF($B24=$F$66,+'7. Weather Senstive Class'!$O$27,IF($B24=$F$67,+'7. Weather Senstive Class'!$W$27,IF($B24=$F$68,+'7. Weather Senstive Class'!$AE$27,IF($B24=$F$69,+'7. Weather Senstive Class'!$AM$27,IF($B24=$F$70,+'8. KW and Non-Weather Sensitive'!$E$27,IF($B24=$F$71,+'8. KW and Non-Weather Sensitive'!$P$27,IF($B24=$F$72,+'8. KW and Non-Weather Sensitive'!$Z$27,IF($B24=$F$73,+'8. KW and Non-Weather Sensitive'!$AJ$27,IF($B24=$F$74,+'8. KW and Non-Weather Sensitive'!$AT$27))))))))))</f>
        <v>469307.04</v>
      </c>
      <c r="L25" s="509">
        <f>IF($B24=$F$65,+'7. Weather Senstive Class'!$G$28,IF($B24=$F$66,+'7. Weather Senstive Class'!$O$28,IF($B24=$F$67,+'7. Weather Senstive Class'!$W$28,IF($B24=$F$68,+'7. Weather Senstive Class'!$AE$28,IF($B24=$F$69,+'7. Weather Senstive Class'!$AM$28,IF($B24=$F$70,+'8. KW and Non-Weather Sensitive'!$E$28,IF($B24=$F$71,+'8. KW and Non-Weather Sensitive'!$P$28,IF($B24=$F$72,+'8. KW and Non-Weather Sensitive'!$Z$28,IF($B24=$F$73,+'8. KW and Non-Weather Sensitive'!$AJ$28,IF($B24=$F$74,+'8. KW and Non-Weather Sensitive'!$AT$28))))))))))</f>
        <v>448159.09</v>
      </c>
      <c r="M25" s="509">
        <f>IF($B24=$F$65,+'7. Weather Senstive Class'!$G$29,IF($B24=$F$66,+'7. Weather Senstive Class'!$O$29,IF($B24=$F$67,+'7. Weather Senstive Class'!$W$29,IF($B24=$F$68,+'7. Weather Senstive Class'!$AE$29,IF($B24=$F$69,+'7. Weather Senstive Class'!$AM$29,IF($B24=$F$70,+'8. KW and Non-Weather Sensitive'!$E$29,IF($B24=$F$71,+'8. KW and Non-Weather Sensitive'!$P$29,IF($B24=$F$72,+'8. KW and Non-Weather Sensitive'!$Z$29,IF($B24=$F$73,+'8. KW and Non-Weather Sensitive'!$AJ$29,IF($B24=$F$74,+'8. KW and Non-Weather Sensitive'!$AT$29))))))))))</f>
        <v>453470.7</v>
      </c>
      <c r="N25" s="509">
        <f>IF($B24=$F$65,+'7. Weather Senstive Class'!$G$30,IF($B24=$F$66,+'7. Weather Senstive Class'!$O$30,IF($B24=$F$67,+'7. Weather Senstive Class'!$W$30,IF($B24=$F$68,+'7. Weather Senstive Class'!$AE$30,IF($B24=$F$69,+'7. Weather Senstive Class'!$AM$30,IF($B24=$F$70,+'8. KW and Non-Weather Sensitive'!$E$30,IF($B24=$F$71,+'8. KW and Non-Weather Sensitive'!$P$30,IF($B24=$F$72,+'8. KW and Non-Weather Sensitive'!$Z$30,IF($B24=$F$73,+'8. KW and Non-Weather Sensitive'!$AJ$30,IF($B24=$F$74,+'8. KW and Non-Weather Sensitive'!$AT$30))))))))))</f>
        <v>454406.25</v>
      </c>
      <c r="O25" s="509">
        <f>IF($B24=$F$65,+'7. Weather Senstive Class'!$H$42,IF($B24=$F$66,+'7. Weather Senstive Class'!$P$42,IF($B24=$F$67,+'7. Weather Senstive Class'!$X$42,IF($B24=$F$68,+'7. Weather Senstive Class'!$AF$42,IF($B24=$F$69,+'7. Weather Senstive Class'!$AN$42,IF($B24=$F$70,+'8. KW and Non-Weather Sensitive'!$I$49,IF($B24=$F$71,+'8. KW and Non-Weather Sensitive'!$T$49,IF($B24=$F$72,+'8. KW and Non-Weather Sensitive'!$AD$49,IF($B24=$F$73,+'8. KW and Non-Weather Sensitive'!$AN$49,IF($B24=$F$74,+'8. KW and Non-Weather Sensitive'!$AX$49))))))))))</f>
        <v>453036.20715519035</v>
      </c>
      <c r="P25" s="510">
        <f>IF($B24=$F$65,+'7. Weather Senstive Class'!$H$43,IF($B24=$F$66,+'7. Weather Senstive Class'!$P$43,IF($B24=$F$67,+'7. Weather Senstive Class'!$X$43,IF($B24=$F$68,+'7. Weather Senstive Class'!$AF$43,IF($B24=$F$69,+'7. Weather Senstive Class'!$AN$43,IF($B24=$F$70,+'8. KW and Non-Weather Sensitive'!$I$50,IF($B24=$F$71,+'8. KW and Non-Weather Sensitive'!$T$50,IF($B24=$F$72,+'8. KW and Non-Weather Sensitive'!$AD$50,IF($B24=$F$73,+'8. KW and Non-Weather Sensitive'!$AN$50,IF($B24=$F$74,+'8. KW and Non-Weather Sensitive'!$AX$50))))))))))</f>
        <v>452178.74348996708</v>
      </c>
    </row>
    <row r="26" spans="2:16" x14ac:dyDescent="0.2">
      <c r="B26" s="89"/>
      <c r="C26" s="778"/>
      <c r="D26" s="59" t="s">
        <v>37</v>
      </c>
      <c r="E26" s="407">
        <f>IF(B$24=$F$70,+'8. KW and Non-Weather Sensitive'!$F$21,IF($B24=$F$71,+'8. KW and Non-Weather Sensitive'!$Q$21,IF($B24=$F$72,+'8. KW and Non-Weather Sensitive'!$AA$21,IF($B24=$F$73,+'8. KW and Non-Weather Sensitive'!$AK$21,+IF($B24=$F$74,+'8. KW and Non-Weather Sensitive'!$AU$21,0)))))</f>
        <v>0</v>
      </c>
      <c r="F26" s="407">
        <f>IF($B24=$F$70,+'8. KW and Non-Weather Sensitive'!$F$22,IF($B24=$F$71,+'8. KW and Non-Weather Sensitive'!$Q$22,IF($B24=$F$72,+'8. KW and Non-Weather Sensitive'!$AA$22,IF($B24=$F$73,+'8. KW and Non-Weather Sensitive'!$AK$22,+IF($B24=$F$74,+'8. KW and Non-Weather Sensitive'!$AU$22,0)))))</f>
        <v>0</v>
      </c>
      <c r="G26" s="407">
        <f>IF($B24=$F$70,+'8. KW and Non-Weather Sensitive'!$F$23,IF($B24=$F$71,+'8. KW and Non-Weather Sensitive'!$Q$23,IF($B24=$F$72,+'8. KW and Non-Weather Sensitive'!$AA$23,IF($B24=$F$73,+'8. KW and Non-Weather Sensitive'!$AK$23,+IF($B24=$F$74,+'8. KW and Non-Weather Sensitive'!$AU$23,0)))))</f>
        <v>0</v>
      </c>
      <c r="H26" s="407">
        <f>IF($B24=$F$70,+'8. KW and Non-Weather Sensitive'!$F$24,IF($B24=$F$71,+'8. KW and Non-Weather Sensitive'!$Q$24,IF($B24=$F$72,+'8. KW and Non-Weather Sensitive'!$AA$24,IF($B24=$F$73,+'8. KW and Non-Weather Sensitive'!$AK$24,+IF($B24=$F$74,+'8. KW and Non-Weather Sensitive'!$AU$24,0)))))</f>
        <v>0</v>
      </c>
      <c r="I26" s="407">
        <f>IF($B24=$F$70,+'8. KW and Non-Weather Sensitive'!$F$25,IF($B24=$F$71,+'8. KW and Non-Weather Sensitive'!$Q$25,IF($B24=$F$72,+'8. KW and Non-Weather Sensitive'!$AA$25,IF($B24=$F$73,+'8. KW and Non-Weather Sensitive'!$AK$25,+IF($B24=$F$74,+'8. KW and Non-Weather Sensitive'!$AU$25,0)))))</f>
        <v>0</v>
      </c>
      <c r="J26" s="407">
        <f>IF($B24=$F$70,+'8. KW and Non-Weather Sensitive'!$F$26,IF($B24=$F$71,+'8. KW and Non-Weather Sensitive'!$Q$26,IF($B24=$F$72,+'8. KW and Non-Weather Sensitive'!$AA$26,IF($B24=$F$73,+'8. KW and Non-Weather Sensitive'!$AK$26,+IF($B24=$F$74,+'8. KW and Non-Weather Sensitive'!$AU$26,0)))))</f>
        <v>0</v>
      </c>
      <c r="K26" s="407">
        <f>IF($B24=$F$70,+'8. KW and Non-Weather Sensitive'!$F$27,IF($B24=$F$71,+'8. KW and Non-Weather Sensitive'!$Q$27,IF($B24=$F$72,+'8. KW and Non-Weather Sensitive'!$AA$27,IF($B24=$F$73,+'8. KW and Non-Weather Sensitive'!$AK$27,+IF($B24=$F$74,+'8. KW and Non-Weather Sensitive'!$AU$27,0)))))</f>
        <v>0</v>
      </c>
      <c r="L26" s="407">
        <f>IF($B24=$F$70,+'8. KW and Non-Weather Sensitive'!$F$28,IF($B24=$F$71,+'8. KW and Non-Weather Sensitive'!$Q$28,IF($B24=$F$72,+'8. KW and Non-Weather Sensitive'!$AA$28,IF($B24=$F$73,+'8. KW and Non-Weather Sensitive'!$AK$28,+IF($B24=$F$74,+'8. KW and Non-Weather Sensitive'!$AU$28,0)))))</f>
        <v>0</v>
      </c>
      <c r="M26" s="407">
        <f>IF($B24=$F$70,+'8. KW and Non-Weather Sensitive'!$F$29,IF($B24=$F$71,+'8. KW and Non-Weather Sensitive'!$Q$29,IF($B24=$F$72,+'8. KW and Non-Weather Sensitive'!$AA$29,IF($B24=$F$73,+'8. KW and Non-Weather Sensitive'!$AK$29,+IF($B24=$F$74,+'8. KW and Non-Weather Sensitive'!$AU$29,0)))))</f>
        <v>0</v>
      </c>
      <c r="N26" s="407">
        <f>IF($B24=$F$70,+'8. KW and Non-Weather Sensitive'!$F$30,IF($B24=$F$71,+'8. KW and Non-Weather Sensitive'!$Q$30,IF($B24=$F$72,+'8. KW and Non-Weather Sensitive'!$AA$30,IF($B24=$F$73,+'8. KW and Non-Weather Sensitive'!$AK$30,+IF($B24=$F$74,+'8. KW and Non-Weather Sensitive'!$AU$30,0)))))</f>
        <v>0</v>
      </c>
      <c r="O26" s="407">
        <f>IF($B24=$F$70,+'8. KW and Non-Weather Sensitive'!$J$49,IF($B24=$F$71,+'8. KW and Non-Weather Sensitive'!$U$49,IF($B24=$F$72,+'8. KW and Non-Weather Sensitive'!$AE$49,IF($B24=$F$73,+'8. KW and Non-Weather Sensitive'!$AO$49,+IF($B24=$F$74,+'8. KW and Non-Weather Sensitive'!$AY$49,0)))))</f>
        <v>0</v>
      </c>
      <c r="P26" s="511">
        <f>IF($B24=$F$70,+'8. KW and Non-Weather Sensitive'!$J$50,IF($B24=$F$71,+'8. KW and Non-Weather Sensitive'!$U$50,IF($B24=$F$72,+'8. KW and Non-Weather Sensitive'!$AE$50,IF($B24=$F$73,+'8. KW and Non-Weather Sensitive'!$AO$50,+IF($B24=$F$74,+'8. KW and Non-Weather Sensitive'!$AY$50,0)))))</f>
        <v>0</v>
      </c>
    </row>
    <row r="27" spans="2:16" x14ac:dyDescent="0.2">
      <c r="B27" s="89"/>
      <c r="C27" s="778"/>
      <c r="D27" s="59"/>
      <c r="E27" s="407"/>
      <c r="F27" s="407"/>
      <c r="G27" s="407"/>
      <c r="H27" s="407"/>
      <c r="I27" s="407"/>
      <c r="J27" s="407"/>
      <c r="K27" s="407"/>
      <c r="L27" s="407"/>
      <c r="M27" s="407"/>
      <c r="N27" s="407"/>
      <c r="O27" s="408"/>
      <c r="P27" s="409"/>
    </row>
    <row r="28" spans="2:16" x14ac:dyDescent="0.2">
      <c r="B28" s="762" t="s">
        <v>269</v>
      </c>
      <c r="C28" s="777" t="str">
        <f>IF($B28=$F$65,+$B$65,+IF($B28=$F$66,+$B$66,+IF($B28=$F$67,+$B$67,+IF($B28=$F$67,$B$67,+IF($B28=$F$68,+$B$68,+IF($B28=$F$69,+$B$69,+IF($B28=$F$70,+$B$70,+IF($B28=$F$71,+$B$71,+IF($B28=$F$72,+$B$72,+IF($B28=$F$73,+$B$73,+IF($B28=$F$74,+$B$74)))))))))))</f>
        <v>General Service &gt; 50 kW - 4999 kW</v>
      </c>
      <c r="D28" s="59" t="s">
        <v>131</v>
      </c>
      <c r="E28" s="509">
        <f>IF($C28='4. Customer Growth'!$C$15,+'4. Customer Growth'!$C$17,+IF($C28='4. Customer Growth'!$E$15,+'4. Customer Growth'!$E$17,+IF($C28='4. Customer Growth'!$G$15,+'4. Customer Growth'!$G$17,+IF($C28='4. Customer Growth'!$I$15,+'4. Customer Growth'!$I$17,+IF($C28='4. Customer Growth'!$K$15,+'4. Customer Growth'!$K$17,+IF($C28='4. Customer Growth'!$M$15,+'4. Customer Growth'!$M$17,IF($C28='4. Customer Growth'!$O$15,+'4. Customer Growth'!$O$17)))))))</f>
        <v>134</v>
      </c>
      <c r="F28" s="509">
        <f>IF($C28='4. Customer Growth'!$C$15,+'4. Customer Growth'!$C$18,+IF($C28='4. Customer Growth'!$E$15,+'4. Customer Growth'!$E$18,+IF($C28='4. Customer Growth'!$G$15,+'4. Customer Growth'!$G$18,+IF($C28='4. Customer Growth'!$I$15,+'4. Customer Growth'!$I$18,+IF($C28='4. Customer Growth'!$K$15,+'4. Customer Growth'!$K$18,+IF($C28='4. Customer Growth'!$M$15,+'4. Customer Growth'!$M$18,IF($C28='4. Customer Growth'!$O$15,+'4. Customer Growth'!$O$18)))))))</f>
        <v>136</v>
      </c>
      <c r="G28" s="509">
        <f>IF($C28='4. Customer Growth'!$C$15,+'4. Customer Growth'!$C$19,+IF($C28='4. Customer Growth'!$E$15,+'4. Customer Growth'!$E$19,+IF($C28='4. Customer Growth'!$G$15,+'4. Customer Growth'!$G$19,+IF($C28='4. Customer Growth'!$I$15,+'4. Customer Growth'!$I$19,+IF($C28='4. Customer Growth'!$K$15,+'4. Customer Growth'!$K$19,+IF($C28='4. Customer Growth'!$M$15,+'4. Customer Growth'!$M$19,IF($C28='4. Customer Growth'!$O$15,+'4. Customer Growth'!$O$19)))))))</f>
        <v>136</v>
      </c>
      <c r="H28" s="509">
        <f>IF($C28='4. Customer Growth'!$C$15,+'4. Customer Growth'!$C$20,+IF($C28='4. Customer Growth'!$E$15,+'4. Customer Growth'!$E$20,+IF($C28='4. Customer Growth'!$G$15,+'4. Customer Growth'!$G$20,+IF($C28='4. Customer Growth'!$I$15,+'4. Customer Growth'!$I$20,+IF($C28='4. Customer Growth'!$K$15,+'4. Customer Growth'!$K$20,+IF($C28='4. Customer Growth'!$M$15,+'4. Customer Growth'!$M$20,IF($C28='4. Customer Growth'!$O$15,+'4. Customer Growth'!$O$20)))))))</f>
        <v>143</v>
      </c>
      <c r="I28" s="509">
        <f>IF($C28='4. Customer Growth'!$C$15,+'4. Customer Growth'!$C$21,+IF($C28='4. Customer Growth'!$E$15,+'4. Customer Growth'!$E$21,+IF($C28='4. Customer Growth'!$G$15,+'4. Customer Growth'!$G$21,+IF($C28='4. Customer Growth'!$I$15,+'4. Customer Growth'!$I$21,+IF($C28='4. Customer Growth'!$K$15,+'4. Customer Growth'!$K$21,+IF($C28='4. Customer Growth'!$M$15,+'4. Customer Growth'!$M$21,IF($C28='4. Customer Growth'!$O$15,+'4. Customer Growth'!$O$21)))))))</f>
        <v>144</v>
      </c>
      <c r="J28" s="509">
        <f>IF($C28='4. Customer Growth'!$C$15,+'4. Customer Growth'!$C$22,+IF($C28='4. Customer Growth'!$E$15,+'4. Customer Growth'!$E$22,+IF($C28='4. Customer Growth'!$G$15,+'4. Customer Growth'!$G$22,+IF($C28='4. Customer Growth'!$I$15,+'4. Customer Growth'!$I$22,+IF($C28='4. Customer Growth'!$K$15,+'4. Customer Growth'!$K$22,+IF($C28='4. Customer Growth'!$M$15,+'4. Customer Growth'!$M$22,IF($C28='4. Customer Growth'!$O$15,+'4. Customer Growth'!$O$22)))))))</f>
        <v>148</v>
      </c>
      <c r="K28" s="509">
        <f>IF($C28='4. Customer Growth'!$C$15,+'4. Customer Growth'!$C$23,+IF($C28='4. Customer Growth'!$E$15,+'4. Customer Growth'!$E$23,+IF($C28='4. Customer Growth'!$G$15,+'4. Customer Growth'!$G$23,+IF($C28='4. Customer Growth'!$I$15,+'4. Customer Growth'!$I$23,+IF($C28='4. Customer Growth'!$K$15,+'4. Customer Growth'!$K$23,+IF($C28='4. Customer Growth'!$M$15,+'4. Customer Growth'!$M$23,IF($C28='4. Customer Growth'!$O$15,+'4. Customer Growth'!$O$23)))))))</f>
        <v>145</v>
      </c>
      <c r="L28" s="509">
        <f>IF($C28='4. Customer Growth'!$C$15,+'4. Customer Growth'!$C$24,+IF($C28='4. Customer Growth'!$E$15,+'4. Customer Growth'!$E$24,+IF($C28='4. Customer Growth'!$G$15,+'4. Customer Growth'!$G$24,+IF($C28='4. Customer Growth'!$I$15,+'4. Customer Growth'!$I$24,+IF($C28='4. Customer Growth'!$K$15,+'4. Customer Growth'!$K$24,+IF($C28='4. Customer Growth'!$M$15,+'4. Customer Growth'!$M$24,IF($C28='4. Customer Growth'!$O$15,+'4. Customer Growth'!$O$24)))))))</f>
        <v>145</v>
      </c>
      <c r="M28" s="509">
        <f>IF($C28='4. Customer Growth'!$C$15,+'4. Customer Growth'!$C$25,+IF($C28='4. Customer Growth'!$E$15,+'4. Customer Growth'!$E$25,+IF($C28='4. Customer Growth'!$G$15,+'4. Customer Growth'!$G$25,+IF($C28='4. Customer Growth'!$I$15,+'4. Customer Growth'!$I$25,+IF($C28='4. Customer Growth'!$K$15,+'4. Customer Growth'!$K$25,+IF($C28='4. Customer Growth'!$M$15,+'4. Customer Growth'!$M$25,IF($C28='4. Customer Growth'!$O$15,+'4. Customer Growth'!$O$25)))))))</f>
        <v>145.5</v>
      </c>
      <c r="N28" s="509">
        <f>IF($C28='4. Customer Growth'!$C$15,+'4. Customer Growth'!$C$26,+IF($C28='4. Customer Growth'!$E$15,+'4. Customer Growth'!$E$26,+IF($C28='4. Customer Growth'!$G$15,+'4. Customer Growth'!$G$26,+IF($C28='4. Customer Growth'!$I$15,+'4. Customer Growth'!$I$26,+IF($C28='4. Customer Growth'!$K$15,+'4. Customer Growth'!$K$26,+IF($C28='4. Customer Growth'!$M$15,+'4. Customer Growth'!$M$26,IF($C28='4. Customer Growth'!$O$15,+'4. Customer Growth'!$O$26)))))))</f>
        <v>146.5</v>
      </c>
      <c r="O28" s="509">
        <f>IF($C28='4. Customer Growth'!$C$15,+'4. Customer Growth'!$C$42,+IF($C28='4. Customer Growth'!$E$15,+'4. Customer Growth'!$E$42,+IF($C28='4. Customer Growth'!$G$15,+'4. Customer Growth'!$G$42,+IF($C28='4. Customer Growth'!$I$15,+'4. Customer Growth'!$I$42,+IF($C28='4. Customer Growth'!$K$15,+'4. Customer Growth'!$K$42,+IF($C28='4. Customer Growth'!$M$15,+'4. Customer Growth'!$M$42,IF($C28='4. Customer Growth'!$O$15,+'4. Customer Growth'!$O$42)))))))</f>
        <v>146</v>
      </c>
      <c r="P28" s="510">
        <f>IF($C28='4. Customer Growth'!$C$15,+'4. Customer Growth'!$C$43,+IF($C28='4. Customer Growth'!$E$15,+'4. Customer Growth'!$E$43,+IF($C28='4. Customer Growth'!$G$15,+'4. Customer Growth'!$G$43,+IF($C28='4. Customer Growth'!$I$15,+'4. Customer Growth'!$I$43,+IF($C28='4. Customer Growth'!$K$15,+'4. Customer Growth'!$K$43,+IF($C28='4. Customer Growth'!$M$15,+'4. Customer Growth'!$M$43,IF($C28='4. Customer Growth'!$O$15,+'4. Customer Growth'!$O$43)))))))</f>
        <v>148</v>
      </c>
    </row>
    <row r="29" spans="2:16" x14ac:dyDescent="0.2">
      <c r="B29" s="89"/>
      <c r="C29" s="778"/>
      <c r="D29" s="59" t="s">
        <v>36</v>
      </c>
      <c r="E29" s="509">
        <f>IF($B28=$F$65,+'7. Weather Senstive Class'!$G$21,IF($B28=$F$66,+'7. Weather Senstive Class'!$O$21,IF($B28=$F$67,+'7. Weather Senstive Class'!$W$21,IF($B28=$F$68,+'7. Weather Senstive Class'!$AE$21,IF($B28=$F$69,+'7. Weather Senstive Class'!$AM$21,IF($B28=$F$70,+'8. KW and Non-Weather Sensitive'!$E$21,IF($B28=$F$71,+'8. KW and Non-Weather Sensitive'!$P$21,IF($B28=$F$72,+'8. KW and Non-Weather Sensitive'!$Z$21,IF($B28=$F$73,+'8. KW and Non-Weather Sensitive'!$AJ$21,IF($B28=$F$74,+'8. KW and Non-Weather Sensitive'!$AT$21))))))))))</f>
        <v>74429057</v>
      </c>
      <c r="F29" s="509">
        <f>IF($B28=$F$65,+'7. Weather Senstive Class'!$G$22,IF($B28=$F$66,+'7. Weather Senstive Class'!$O$22,IF($B28=$F$67,+'7. Weather Senstive Class'!$W$22,IF($B28=$F$68,+'7. Weather Senstive Class'!$AE$22,IF($B28=$F$69,+'7. Weather Senstive Class'!$AM$22,IF($B28=$F$70,+'8. KW and Non-Weather Sensitive'!$E$22,IF($B28=$F$71,+'8. KW and Non-Weather Sensitive'!$P$22,IF($B28=$F$72,+'8. KW and Non-Weather Sensitive'!$Z$22,IF($B28=$F$73,+'8. KW and Non-Weather Sensitive'!$AJ$22,IF($B28=$F$74,+'8. KW and Non-Weather Sensitive'!$AT$22))))))))))</f>
        <v>75435895</v>
      </c>
      <c r="G29" s="509">
        <f>IF($B28=$F$65,+'7. Weather Senstive Class'!$G$23,IF($B28=$F$66,+'7. Weather Senstive Class'!$O$23,IF($B28=$F$67,+'7. Weather Senstive Class'!$W$23,IF($B28=$F$68,+'7. Weather Senstive Class'!$AE$23,IF($B28=$F$69,+'7. Weather Senstive Class'!$AM$23,IF($B28=$F$70,+'8. KW and Non-Weather Sensitive'!$E$23,IF($B28=$F$71,+'8. KW and Non-Weather Sensitive'!$P$23,IF($B28=$F$72,+'8. KW and Non-Weather Sensitive'!$Z$23,IF($B28=$F$73,+'8. KW and Non-Weather Sensitive'!$AJ$23,IF($B28=$F$74,+'8. KW and Non-Weather Sensitive'!$AT$23))))))))))</f>
        <v>78527667</v>
      </c>
      <c r="H29" s="509">
        <f>IF($B28=$F$65,+'7. Weather Senstive Class'!$G$24,IF($B28=$F$66,+'7. Weather Senstive Class'!$O$24,IF($B28=$F$67,+'7. Weather Senstive Class'!$W$24,IF($B28=$F$68,+'7. Weather Senstive Class'!$AE$24,IF($B28=$F$69,+'7. Weather Senstive Class'!$AM$24,IF($B28=$F$70,+'8. KW and Non-Weather Sensitive'!$E$24,IF($B28=$F$71,+'8. KW and Non-Weather Sensitive'!$P$24,IF($B28=$F$72,+'8. KW and Non-Weather Sensitive'!$Z$24,IF($B28=$F$73,+'8. KW and Non-Weather Sensitive'!$AJ$24,IF($B28=$F$74,+'8. KW and Non-Weather Sensitive'!$AT$24))))))))))</f>
        <v>78693630</v>
      </c>
      <c r="I29" s="509">
        <f>IF($B28=$F$65,+'7. Weather Senstive Class'!$G$25,IF($B28=$F$66,+'7. Weather Senstive Class'!$O$25,IF($B28=$F$67,+'7. Weather Senstive Class'!$W$25,IF($B28=$F$68,+'7. Weather Senstive Class'!$AE$25,IF($B28=$F$69,+'7. Weather Senstive Class'!$AM$25,IF($B28=$F$70,+'8. KW and Non-Weather Sensitive'!$E$25,IF($B28=$F$71,+'8. KW and Non-Weather Sensitive'!$P$25,IF($B28=$F$72,+'8. KW and Non-Weather Sensitive'!$Z$25,IF($B28=$F$73,+'8. KW and Non-Weather Sensitive'!$AJ$25,IF($B28=$F$74,+'8. KW and Non-Weather Sensitive'!$AT$25))))))))))</f>
        <v>78622635.780000001</v>
      </c>
      <c r="J29" s="509">
        <f>IF($B28=$F$65,+'7. Weather Senstive Class'!$G$26,IF($B28=$F$66,+'7. Weather Senstive Class'!$O$26,IF($B28=$F$67,+'7. Weather Senstive Class'!$M$26,IF($B28=$F$68,+'7. Weather Senstive Class'!$AE$26,IF($B28=$F$69,+'7. Weather Senstive Class'!$AM$26,IF($B28=$F$70,+'8. KW and Non-Weather Sensitive'!$E$26,IF($B28=$F$71,+'8. KW and Non-Weather Sensitive'!$P$26,IF($B28=$F$72,+'8. KW and Non-Weather Sensitive'!$Z$26,IF($B28=$F$73,+'8. KW and Non-Weather Sensitive'!$AJ$26,IF($B28=$F$74,+'8. KW and Non-Weather Sensitive'!$AT$26))))))))))</f>
        <v>76510234.719999999</v>
      </c>
      <c r="K29" s="509">
        <f>IF($B28=$F$65,+'7. Weather Senstive Class'!$G$27,IF($B28=$F$66,+'7. Weather Senstive Class'!$O$27,IF($B28=$F$67,+'7. Weather Senstive Class'!$W$27,IF($B28=$F$68,+'7. Weather Senstive Class'!$AE$27,IF($B28=$F$69,+'7. Weather Senstive Class'!$AM$27,IF($B28=$F$70,+'8. KW and Non-Weather Sensitive'!$E$27,IF($B28=$F$71,+'8. KW and Non-Weather Sensitive'!$P$27,IF($B28=$F$72,+'8. KW and Non-Weather Sensitive'!$Z$27,IF($B28=$F$73,+'8. KW and Non-Weather Sensitive'!$AJ$27,IF($B28=$F$74,+'8. KW and Non-Weather Sensitive'!$AT$27))))))))))</f>
        <v>74853997.430000007</v>
      </c>
      <c r="L29" s="509">
        <f>IF($B28=$F$65,+'7. Weather Senstive Class'!$G$28,IF($B28=$F$66,+'7. Weather Senstive Class'!$O$28,IF($B28=$F$67,+'7. Weather Senstive Class'!$W$28,IF($B28=$F$68,+'7. Weather Senstive Class'!$AE$28,IF($B28=$F$69,+'7. Weather Senstive Class'!$AM$28,IF($B28=$F$70,+'8. KW and Non-Weather Sensitive'!$E$28,IF($B28=$F$71,+'8. KW and Non-Weather Sensitive'!$P$28,IF($B28=$F$72,+'8. KW and Non-Weather Sensitive'!$Z$28,IF($B28=$F$73,+'8. KW and Non-Weather Sensitive'!$AJ$28,IF($B28=$F$74,+'8. KW and Non-Weather Sensitive'!$AT$28))))))))))</f>
        <v>74516293.329999998</v>
      </c>
      <c r="M29" s="509">
        <f>IF($B28=$F$65,+'7. Weather Senstive Class'!$G$29,IF($B28=$F$66,+'7. Weather Senstive Class'!$O$29,IF($B28=$F$67,+'7. Weather Senstive Class'!$W$29,IF($B28=$F$68,+'7. Weather Senstive Class'!$AE$29,IF($B28=$F$69,+'7. Weather Senstive Class'!$AM$29,IF($B28=$F$70,+'8. KW and Non-Weather Sensitive'!$E$29,IF($B28=$F$71,+'8. KW and Non-Weather Sensitive'!$P$29,IF($B28=$F$72,+'8. KW and Non-Weather Sensitive'!$Z$29,IF($B28=$F$73,+'8. KW and Non-Weather Sensitive'!$AJ$29,IF($B28=$F$74,+'8. KW and Non-Weather Sensitive'!$AT$29))))))))))</f>
        <v>73596923.409999996</v>
      </c>
      <c r="N29" s="509">
        <f>IF($B28=$F$65,+'7. Weather Senstive Class'!$G$30,IF($B28=$F$66,+'7. Weather Senstive Class'!$O$30,IF($B28=$F$67,+'7. Weather Senstive Class'!$W$30,IF($B28=$F$68,+'7. Weather Senstive Class'!$AE$30,IF($B28=$F$69,+'7. Weather Senstive Class'!$AM$30,IF($B28=$F$70,+'8. KW and Non-Weather Sensitive'!$E$30,IF($B28=$F$71,+'8. KW and Non-Weather Sensitive'!$P$30,IF($B28=$F$72,+'8. KW and Non-Weather Sensitive'!$Z$30,IF($B28=$F$73,+'8. KW and Non-Weather Sensitive'!$AJ$30,IF($B28=$F$74,+'8. KW and Non-Weather Sensitive'!$AT$30))))))))))</f>
        <v>72512848.979999989</v>
      </c>
      <c r="O29" s="509">
        <f>IF($B28=$F$65,+'7. Weather Senstive Class'!$H$42,IF($B28=$F$66,+'7. Weather Senstive Class'!$P$42,IF($B28=$F$67,+'7. Weather Senstive Class'!$X$42,IF($B28=$F$68,+'7. Weather Senstive Class'!$AF$42,IF($B28=$F$69,+'7. Weather Senstive Class'!$AN$42,IF($B28=$F$70,+'8. KW and Non-Weather Sensitive'!$I$49,IF($B28=$F$71,+'8. KW and Non-Weather Sensitive'!$T$49,IF($B28=$F$72,+'8. KW and Non-Weather Sensitive'!$AD$49,IF($B28=$F$73,+'8. KW and Non-Weather Sensitive'!$AN$49,IF($B28=$F$74,+'8. KW and Non-Weather Sensitive'!$AX$49))))))))))</f>
        <v>72294221.463539079</v>
      </c>
      <c r="P29" s="510">
        <f>IF($B28=$F$65,+'7. Weather Senstive Class'!$H$43,IF($B28=$F$66,+'7. Weather Senstive Class'!$P$43,IF($B28=$F$67,+'7. Weather Senstive Class'!$X$43,IF($B28=$F$68,+'7. Weather Senstive Class'!$AF$43,IF($B28=$F$69,+'7. Weather Senstive Class'!$AN$43,IF($B28=$F$70,+'8. KW and Non-Weather Sensitive'!$I$50,IF($B28=$F$71,+'8. KW and Non-Weather Sensitive'!$T$50,IF($B28=$F$72,+'8. KW and Non-Weather Sensitive'!$AD$50,IF($B28=$F$73,+'8. KW and Non-Weather Sensitive'!$AN$50,IF($B28=$F$74,+'8. KW and Non-Weather Sensitive'!$AX$50))))))))))</f>
        <v>72157389.865685463</v>
      </c>
    </row>
    <row r="30" spans="2:16" x14ac:dyDescent="0.2">
      <c r="B30" s="89"/>
      <c r="C30" s="778"/>
      <c r="D30" s="59" t="s">
        <v>37</v>
      </c>
      <c r="E30" s="407">
        <f>IF(B$28=$F$70,+'8. KW and Non-Weather Sensitive'!$F$21,IF($B28=$F$71,+'8. KW and Non-Weather Sensitive'!$Q$21,IF($B28=$F$72,+'8. KW and Non-Weather Sensitive'!$AA$21,IF($B28=$F$73,+'8. KW and Non-Weather Sensitive'!$AK$21,+IF($B28=$F$74,+'8. KW and Non-Weather Sensitive'!$AU$21,0)))))</f>
        <v>212943</v>
      </c>
      <c r="F30" s="407">
        <f>IF($B28=$F$70,+'8. KW and Non-Weather Sensitive'!$F$22,IF($B28=$F$71,+'8. KW and Non-Weather Sensitive'!$Q$22,IF($B28=$F$72,+'8. KW and Non-Weather Sensitive'!$AA$22,IF($B28=$F$73,+'8. KW and Non-Weather Sensitive'!$AK$22,+IF($B28=$F$74,+'8. KW and Non-Weather Sensitive'!$AU$22,0)))))</f>
        <v>207000</v>
      </c>
      <c r="G30" s="407">
        <f>IF($B28=$F$70,+'8. KW and Non-Weather Sensitive'!$F$23,IF($B28=$F$71,+'8. KW and Non-Weather Sensitive'!$Q$23,IF($B28=$F$72,+'8. KW and Non-Weather Sensitive'!$AA$23,IF($B28=$F$73,+'8. KW and Non-Weather Sensitive'!$AK$23,+IF($B28=$F$74,+'8. KW and Non-Weather Sensitive'!$AU$23,0)))))</f>
        <v>213039</v>
      </c>
      <c r="H30" s="407">
        <f>IF($B28=$F$70,+'8. KW and Non-Weather Sensitive'!$F$24,IF($B28=$F$71,+'8. KW and Non-Weather Sensitive'!$Q$24,IF($B28=$F$72,+'8. KW and Non-Weather Sensitive'!$AA$24,IF($B28=$F$73,+'8. KW and Non-Weather Sensitive'!$AK$24,+IF($B28=$F$74,+'8. KW and Non-Weather Sensitive'!$AU$24,0)))))</f>
        <v>202855</v>
      </c>
      <c r="I30" s="407">
        <f>IF($B28=$F$70,+'8. KW and Non-Weather Sensitive'!$F$25,IF($B28=$F$71,+'8. KW and Non-Weather Sensitive'!$Q$25,IF($B28=$F$72,+'8. KW and Non-Weather Sensitive'!$AA$25,IF($B28=$F$73,+'8. KW and Non-Weather Sensitive'!$AK$25,+IF($B28=$F$74,+'8. KW and Non-Weather Sensitive'!$AU$25,0)))))</f>
        <v>209853</v>
      </c>
      <c r="J30" s="407">
        <f>IF($B28=$F$70,+'8. KW and Non-Weather Sensitive'!$F$26,IF($B28=$F$71,+'8. KW and Non-Weather Sensitive'!$Q$26,IF($B28=$F$72,+'8. KW and Non-Weather Sensitive'!$AA$26,IF($B28=$F$73,+'8. KW and Non-Weather Sensitive'!$AK$26,+IF($B28=$F$74,+'8. KW and Non-Weather Sensitive'!$AU$26,0)))))</f>
        <v>202775</v>
      </c>
      <c r="K30" s="407">
        <f>IF($B28=$F$70,+'8. KW and Non-Weather Sensitive'!$F$27,IF($B28=$F$71,+'8. KW and Non-Weather Sensitive'!$Q$27,IF($B28=$F$72,+'8. KW and Non-Weather Sensitive'!$AA$27,IF($B28=$F$73,+'8. KW and Non-Weather Sensitive'!$AK$27,+IF($B28=$F$74,+'8. KW and Non-Weather Sensitive'!$AU$27,0)))))</f>
        <v>203575</v>
      </c>
      <c r="L30" s="407">
        <f>IF($B28=$F$70,+'8. KW and Non-Weather Sensitive'!$F$28,IF($B28=$F$71,+'8. KW and Non-Weather Sensitive'!$Q$28,IF($B28=$F$72,+'8. KW and Non-Weather Sensitive'!$AA$28,IF($B28=$F$73,+'8. KW and Non-Weather Sensitive'!$AK$28,+IF($B28=$F$74,+'8. KW and Non-Weather Sensitive'!$AU$28,0)))))</f>
        <v>207916</v>
      </c>
      <c r="M30" s="407">
        <f>IF($B28=$F$70,+'8. KW and Non-Weather Sensitive'!$F$29,IF($B28=$F$71,+'8. KW and Non-Weather Sensitive'!$Q$29,IF($B28=$F$72,+'8. KW and Non-Weather Sensitive'!$AA$29,IF($B28=$F$73,+'8. KW and Non-Weather Sensitive'!$AK$29,+IF($B28=$F$74,+'8. KW and Non-Weather Sensitive'!$AU$29,0)))))</f>
        <v>216501</v>
      </c>
      <c r="N30" s="407">
        <f>IF($B28=$F$70,+'8. KW and Non-Weather Sensitive'!$F$30,IF($B28=$F$71,+'8. KW and Non-Weather Sensitive'!$Q$30,IF($B28=$F$72,+'8. KW and Non-Weather Sensitive'!$AA$30,IF($B28=$F$73,+'8. KW and Non-Weather Sensitive'!$AK$30,+IF($B28=$F$74,+'8. KW and Non-Weather Sensitive'!$AU$30,0)))))</f>
        <v>206399</v>
      </c>
      <c r="O30" s="407">
        <f>IF($B28=$F$70,+'8. KW and Non-Weather Sensitive'!$J$49,IF($B28=$F$71,+'8. KW and Non-Weather Sensitive'!$U$49,IF($B28=$F$72,+'8. KW and Non-Weather Sensitive'!$AE$49,IF($B28=$F$73,+'8. KW and Non-Weather Sensitive'!$AO$49,+IF($B28=$F$74,+'8. KW and Non-Weather Sensitive'!$AY$49,0)))))</f>
        <v>198903.90576628249</v>
      </c>
      <c r="P30" s="511">
        <f>IF($B28=$F$70,+'8. KW and Non-Weather Sensitive'!$J$50,IF($B28=$F$71,+'8. KW and Non-Weather Sensitive'!$U$50,IF($B28=$F$72,+'8. KW and Non-Weather Sensitive'!$AE$50,IF($B28=$F$73,+'8. KW and Non-Weather Sensitive'!$AO$50,+IF($B28=$F$74,+'8. KW and Non-Weather Sensitive'!$AY$50,0)))))</f>
        <v>198527.4394499663</v>
      </c>
    </row>
    <row r="31" spans="2:16" x14ac:dyDescent="0.2">
      <c r="B31" s="89"/>
      <c r="C31" s="778"/>
      <c r="D31" s="59"/>
      <c r="E31" s="407"/>
      <c r="F31" s="407"/>
      <c r="G31" s="407"/>
      <c r="H31" s="407"/>
      <c r="I31" s="407"/>
      <c r="J31" s="407"/>
      <c r="K31" s="407"/>
      <c r="L31" s="407"/>
      <c r="M31" s="407"/>
      <c r="N31" s="407"/>
      <c r="O31" s="408"/>
      <c r="P31" s="409"/>
    </row>
    <row r="32" spans="2:16" x14ac:dyDescent="0.2">
      <c r="B32" s="762" t="s">
        <v>241</v>
      </c>
      <c r="C32" s="777" t="str">
        <f>IF($B32=$F$65,+$B$65,+IF($B32=$F$66,+$B$66,+IF($B32=$F$67,+$B$67,+IF($B32=$F$67,$B$67,+IF($B32=$F$68,+$B$68,+IF($B32=$F$69,+$B$69,+IF($B32=$F$70,+$B$70,+IF($B32=$F$71,+$B$71,+IF($B32=$F$72,+$B$72,+IF($B32=$F$73,+$B$73,+IF($B32=$F$74,+$B$74)))))))))))</f>
        <v>Streetlighting</v>
      </c>
      <c r="D32" s="59" t="s">
        <v>131</v>
      </c>
      <c r="E32" s="509">
        <f>IF($C32='4. Customer Growth'!$C$15,+'4. Customer Growth'!$C$17,+IF($C32='4. Customer Growth'!$E$15,+'4. Customer Growth'!$E$17,+IF($C32='4. Customer Growth'!$G$15,+'4. Customer Growth'!$G$17,+IF($C32='4. Customer Growth'!$I$15,+'4. Customer Growth'!$I$17,+IF($C32='4. Customer Growth'!$K$15,+'4. Customer Growth'!$K$17,+IF($C32='4. Customer Growth'!$M$15,+'4. Customer Growth'!$M$17,IF($C32='4. Customer Growth'!$O$15,+'4. Customer Growth'!$O$17)))))))</f>
        <v>2604</v>
      </c>
      <c r="F32" s="509">
        <f>IF($C32='4. Customer Growth'!$C$15,+'4. Customer Growth'!$C$18,+IF($C32='4. Customer Growth'!$E$15,+'4. Customer Growth'!$E$18,+IF($C32='4. Customer Growth'!$G$15,+'4. Customer Growth'!$G$18,+IF($C32='4. Customer Growth'!$I$15,+'4. Customer Growth'!$I$18,+IF($C32='4. Customer Growth'!$K$15,+'4. Customer Growth'!$K$18,+IF($C32='4. Customer Growth'!$M$15,+'4. Customer Growth'!$M$18,IF($C32='4. Customer Growth'!$O$15,+'4. Customer Growth'!$O$18)))))))</f>
        <v>2635</v>
      </c>
      <c r="G32" s="509">
        <f>IF($C32='4. Customer Growth'!$C$15,+'4. Customer Growth'!$C$19,+IF($C32='4. Customer Growth'!$E$15,+'4. Customer Growth'!$E$19,+IF($C32='4. Customer Growth'!$G$15,+'4. Customer Growth'!$G$19,+IF($C32='4. Customer Growth'!$I$15,+'4. Customer Growth'!$I$19,+IF($C32='4. Customer Growth'!$K$15,+'4. Customer Growth'!$K$19,+IF($C32='4. Customer Growth'!$M$15,+'4. Customer Growth'!$M$19,IF($C32='4. Customer Growth'!$O$15,+'4. Customer Growth'!$O$19)))))))</f>
        <v>2648</v>
      </c>
      <c r="H32" s="509">
        <f>IF($C32='4. Customer Growth'!$C$15,+'4. Customer Growth'!$C$20,+IF($C32='4. Customer Growth'!$E$15,+'4. Customer Growth'!$E$20,+IF($C32='4. Customer Growth'!$G$15,+'4. Customer Growth'!$G$20,+IF($C32='4. Customer Growth'!$I$15,+'4. Customer Growth'!$I$20,+IF($C32='4. Customer Growth'!$K$15,+'4. Customer Growth'!$K$20,+IF($C32='4. Customer Growth'!$M$15,+'4. Customer Growth'!$M$20,IF($C32='4. Customer Growth'!$O$15,+'4. Customer Growth'!$O$20)))))))</f>
        <v>2653</v>
      </c>
      <c r="I32" s="509">
        <f>IF($C32='4. Customer Growth'!$C$15,+'4. Customer Growth'!$C$21,+IF($C32='4. Customer Growth'!$E$15,+'4. Customer Growth'!$E$21,+IF($C32='4. Customer Growth'!$G$15,+'4. Customer Growth'!$G$21,+IF($C32='4. Customer Growth'!$I$15,+'4. Customer Growth'!$I$21,+IF($C32='4. Customer Growth'!$K$15,+'4. Customer Growth'!$K$21,+IF($C32='4. Customer Growth'!$M$15,+'4. Customer Growth'!$M$21,IF($C32='4. Customer Growth'!$O$15,+'4. Customer Growth'!$O$21)))))))</f>
        <v>2701</v>
      </c>
      <c r="J32" s="509">
        <f>IF($C32='4. Customer Growth'!$C$15,+'4. Customer Growth'!$C$22,+IF($C32='4. Customer Growth'!$E$15,+'4. Customer Growth'!$E$22,+IF($C32='4. Customer Growth'!$G$15,+'4. Customer Growth'!$G$22,+IF($C32='4. Customer Growth'!$I$15,+'4. Customer Growth'!$I$22,+IF($C32='4. Customer Growth'!$K$15,+'4. Customer Growth'!$K$22,+IF($C32='4. Customer Growth'!$M$15,+'4. Customer Growth'!$M$22,IF($C32='4. Customer Growth'!$O$15,+'4. Customer Growth'!$O$22)))))))</f>
        <v>2713</v>
      </c>
      <c r="K32" s="509">
        <f>IF($C32='4. Customer Growth'!$C$15,+'4. Customer Growth'!$C$23,+IF($C32='4. Customer Growth'!$E$15,+'4. Customer Growth'!$E$23,+IF($C32='4. Customer Growth'!$G$15,+'4. Customer Growth'!$G$23,+IF($C32='4. Customer Growth'!$I$15,+'4. Customer Growth'!$I$23,+IF($C32='4. Customer Growth'!$K$15,+'4. Customer Growth'!$K$23,+IF($C32='4. Customer Growth'!$M$15,+'4. Customer Growth'!$M$23,IF($C32='4. Customer Growth'!$O$15,+'4. Customer Growth'!$O$23)))))))</f>
        <v>2769</v>
      </c>
      <c r="L32" s="509">
        <f>IF($C32='4. Customer Growth'!$C$15,+'4. Customer Growth'!$C$24,+IF($C32='4. Customer Growth'!$E$15,+'4. Customer Growth'!$E$24,+IF($C32='4. Customer Growth'!$G$15,+'4. Customer Growth'!$G$24,+IF($C32='4. Customer Growth'!$I$15,+'4. Customer Growth'!$I$24,+IF($C32='4. Customer Growth'!$K$15,+'4. Customer Growth'!$K$24,+IF($C32='4. Customer Growth'!$M$15,+'4. Customer Growth'!$M$24,IF($C32='4. Customer Growth'!$O$15,+'4. Customer Growth'!$O$24)))))))</f>
        <v>2774.5</v>
      </c>
      <c r="M32" s="509">
        <f>IF($C32='4. Customer Growth'!$C$15,+'4. Customer Growth'!$C$25,+IF($C32='4. Customer Growth'!$E$15,+'4. Customer Growth'!$E$25,+IF($C32='4. Customer Growth'!$G$15,+'4. Customer Growth'!$G$25,+IF($C32='4. Customer Growth'!$I$15,+'4. Customer Growth'!$I$25,+IF($C32='4. Customer Growth'!$K$15,+'4. Customer Growth'!$K$25,+IF($C32='4. Customer Growth'!$M$15,+'4. Customer Growth'!$M$25,IF($C32='4. Customer Growth'!$O$15,+'4. Customer Growth'!$O$25)))))))</f>
        <v>2787</v>
      </c>
      <c r="N32" s="509">
        <f>IF($C32='4. Customer Growth'!$C$15,+'4. Customer Growth'!$C$26,+IF($C32='4. Customer Growth'!$E$15,+'4. Customer Growth'!$E$26,+IF($C32='4. Customer Growth'!$G$15,+'4. Customer Growth'!$G$26,+IF($C32='4. Customer Growth'!$I$15,+'4. Customer Growth'!$I$26,+IF($C32='4. Customer Growth'!$K$15,+'4. Customer Growth'!$K$26,+IF($C32='4. Customer Growth'!$M$15,+'4. Customer Growth'!$M$26,IF($C32='4. Customer Growth'!$O$15,+'4. Customer Growth'!$O$26)))))))</f>
        <v>2802.5</v>
      </c>
      <c r="O32" s="509">
        <f>IF($C32='4. Customer Growth'!$C$15,+'4. Customer Growth'!$C$42,+IF($C32='4. Customer Growth'!$E$15,+'4. Customer Growth'!$E$42,+IF($C32='4. Customer Growth'!$G$15,+'4. Customer Growth'!$G$42,+IF($C32='4. Customer Growth'!$I$15,+'4. Customer Growth'!$I$42,+IF($C32='4. Customer Growth'!$K$15,+'4. Customer Growth'!$K$42,+IF($C32='4. Customer Growth'!$M$15,+'4. Customer Growth'!$M$42,IF($C32='4. Customer Growth'!$O$15,+'4. Customer Growth'!$O$42)))))))</f>
        <v>2825.4692256082153</v>
      </c>
      <c r="P32" s="510">
        <f>IF($C32='4. Customer Growth'!$C$15,+'4. Customer Growth'!$C$43,+IF($C32='4. Customer Growth'!$E$15,+'4. Customer Growth'!$E$43,+IF($C32='4. Customer Growth'!$G$15,+'4. Customer Growth'!$G$43,+IF($C32='4. Customer Growth'!$I$15,+'4. Customer Growth'!$I$43,+IF($C32='4. Customer Growth'!$K$15,+'4. Customer Growth'!$K$43,+IF($C32='4. Customer Growth'!$M$15,+'4. Customer Growth'!$M$43,IF($C32='4. Customer Growth'!$O$15,+'4. Customer Growth'!$O$43)))))))</f>
        <v>2848.6267064617618</v>
      </c>
    </row>
    <row r="33" spans="2:16" x14ac:dyDescent="0.2">
      <c r="B33" s="89"/>
      <c r="C33" s="778"/>
      <c r="D33" s="59" t="s">
        <v>36</v>
      </c>
      <c r="E33" s="509">
        <f>IF($B32=$F$65,+'7. Weather Senstive Class'!$G$21,IF($B32=$F$66,+'7. Weather Senstive Class'!$O$21,IF($B32=$F$67,+'7. Weather Senstive Class'!$W$21,IF($B32=$F$68,+'7. Weather Senstive Class'!$AE$21,IF($B32=$F$69,+'7. Weather Senstive Class'!$AM$21,IF($B32=$F$70,+'8. KW and Non-Weather Sensitive'!$E$21,IF($B32=$F$71,+'8. KW and Non-Weather Sensitive'!$P$21,IF($B32=$F$72,+'8. KW and Non-Weather Sensitive'!$Z$21,IF($B32=$F$73,+'8. KW and Non-Weather Sensitive'!$AJ$21,IF($B32=$F$74,+'8. KW and Non-Weather Sensitive'!$AT$21))))))))))</f>
        <v>2426613</v>
      </c>
      <c r="F33" s="509">
        <f>IF($B32=$F$65,+'7. Weather Senstive Class'!$G$22,IF($B32=$F$66,+'7. Weather Senstive Class'!$O$22,IF($B32=$F$67,+'7. Weather Senstive Class'!$W$22,IF($B32=$F$68,+'7. Weather Senstive Class'!$AE$22,IF($B32=$F$69,+'7. Weather Senstive Class'!$AM$22,IF($B32=$F$70,+'8. KW and Non-Weather Sensitive'!$E$22,IF($B32=$F$71,+'8. KW and Non-Weather Sensitive'!$P$22,IF($B32=$F$72,+'8. KW and Non-Weather Sensitive'!$Z$22,IF($B32=$F$73,+'8. KW and Non-Weather Sensitive'!$AJ$22,IF($B32=$F$74,+'8. KW and Non-Weather Sensitive'!$AT$22))))))))))</f>
        <v>2517491</v>
      </c>
      <c r="G33" s="509">
        <f>IF($B32=$F$65,+'7. Weather Senstive Class'!$G$23,IF($B32=$F$66,+'7. Weather Senstive Class'!$O$23,IF($B32=$F$67,+'7. Weather Senstive Class'!$W$23,IF($B32=$F$68,+'7. Weather Senstive Class'!$AE$23,IF($B32=$F$69,+'7. Weather Senstive Class'!$AM$23,IF($B32=$F$70,+'8. KW and Non-Weather Sensitive'!$E$23,IF($B32=$F$71,+'8. KW and Non-Weather Sensitive'!$P$23,IF($B32=$F$72,+'8. KW and Non-Weather Sensitive'!$Z$23,IF($B32=$F$73,+'8. KW and Non-Weather Sensitive'!$AJ$23,IF($B32=$F$74,+'8. KW and Non-Weather Sensitive'!$AT$23))))))))))</f>
        <v>2426477</v>
      </c>
      <c r="H33" s="509">
        <f>IF($B32=$F$65,+'7. Weather Senstive Class'!$G$24,IF($B32=$F$66,+'7. Weather Senstive Class'!$O$24,IF($B32=$F$67,+'7. Weather Senstive Class'!$W$24,IF($B32=$F$68,+'7. Weather Senstive Class'!$AE$24,IF($B32=$F$69,+'7. Weather Senstive Class'!$AM$24,IF($B32=$F$70,+'8. KW and Non-Weather Sensitive'!$E$24,IF($B32=$F$71,+'8. KW and Non-Weather Sensitive'!$P$24,IF($B32=$F$72,+'8. KW and Non-Weather Sensitive'!$Z$24,IF($B32=$F$73,+'8. KW and Non-Weather Sensitive'!$AJ$24,IF($B32=$F$74,+'8. KW and Non-Weather Sensitive'!$AT$24))))))))))</f>
        <v>2370504</v>
      </c>
      <c r="I33" s="509">
        <f>IF($B32=$F$65,+'7. Weather Senstive Class'!$G$25,IF($B32=$F$66,+'7. Weather Senstive Class'!$O$25,IF($B32=$F$67,+'7. Weather Senstive Class'!$W$25,IF($B32=$F$68,+'7. Weather Senstive Class'!$AE$25,IF($B32=$F$69,+'7. Weather Senstive Class'!$AM$25,IF($B32=$F$70,+'8. KW and Non-Weather Sensitive'!$E$25,IF($B32=$F$71,+'8. KW and Non-Weather Sensitive'!$P$25,IF($B32=$F$72,+'8. KW and Non-Weather Sensitive'!$Z$25,IF($B32=$F$73,+'8. KW and Non-Weather Sensitive'!$AJ$25,IF($B32=$F$74,+'8. KW and Non-Weather Sensitive'!$AT$25))))))))))</f>
        <v>2414486.62</v>
      </c>
      <c r="J33" s="509">
        <f>IF($B32=$F$65,+'7. Weather Senstive Class'!$G$26,IF($B32=$F$66,+'7. Weather Senstive Class'!$O$26,IF($B32=$F$67,+'7. Weather Senstive Class'!$M$26,IF($B32=$F$68,+'7. Weather Senstive Class'!$AE$26,IF($B32=$F$69,+'7. Weather Senstive Class'!$AM$26,IF($B32=$F$70,+'8. KW and Non-Weather Sensitive'!$E$26,IF($B32=$F$71,+'8. KW and Non-Weather Sensitive'!$P$26,IF($B32=$F$72,+'8. KW and Non-Weather Sensitive'!$Z$26,IF($B32=$F$73,+'8. KW and Non-Weather Sensitive'!$AJ$26,IF($B32=$F$74,+'8. KW and Non-Weather Sensitive'!$AT$26))))))))))</f>
        <v>2383707.0499999998</v>
      </c>
      <c r="K33" s="509">
        <f>IF($B32=$F$65,+'7. Weather Senstive Class'!$G$27,IF($B32=$F$66,+'7. Weather Senstive Class'!$O$27,IF($B32=$F$67,+'7. Weather Senstive Class'!$W$27,IF($B32=$F$68,+'7. Weather Senstive Class'!$AE$27,IF($B32=$F$69,+'7. Weather Senstive Class'!$AM$27,IF($B32=$F$70,+'8. KW and Non-Weather Sensitive'!$E$27,IF($B32=$F$71,+'8. KW and Non-Weather Sensitive'!$P$27,IF($B32=$F$72,+'8. KW and Non-Weather Sensitive'!$Z$27,IF($B32=$F$73,+'8. KW and Non-Weather Sensitive'!$AJ$27,IF($B32=$F$74,+'8. KW and Non-Weather Sensitive'!$AT$27))))))))))</f>
        <v>2458955</v>
      </c>
      <c r="L33" s="509">
        <f>IF($B32=$F$65,+'7. Weather Senstive Class'!$G$28,IF($B32=$F$66,+'7. Weather Senstive Class'!$O$28,IF($B32=$F$67,+'7. Weather Senstive Class'!$W$28,IF($B32=$F$68,+'7. Weather Senstive Class'!$AE$28,IF($B32=$F$69,+'7. Weather Senstive Class'!$AM$28,IF($B32=$F$70,+'8. KW and Non-Weather Sensitive'!$E$28,IF($B32=$F$71,+'8. KW and Non-Weather Sensitive'!$P$28,IF($B32=$F$72,+'8. KW and Non-Weather Sensitive'!$Z$28,IF($B32=$F$73,+'8. KW and Non-Weather Sensitive'!$AJ$28,IF($B32=$F$74,+'8. KW and Non-Weather Sensitive'!$AT$28))))))))))</f>
        <v>2432689.94</v>
      </c>
      <c r="M33" s="509">
        <f>IF($B32=$F$65,+'7. Weather Senstive Class'!$G$29,IF($B32=$F$66,+'7. Weather Senstive Class'!$O$29,IF($B32=$F$67,+'7. Weather Senstive Class'!$W$29,IF($B32=$F$68,+'7. Weather Senstive Class'!$AE$29,IF($B32=$F$69,+'7. Weather Senstive Class'!$AM$29,IF($B32=$F$70,+'8. KW and Non-Weather Sensitive'!$E$29,IF($B32=$F$71,+'8. KW and Non-Weather Sensitive'!$P$29,IF($B32=$F$72,+'8. KW and Non-Weather Sensitive'!$Z$29,IF($B32=$F$73,+'8. KW and Non-Weather Sensitive'!$AJ$29,IF($B32=$F$74,+'8. KW and Non-Weather Sensitive'!$AT$29))))))))))</f>
        <v>2424248.81</v>
      </c>
      <c r="N33" s="509">
        <f>IF($B32=$F$65,+'7. Weather Senstive Class'!$G$30,IF($B32=$F$66,+'7. Weather Senstive Class'!$O$30,IF($B32=$F$67,+'7. Weather Senstive Class'!$W$30,IF($B32=$F$68,+'7. Weather Senstive Class'!$AE$30,IF($B32=$F$69,+'7. Weather Senstive Class'!$AM$30,IF($B32=$F$70,+'8. KW and Non-Weather Sensitive'!$E$30,IF($B32=$F$71,+'8. KW and Non-Weather Sensitive'!$P$30,IF($B32=$F$72,+'8. KW and Non-Weather Sensitive'!$Z$30,IF($B32=$F$73,+'8. KW and Non-Weather Sensitive'!$AJ$30,IF($B32=$F$74,+'8. KW and Non-Weather Sensitive'!$AT$30))))))))))</f>
        <v>2439791.5699999998</v>
      </c>
      <c r="O33" s="509">
        <f>IF($B32=$F$65,+'7. Weather Senstive Class'!$H$42,IF($B32=$F$66,+'7. Weather Senstive Class'!$P$42,IF($B32=$F$67,+'7. Weather Senstive Class'!$X$42,IF($B32=$F$68,+'7. Weather Senstive Class'!$AF$42,IF($B32=$F$69,+'7. Weather Senstive Class'!$AN$42,IF($B32=$F$70,+'8. KW and Non-Weather Sensitive'!$I$49,IF($B32=$F$71,+'8. KW and Non-Weather Sensitive'!$T$49,IF($B32=$F$72,+'8. KW and Non-Weather Sensitive'!$AD$49,IF($B32=$F$73,+'8. KW and Non-Weather Sensitive'!$AN$49,IF($B32=$F$74,+'8. KW and Non-Weather Sensitive'!$AX$49))))))))))</f>
        <v>2432435.555457274</v>
      </c>
      <c r="P33" s="510">
        <f>IF($B32=$F$65,+'7. Weather Senstive Class'!$H$43,IF($B32=$F$66,+'7. Weather Senstive Class'!$P$43,IF($B32=$F$67,+'7. Weather Senstive Class'!$X$43,IF($B32=$F$68,+'7. Weather Senstive Class'!$AF$43,IF($B32=$F$69,+'7. Weather Senstive Class'!$AN$43,IF($B32=$F$70,+'8. KW and Non-Weather Sensitive'!$I$50,IF($B32=$F$71,+'8. KW and Non-Weather Sensitive'!$T$50,IF($B32=$F$72,+'8. KW and Non-Weather Sensitive'!$AD$50,IF($B32=$F$73,+'8. KW and Non-Weather Sensitive'!$AN$50,IF($B32=$F$74,+'8. KW and Non-Weather Sensitive'!$AX$50))))))))))</f>
        <v>1271831.6737501165</v>
      </c>
    </row>
    <row r="34" spans="2:16" x14ac:dyDescent="0.2">
      <c r="B34" s="89"/>
      <c r="C34" s="778"/>
      <c r="D34" s="59" t="s">
        <v>37</v>
      </c>
      <c r="E34" s="407">
        <f>IF(B$16=$F$70,+'8. KW and Non-Weather Sensitive'!$F$21,IF($B32=$F$71,+'8. KW and Non-Weather Sensitive'!$Q$21,IF($B32=$F$72,+'8. KW and Non-Weather Sensitive'!$AA$21,IF($B32=$F$73,+'8. KW and Non-Weather Sensitive'!$AK$21,+IF($B32=$F$74,+'8. KW and Non-Weather Sensitive'!$AU$21,0)))))</f>
        <v>6774</v>
      </c>
      <c r="F34" s="407">
        <f>IF($B32=$F$70,+'8. KW and Non-Weather Sensitive'!$F$22,IF($B32=$F$71,+'8. KW and Non-Weather Sensitive'!$Q$22,IF($B32=$F$72,+'8. KW and Non-Weather Sensitive'!$AA$22,IF($B32=$F$73,+'8. KW and Non-Weather Sensitive'!$AK$22,+IF($B32=$F$74,+'8. KW and Non-Weather Sensitive'!$AU$22,0)))))</f>
        <v>6784</v>
      </c>
      <c r="G34" s="407">
        <f>IF($B32=$F$70,+'8. KW and Non-Weather Sensitive'!$F$23,IF($B32=$F$71,+'8. KW and Non-Weather Sensitive'!$Q$23,IF($B32=$F$72,+'8. KW and Non-Weather Sensitive'!$AA$23,IF($B32=$F$73,+'8. KW and Non-Weather Sensitive'!$AK$23,+IF($B32=$F$74,+'8. KW and Non-Weather Sensitive'!$AU$23,0)))))</f>
        <v>6778</v>
      </c>
      <c r="H34" s="407">
        <f>IF($B32=$F$70,+'8. KW and Non-Weather Sensitive'!$F$24,IF($B32=$F$71,+'8. KW and Non-Weather Sensitive'!$Q$24,IF($B32=$F$72,+'8. KW and Non-Weather Sensitive'!$AA$24,IF($B32=$F$73,+'8. KW and Non-Weather Sensitive'!$AK$24,+IF($B32=$F$74,+'8. KW and Non-Weather Sensitive'!$AU$24,0)))))</f>
        <v>6728</v>
      </c>
      <c r="I34" s="407">
        <f>IF($B32=$F$70,+'8. KW and Non-Weather Sensitive'!$F$25,IF($B32=$F$71,+'8. KW and Non-Weather Sensitive'!$Q$25,IF($B32=$F$72,+'8. KW and Non-Weather Sensitive'!$AA$25,IF($B32=$F$73,+'8. KW and Non-Weather Sensitive'!$AK$25,+IF($B32=$F$74,+'8. KW and Non-Weather Sensitive'!$AU$25,0)))))</f>
        <v>6652</v>
      </c>
      <c r="J34" s="407">
        <f>IF($B32=$F$70,+'8. KW and Non-Weather Sensitive'!$F$26,IF($B32=$F$71,+'8. KW and Non-Weather Sensitive'!$Q$26,IF($B32=$F$72,+'8. KW and Non-Weather Sensitive'!$AA$26,IF($B32=$F$73,+'8. KW and Non-Weather Sensitive'!$AK$26,+IF($B32=$F$74,+'8. KW and Non-Weather Sensitive'!$AU$26,0)))))</f>
        <v>6766</v>
      </c>
      <c r="K34" s="407">
        <f>IF($B32=$F$70,+'8. KW and Non-Weather Sensitive'!$F$27,IF($B32=$F$71,+'8. KW and Non-Weather Sensitive'!$Q$27,IF($B32=$F$72,+'8. KW and Non-Weather Sensitive'!$AA$27,IF($B32=$F$73,+'8. KW and Non-Weather Sensitive'!$AK$27,+IF($B32=$F$74,+'8. KW and Non-Weather Sensitive'!$AU$27,0)))))</f>
        <v>6840</v>
      </c>
      <c r="L34" s="407">
        <f>IF($B32=$F$70,+'8. KW and Non-Weather Sensitive'!$F$28,IF($B32=$F$71,+'8. KW and Non-Weather Sensitive'!$Q$28,IF($B32=$F$72,+'8. KW and Non-Weather Sensitive'!$AA$28,IF($B32=$F$73,+'8. KW and Non-Weather Sensitive'!$AK$28,+IF($B32=$F$74,+'8. KW and Non-Weather Sensitive'!$AU$28,0)))))</f>
        <v>6768.3999999999987</v>
      </c>
      <c r="M34" s="407">
        <f>IF($B32=$F$70,+'8. KW and Non-Weather Sensitive'!$F$29,IF($B32=$F$71,+'8. KW and Non-Weather Sensitive'!$Q$29,IF($B32=$F$72,+'8. KW and Non-Weather Sensitive'!$AA$29,IF($B32=$F$73,+'8. KW and Non-Weather Sensitive'!$AK$29,+IF($B32=$F$74,+'8. KW and Non-Weather Sensitive'!$AU$29,0)))))</f>
        <v>6765.9000000000005</v>
      </c>
      <c r="N34" s="407">
        <f>IF($B32=$F$70,+'8. KW and Non-Weather Sensitive'!$F$30,IF($B32=$F$71,+'8. KW and Non-Weather Sensitive'!$Q$30,IF($B32=$F$72,+'8. KW and Non-Weather Sensitive'!$AA$30,IF($B32=$F$73,+'8. KW and Non-Weather Sensitive'!$AK$30,+IF($B32=$F$74,+'8. KW and Non-Weather Sensitive'!$AU$30,0)))))</f>
        <v>6769.9599999999991</v>
      </c>
      <c r="O34" s="407">
        <f>IF($B32=$F$70,+'8. KW and Non-Weather Sensitive'!$J$49,IF($B32=$F$71,+'8. KW and Non-Weather Sensitive'!$U$49,IF($B32=$F$72,+'8. KW and Non-Weather Sensitive'!$AE$49,IF($B32=$F$73,+'8. KW and Non-Weather Sensitive'!$AO$49,+IF($B32=$F$74,+'8. KW and Non-Weather Sensitive'!$AY$49,0)))))</f>
        <v>6772.1454156893096</v>
      </c>
      <c r="P34" s="511">
        <f>IF($B32=$F$70,+'8. KW and Non-Weather Sensitive'!$J$50,IF($B32=$F$71,+'8. KW and Non-Weather Sensitive'!$U$50,IF($B32=$F$72,+'8. KW and Non-Weather Sensitive'!$AE$50,IF($B32=$F$73,+'8. KW and Non-Weather Sensitive'!$AO$50,+IF($B32=$F$74,+'8. KW and Non-Weather Sensitive'!$AY$50,0)))))</f>
        <v>3540.907392013577</v>
      </c>
    </row>
    <row r="35" spans="2:16" x14ac:dyDescent="0.2">
      <c r="B35" s="89"/>
      <c r="C35" s="778"/>
      <c r="D35" s="59"/>
      <c r="E35" s="407"/>
      <c r="F35" s="407"/>
      <c r="G35" s="407"/>
      <c r="H35" s="407"/>
      <c r="I35" s="407"/>
      <c r="J35" s="407"/>
      <c r="K35" s="407"/>
      <c r="L35" s="407"/>
      <c r="M35" s="407"/>
      <c r="N35" s="407"/>
      <c r="O35" s="408"/>
      <c r="P35" s="409"/>
    </row>
    <row r="36" spans="2:16" x14ac:dyDescent="0.2">
      <c r="B36" s="762" t="s">
        <v>242</v>
      </c>
      <c r="C36" s="777" t="str">
        <f>IF($B36=$F$65,+$B$65,+IF($B36=$F$66,+$B$66,+IF($B36=$F$67,+$B$67,+IF($B36=$F$67,$B$67,+IF($B36=$F$68,+$B$68,+IF($B36=$F$69,+$B$69,+IF($B36=$F$70,+$B$70,+IF($B36=$F$71,+$B$71,+IF($B36=$F$72,+$B$72,+IF($B36=$F$73,+$B$73,+IF($B36=$F$74,+$B$74)))))))))))</f>
        <v>Sentinel Lighting</v>
      </c>
      <c r="D36" s="59" t="s">
        <v>131</v>
      </c>
      <c r="E36" s="509">
        <f>IF($C36='4. Customer Growth'!$C$15,+'4. Customer Growth'!$C$17,+IF($C36='4. Customer Growth'!$E$15,+'4. Customer Growth'!$E$17,+IF($C36='4. Customer Growth'!$G$15,+'4. Customer Growth'!$G$17,+IF($C36='4. Customer Growth'!$I$15,+'4. Customer Growth'!$I$17,+IF($C36='4. Customer Growth'!$K$15,+'4. Customer Growth'!$K$17,+IF($C36='4. Customer Growth'!$M$15,+'4. Customer Growth'!$M$17,IF($C36='4. Customer Growth'!$O$15,+'4. Customer Growth'!$O$17)))))))</f>
        <v>250</v>
      </c>
      <c r="F36" s="509">
        <f>IF($C36='4. Customer Growth'!$C$15,+'4. Customer Growth'!$C$18,+IF($C36='4. Customer Growth'!$E$15,+'4. Customer Growth'!$E$18,+IF($C36='4. Customer Growth'!$G$15,+'4. Customer Growth'!$G$18,+IF($C36='4. Customer Growth'!$I$15,+'4. Customer Growth'!$I$18,+IF($C36='4. Customer Growth'!$K$15,+'4. Customer Growth'!$K$18,+IF($C36='4. Customer Growth'!$M$15,+'4. Customer Growth'!$M$18,IF($C36='4. Customer Growth'!$O$15,+'4. Customer Growth'!$O$18)))))))</f>
        <v>225</v>
      </c>
      <c r="G36" s="509">
        <f>IF($C36='4. Customer Growth'!$C$15,+'4. Customer Growth'!$C$19,+IF($C36='4. Customer Growth'!$E$15,+'4. Customer Growth'!$E$19,+IF($C36='4. Customer Growth'!$G$15,+'4. Customer Growth'!$G$19,+IF($C36='4. Customer Growth'!$I$15,+'4. Customer Growth'!$I$19,+IF($C36='4. Customer Growth'!$K$15,+'4. Customer Growth'!$K$19,+IF($C36='4. Customer Growth'!$M$15,+'4. Customer Growth'!$M$19,IF($C36='4. Customer Growth'!$O$15,+'4. Customer Growth'!$O$19)))))))</f>
        <v>225</v>
      </c>
      <c r="H36" s="509">
        <f>IF($C36='4. Customer Growth'!$C$15,+'4. Customer Growth'!$C$20,+IF($C36='4. Customer Growth'!$E$15,+'4. Customer Growth'!$E$20,+IF($C36='4. Customer Growth'!$G$15,+'4. Customer Growth'!$G$20,+IF($C36='4. Customer Growth'!$I$15,+'4. Customer Growth'!$I$20,+IF($C36='4. Customer Growth'!$K$15,+'4. Customer Growth'!$K$20,+IF($C36='4. Customer Growth'!$M$15,+'4. Customer Growth'!$M$20,IF($C36='4. Customer Growth'!$O$15,+'4. Customer Growth'!$O$20)))))))</f>
        <v>226</v>
      </c>
      <c r="I36" s="509">
        <f>IF($C36='4. Customer Growth'!$C$15,+'4. Customer Growth'!$C$21,+IF($C36='4. Customer Growth'!$E$15,+'4. Customer Growth'!$E$21,+IF($C36='4. Customer Growth'!$G$15,+'4. Customer Growth'!$G$21,+IF($C36='4. Customer Growth'!$I$15,+'4. Customer Growth'!$I$21,+IF($C36='4. Customer Growth'!$K$15,+'4. Customer Growth'!$K$21,+IF($C36='4. Customer Growth'!$M$15,+'4. Customer Growth'!$M$21,IF($C36='4. Customer Growth'!$O$15,+'4. Customer Growth'!$O$21)))))))</f>
        <v>226</v>
      </c>
      <c r="J36" s="509">
        <f>IF($C36='4. Customer Growth'!$C$15,+'4. Customer Growth'!$C$22,+IF($C36='4. Customer Growth'!$E$15,+'4. Customer Growth'!$E$22,+IF($C36='4. Customer Growth'!$G$15,+'4. Customer Growth'!$G$22,+IF($C36='4. Customer Growth'!$I$15,+'4. Customer Growth'!$I$22,+IF($C36='4. Customer Growth'!$K$15,+'4. Customer Growth'!$K$22,+IF($C36='4. Customer Growth'!$M$15,+'4. Customer Growth'!$M$22,IF($C36='4. Customer Growth'!$O$15,+'4. Customer Growth'!$O$22)))))))</f>
        <v>216</v>
      </c>
      <c r="K36" s="509">
        <f>IF($C36='4. Customer Growth'!$C$15,+'4. Customer Growth'!$C$23,+IF($C36='4. Customer Growth'!$E$15,+'4. Customer Growth'!$E$23,+IF($C36='4. Customer Growth'!$G$15,+'4. Customer Growth'!$G$23,+IF($C36='4. Customer Growth'!$I$15,+'4. Customer Growth'!$I$23,+IF($C36='4. Customer Growth'!$K$15,+'4. Customer Growth'!$K$23,+IF($C36='4. Customer Growth'!$M$15,+'4. Customer Growth'!$M$23,IF($C36='4. Customer Growth'!$O$15,+'4. Customer Growth'!$O$23)))))))</f>
        <v>209</v>
      </c>
      <c r="L36" s="509">
        <f>IF($C36='4. Customer Growth'!$C$15,+'4. Customer Growth'!$C$24,+IF($C36='4. Customer Growth'!$E$15,+'4. Customer Growth'!$E$24,+IF($C36='4. Customer Growth'!$G$15,+'4. Customer Growth'!$G$24,+IF($C36='4. Customer Growth'!$I$15,+'4. Customer Growth'!$I$24,+IF($C36='4. Customer Growth'!$K$15,+'4. Customer Growth'!$K$24,+IF($C36='4. Customer Growth'!$M$15,+'4. Customer Growth'!$M$24,IF($C36='4. Customer Growth'!$O$15,+'4. Customer Growth'!$O$24)))))))</f>
        <v>208.5</v>
      </c>
      <c r="M36" s="509">
        <f>IF($C36='4. Customer Growth'!$C$15,+'4. Customer Growth'!$C$25,+IF($C36='4. Customer Growth'!$E$15,+'4. Customer Growth'!$E$25,+IF($C36='4. Customer Growth'!$G$15,+'4. Customer Growth'!$G$25,+IF($C36='4. Customer Growth'!$I$15,+'4. Customer Growth'!$I$25,+IF($C36='4. Customer Growth'!$K$15,+'4. Customer Growth'!$K$25,+IF($C36='4. Customer Growth'!$M$15,+'4. Customer Growth'!$M$25,IF($C36='4. Customer Growth'!$O$15,+'4. Customer Growth'!$O$25)))))))</f>
        <v>206.5</v>
      </c>
      <c r="N36" s="509">
        <f>IF($C36='4. Customer Growth'!$C$15,+'4. Customer Growth'!$C$26,+IF($C36='4. Customer Growth'!$E$15,+'4. Customer Growth'!$E$26,+IF($C36='4. Customer Growth'!$G$15,+'4. Customer Growth'!$G$26,+IF($C36='4. Customer Growth'!$I$15,+'4. Customer Growth'!$I$26,+IF($C36='4. Customer Growth'!$K$15,+'4. Customer Growth'!$K$26,+IF($C36='4. Customer Growth'!$M$15,+'4. Customer Growth'!$M$26,IF($C36='4. Customer Growth'!$O$15,+'4. Customer Growth'!$O$26)))))))</f>
        <v>204</v>
      </c>
      <c r="O36" s="509">
        <f>IF($C36='4. Customer Growth'!$C$15,+'4. Customer Growth'!$C$42,+IF($C36='4. Customer Growth'!$E$15,+'4. Customer Growth'!$E$42,+IF($C36='4. Customer Growth'!$G$15,+'4. Customer Growth'!$G$42,+IF($C36='4. Customer Growth'!$I$15,+'4. Customer Growth'!$I$42,+IF($C36='4. Customer Growth'!$K$15,+'4. Customer Growth'!$K$42,+IF($C36='4. Customer Growth'!$M$15,+'4. Customer Growth'!$M$42,IF($C36='4. Customer Growth'!$O$15,+'4. Customer Growth'!$O$42)))))))</f>
        <v>199.44261639611278</v>
      </c>
      <c r="P36" s="510">
        <f>IF($C36='4. Customer Growth'!$C$15,+'4. Customer Growth'!$C$43,+IF($C36='4. Customer Growth'!$E$15,+'4. Customer Growth'!$E$43,+IF($C36='4. Customer Growth'!$G$15,+'4. Customer Growth'!$G$43,+IF($C36='4. Customer Growth'!$I$15,+'4. Customer Growth'!$I$43,+IF($C36='4. Customer Growth'!$K$15,+'4. Customer Growth'!$K$43,+IF($C36='4. Customer Growth'!$M$15,+'4. Customer Growth'!$M$43,IF($C36='4. Customer Growth'!$O$15,+'4. Customer Growth'!$O$43)))))))</f>
        <v>194.98704526924996</v>
      </c>
    </row>
    <row r="37" spans="2:16" x14ac:dyDescent="0.2">
      <c r="B37" s="89"/>
      <c r="C37" s="778"/>
      <c r="D37" s="59" t="s">
        <v>36</v>
      </c>
      <c r="E37" s="509">
        <f>IF($B36=$F$65,+'7. Weather Senstive Class'!$G$21,IF($B36=$F$66,+'7. Weather Senstive Class'!$O$21,IF($B36=$F$67,+'7. Weather Senstive Class'!$W$21,IF($B36=$F$68,+'7. Weather Senstive Class'!$AE$21,IF($B36=$F$69,+'7. Weather Senstive Class'!$AM$21,IF($B36=$F$70,+'8. KW and Non-Weather Sensitive'!$E$21,IF($B36=$F$71,+'8. KW and Non-Weather Sensitive'!$P$21,IF($B36=$F$72,+'8. KW and Non-Weather Sensitive'!$Z$21,IF($B36=$F$73,+'8. KW and Non-Weather Sensitive'!$AJ$21,IF($B36=$F$74,+'8. KW and Non-Weather Sensitive'!$AT$21))))))))))</f>
        <v>284178</v>
      </c>
      <c r="F37" s="509">
        <f>IF($B36=$F$65,+'7. Weather Senstive Class'!$G$22,IF($B36=$F$66,+'7. Weather Senstive Class'!$O$22,IF($B36=$F$67,+'7. Weather Senstive Class'!$W$22,IF($B36=$F$68,+'7. Weather Senstive Class'!$AE$22,IF($B36=$F$69,+'7. Weather Senstive Class'!$AM$22,IF($B36=$F$70,+'8. KW and Non-Weather Sensitive'!$E$22,IF($B36=$F$71,+'8. KW and Non-Weather Sensitive'!$P$22,IF($B36=$F$72,+'8. KW and Non-Weather Sensitive'!$Z$22,IF($B36=$F$73,+'8. KW and Non-Weather Sensitive'!$AJ$22,IF($B36=$F$74,+'8. KW and Non-Weather Sensitive'!$AT$22))))))))))</f>
        <v>267504</v>
      </c>
      <c r="G37" s="509">
        <f>IF($B36=$F$65,+'7. Weather Senstive Class'!$G$23,IF($B36=$F$66,+'7. Weather Senstive Class'!$O$23,IF($B36=$F$67,+'7. Weather Senstive Class'!$W$23,IF($B36=$F$68,+'7. Weather Senstive Class'!$AE$23,IF($B36=$F$69,+'7. Weather Senstive Class'!$AM$23,IF($B36=$F$70,+'8. KW and Non-Weather Sensitive'!$E$23,IF($B36=$F$71,+'8. KW and Non-Weather Sensitive'!$P$23,IF($B36=$F$72,+'8. KW and Non-Weather Sensitive'!$Z$23,IF($B36=$F$73,+'8. KW and Non-Weather Sensitive'!$AJ$23,IF($B36=$F$74,+'8. KW and Non-Weather Sensitive'!$AT$23))))))))))</f>
        <v>266011</v>
      </c>
      <c r="H37" s="509">
        <f>IF($B36=$F$65,+'7. Weather Senstive Class'!$G$24,IF($B36=$F$66,+'7. Weather Senstive Class'!$O$24,IF($B36=$F$67,+'7. Weather Senstive Class'!$W$24,IF($B36=$F$68,+'7. Weather Senstive Class'!$AE$24,IF($B36=$F$69,+'7. Weather Senstive Class'!$AM$24,IF($B36=$F$70,+'8. KW and Non-Weather Sensitive'!$E$24,IF($B36=$F$71,+'8. KW and Non-Weather Sensitive'!$P$24,IF($B36=$F$72,+'8. KW and Non-Weather Sensitive'!$Z$24,IF($B36=$F$73,+'8. KW and Non-Weather Sensitive'!$AJ$24,IF($B36=$F$74,+'8. KW and Non-Weather Sensitive'!$AT$24))))))))))</f>
        <v>262124</v>
      </c>
      <c r="I37" s="509">
        <f>IF($B36=$F$65,+'7. Weather Senstive Class'!$G$25,IF($B36=$F$66,+'7. Weather Senstive Class'!$O$25,IF($B36=$F$67,+'7. Weather Senstive Class'!$W$25,IF($B36=$F$68,+'7. Weather Senstive Class'!$AE$25,IF($B36=$F$69,+'7. Weather Senstive Class'!$AM$25,IF($B36=$F$70,+'8. KW and Non-Weather Sensitive'!$E$25,IF($B36=$F$71,+'8. KW and Non-Weather Sensitive'!$P$25,IF($B36=$F$72,+'8. KW and Non-Weather Sensitive'!$Z$25,IF($B36=$F$73,+'8. KW and Non-Weather Sensitive'!$AJ$25,IF($B36=$F$74,+'8. KW and Non-Weather Sensitive'!$AT$25))))))))))</f>
        <v>265370.21000000002</v>
      </c>
      <c r="J37" s="509">
        <f>IF($B36=$F$65,+'7. Weather Senstive Class'!$G$26,IF($B36=$F$66,+'7. Weather Senstive Class'!$O$26,IF($B36=$F$67,+'7. Weather Senstive Class'!$M$26,IF($B36=$F$68,+'7. Weather Senstive Class'!$AE$26,IF($B36=$F$69,+'7. Weather Senstive Class'!$AM$26,IF($B36=$F$70,+'8. KW and Non-Weather Sensitive'!$E$26,IF($B36=$F$71,+'8. KW and Non-Weather Sensitive'!$P$26,IF($B36=$F$72,+'8. KW and Non-Weather Sensitive'!$Z$26,IF($B36=$F$73,+'8. KW and Non-Weather Sensitive'!$AJ$26,IF($B36=$F$74,+'8. KW and Non-Weather Sensitive'!$AT$26))))))))))</f>
        <v>233685.69</v>
      </c>
      <c r="K37" s="509">
        <f>IF($B36=$F$65,+'7. Weather Senstive Class'!$G$27,IF($B36=$F$66,+'7. Weather Senstive Class'!$O$27,IF($B36=$F$67,+'7. Weather Senstive Class'!$W$27,IF($B36=$F$68,+'7. Weather Senstive Class'!$AE$27,IF($B36=$F$69,+'7. Weather Senstive Class'!$AM$27,IF($B36=$F$70,+'8. KW and Non-Weather Sensitive'!$E$27,IF($B36=$F$71,+'8. KW and Non-Weather Sensitive'!$P$27,IF($B36=$F$72,+'8. KW and Non-Weather Sensitive'!$Z$27,IF($B36=$F$73,+'8. KW and Non-Weather Sensitive'!$AJ$27,IF($B36=$F$74,+'8. KW and Non-Weather Sensitive'!$AT$27))))))))))</f>
        <v>270899.02</v>
      </c>
      <c r="L37" s="509">
        <f>IF($B36=$F$65,+'7. Weather Senstive Class'!$G$28,IF($B36=$F$66,+'7. Weather Senstive Class'!$O$28,IF($B36=$F$67,+'7. Weather Senstive Class'!$W$28,IF($B36=$F$68,+'7. Weather Senstive Class'!$AE$28,IF($B36=$F$69,+'7. Weather Senstive Class'!$AM$28,IF($B36=$F$70,+'8. KW and Non-Weather Sensitive'!$E$28,IF($B36=$F$71,+'8. KW and Non-Weather Sensitive'!$P$28,IF($B36=$F$72,+'8. KW and Non-Weather Sensitive'!$Z$28,IF($B36=$F$73,+'8. KW and Non-Weather Sensitive'!$AJ$28,IF($B36=$F$74,+'8. KW and Non-Weather Sensitive'!$AT$28))))))))))</f>
        <v>243747.31</v>
      </c>
      <c r="M37" s="509">
        <f>IF($B36=$F$65,+'7. Weather Senstive Class'!$G$29,IF($B36=$F$66,+'7. Weather Senstive Class'!$O$29,IF($B36=$F$67,+'7. Weather Senstive Class'!$W$29,IF($B36=$F$68,+'7. Weather Senstive Class'!$AE$29,IF($B36=$F$69,+'7. Weather Senstive Class'!$AM$29,IF($B36=$F$70,+'8. KW and Non-Weather Sensitive'!$E$29,IF($B36=$F$71,+'8. KW and Non-Weather Sensitive'!$P$29,IF($B36=$F$72,+'8. KW and Non-Weather Sensitive'!$Z$29,IF($B36=$F$73,+'8. KW and Non-Weather Sensitive'!$AJ$29,IF($B36=$F$74,+'8. KW and Non-Weather Sensitive'!$AT$29))))))))))</f>
        <v>270899.02</v>
      </c>
      <c r="N37" s="509">
        <f>IF($B36=$F$65,+'7. Weather Senstive Class'!$G$30,IF($B36=$F$66,+'7. Weather Senstive Class'!$O$30,IF($B36=$F$67,+'7. Weather Senstive Class'!$W$30,IF($B36=$F$68,+'7. Weather Senstive Class'!$AE$30,IF($B36=$F$69,+'7. Weather Senstive Class'!$AM$30,IF($B36=$F$70,+'8. KW and Non-Weather Sensitive'!$E$30,IF($B36=$F$71,+'8. KW and Non-Weather Sensitive'!$P$30,IF($B36=$F$72,+'8. KW and Non-Weather Sensitive'!$Z$30,IF($B36=$F$73,+'8. KW and Non-Weather Sensitive'!$AJ$30,IF($B36=$F$74,+'8. KW and Non-Weather Sensitive'!$AT$30))))))))))</f>
        <v>245570.47</v>
      </c>
      <c r="O37" s="509">
        <f>IF($B36=$F$65,+'7. Weather Senstive Class'!$H$42,IF($B36=$F$66,+'7. Weather Senstive Class'!$P$42,IF($B36=$F$67,+'7. Weather Senstive Class'!$X$42,IF($B36=$F$68,+'7. Weather Senstive Class'!$AF$42,IF($B36=$F$69,+'7. Weather Senstive Class'!$AN$42,IF($B36=$F$70,+'8. KW and Non-Weather Sensitive'!$I$49,IF($B36=$F$71,+'8. KW and Non-Weather Sensitive'!$T$49,IF($B36=$F$72,+'8. KW and Non-Weather Sensitive'!$AD$49,IF($B36=$F$73,+'8. KW and Non-Weather Sensitive'!$AN$49,IF($B36=$F$74,+'8. KW and Non-Weather Sensitive'!$AX$49))))))))))</f>
        <v>244830.07070901303</v>
      </c>
      <c r="P37" s="510">
        <f>IF($B36=$F$65,+'7. Weather Senstive Class'!$H$43,IF($B36=$F$66,+'7. Weather Senstive Class'!$P$43,IF($B36=$F$67,+'7. Weather Senstive Class'!$X$43,IF($B36=$F$68,+'7. Weather Senstive Class'!$AF$43,IF($B36=$F$69,+'7. Weather Senstive Class'!$AN$43,IF($B36=$F$70,+'8. KW and Non-Weather Sensitive'!$I$50,IF($B36=$F$71,+'8. KW and Non-Weather Sensitive'!$T$50,IF($B36=$F$72,+'8. KW and Non-Weather Sensitive'!$AD$50,IF($B36=$F$73,+'8. KW and Non-Weather Sensitive'!$AN$50,IF($B36=$F$74,+'8. KW and Non-Weather Sensitive'!$AX$50))))))))))</f>
        <v>244366.67973391793</v>
      </c>
    </row>
    <row r="38" spans="2:16" x14ac:dyDescent="0.2">
      <c r="B38" s="89"/>
      <c r="C38" s="778"/>
      <c r="D38" s="59" t="s">
        <v>37</v>
      </c>
      <c r="E38" s="407">
        <f>IF(B$16=$F$70,+'8. KW and Non-Weather Sensitive'!$F$21,IF($B36=$F$71,+'8. KW and Non-Weather Sensitive'!$Q$21,IF($B36=$F$72,+'8. KW and Non-Weather Sensitive'!$AA$21,IF($B36=$F$73,+'8. KW and Non-Weather Sensitive'!$AK$21,+IF($B36=$F$74,+'8. KW and Non-Weather Sensitive'!$AU$21,0)))))</f>
        <v>783</v>
      </c>
      <c r="F38" s="407">
        <f>IF($B36=$F$70,+'8. KW and Non-Weather Sensitive'!$F$22,IF($B36=$F$71,+'8. KW and Non-Weather Sensitive'!$Q$22,IF($B36=$F$72,+'8. KW and Non-Weather Sensitive'!$AA$22,IF($B36=$F$73,+'8. KW and Non-Weather Sensitive'!$AK$22,+IF($B36=$F$74,+'8. KW and Non-Weather Sensitive'!$AU$22,0)))))</f>
        <v>767</v>
      </c>
      <c r="G38" s="407">
        <f>IF($B36=$F$70,+'8. KW and Non-Weather Sensitive'!$F$23,IF($B36=$F$71,+'8. KW and Non-Weather Sensitive'!$Q$23,IF($B36=$F$72,+'8. KW and Non-Weather Sensitive'!$AA$23,IF($B36=$F$73,+'8. KW and Non-Weather Sensitive'!$AK$23,+IF($B36=$F$74,+'8. KW and Non-Weather Sensitive'!$AU$23,0)))))</f>
        <v>766</v>
      </c>
      <c r="H38" s="407">
        <f>IF($B36=$F$70,+'8. KW and Non-Weather Sensitive'!$F$24,IF($B36=$F$71,+'8. KW and Non-Weather Sensitive'!$Q$24,IF($B36=$F$72,+'8. KW and Non-Weather Sensitive'!$AA$24,IF($B36=$F$73,+'8. KW and Non-Weather Sensitive'!$AK$24,+IF($B36=$F$74,+'8. KW and Non-Weather Sensitive'!$AU$24,0)))))</f>
        <v>751</v>
      </c>
      <c r="I38" s="407">
        <f>IF($B36=$F$70,+'8. KW and Non-Weather Sensitive'!$F$25,IF($B36=$F$71,+'8. KW and Non-Weather Sensitive'!$Q$25,IF($B36=$F$72,+'8. KW and Non-Weather Sensitive'!$AA$25,IF($B36=$F$73,+'8. KW and Non-Weather Sensitive'!$AK$25,+IF($B36=$F$74,+'8. KW and Non-Weather Sensitive'!$AU$25,0)))))</f>
        <v>756</v>
      </c>
      <c r="J38" s="407">
        <f>IF($B36=$F$70,+'8. KW and Non-Weather Sensitive'!$F$26,IF($B36=$F$71,+'8. KW and Non-Weather Sensitive'!$Q$26,IF($B36=$F$72,+'8. KW and Non-Weather Sensitive'!$AA$26,IF($B36=$F$73,+'8. KW and Non-Weather Sensitive'!$AK$26,+IF($B36=$F$74,+'8. KW and Non-Weather Sensitive'!$AU$26,0)))))</f>
        <v>766</v>
      </c>
      <c r="K38" s="407">
        <f>IF($B36=$F$70,+'8. KW and Non-Weather Sensitive'!$F$27,IF($B36=$F$71,+'8. KW and Non-Weather Sensitive'!$Q$27,IF($B36=$F$72,+'8. KW and Non-Weather Sensitive'!$AA$27,IF($B36=$F$73,+'8. KW and Non-Weather Sensitive'!$AK$27,+IF($B36=$F$74,+'8. KW and Non-Weather Sensitive'!$AU$27,0)))))</f>
        <v>734</v>
      </c>
      <c r="L38" s="407">
        <f>IF($B36=$F$70,+'8. KW and Non-Weather Sensitive'!$F$28,IF($B36=$F$71,+'8. KW and Non-Weather Sensitive'!$Q$28,IF($B36=$F$72,+'8. KW and Non-Weather Sensitive'!$AA$28,IF($B36=$F$73,+'8. KW and Non-Weather Sensitive'!$AK$28,+IF($B36=$F$74,+'8. KW and Non-Weather Sensitive'!$AU$28,0)))))</f>
        <v>713</v>
      </c>
      <c r="M38" s="407">
        <f>IF($B36=$F$70,+'8. KW and Non-Weather Sensitive'!$F$29,IF($B36=$F$71,+'8. KW and Non-Weather Sensitive'!$Q$29,IF($B36=$F$72,+'8. KW and Non-Weather Sensitive'!$AA$29,IF($B36=$F$73,+'8. KW and Non-Weather Sensitive'!$AK$29,+IF($B36=$F$74,+'8. KW and Non-Weather Sensitive'!$AU$29,0)))))</f>
        <v>700</v>
      </c>
      <c r="N38" s="407">
        <f>IF($B36=$F$70,+'8. KW and Non-Weather Sensitive'!$F$30,IF($B36=$F$71,+'8. KW and Non-Weather Sensitive'!$Q$30,IF($B36=$F$72,+'8. KW and Non-Weather Sensitive'!$AA$30,IF($B36=$F$73,+'8. KW and Non-Weather Sensitive'!$AK$30,+IF($B36=$F$74,+'8. KW and Non-Weather Sensitive'!$AU$30,0)))))</f>
        <v>683.5</v>
      </c>
      <c r="O38" s="407">
        <f>IF($B36=$F$70,+'8. KW and Non-Weather Sensitive'!$J$49,IF($B36=$F$71,+'8. KW and Non-Weather Sensitive'!$U$49,IF($B36=$F$72,+'8. KW and Non-Weather Sensitive'!$AE$49,IF($B36=$F$73,+'8. KW and Non-Weather Sensitive'!$AO$49,+IF($B36=$F$74,+'8. KW and Non-Weather Sensitive'!$AY$49,0)))))</f>
        <v>697.66573773827554</v>
      </c>
      <c r="P38" s="511">
        <f>IF($B36=$F$70,+'8. KW and Non-Weather Sensitive'!$J$50,IF($B36=$F$71,+'8. KW and Non-Weather Sensitive'!$U$50,IF($B36=$F$72,+'8. KW and Non-Weather Sensitive'!$AE$50,IF($B36=$F$73,+'8. KW and Non-Weather Sensitive'!$AO$50,+IF($B36=$F$74,+'8. KW and Non-Weather Sensitive'!$AY$50,0)))))</f>
        <v>696.34526266115472</v>
      </c>
    </row>
    <row r="39" spans="2:16" x14ac:dyDescent="0.2">
      <c r="B39" s="89"/>
      <c r="C39" s="778"/>
      <c r="D39" s="59"/>
      <c r="E39" s="407"/>
      <c r="F39" s="407"/>
      <c r="G39" s="407"/>
      <c r="H39" s="407"/>
      <c r="I39" s="407"/>
      <c r="J39" s="407"/>
      <c r="K39" s="407"/>
      <c r="L39" s="407"/>
      <c r="M39" s="407"/>
      <c r="N39" s="407"/>
      <c r="O39" s="408"/>
      <c r="P39" s="409"/>
    </row>
    <row r="40" spans="2:16" x14ac:dyDescent="0.2">
      <c r="B40" s="762" t="s">
        <v>270</v>
      </c>
      <c r="C40" s="777">
        <f>IF($B40=$F$65,+$B$65,+IF($B40=$F$66,+$B$66,+IF($B40=$F$67,+$B$67,+IF($B40=$F$67,$B$67,+IF($B40=$F$68,+$B$68,+IF($B40=$F$69,+$B$69,+IF($B40=$F$70,+$B$70,+IF($B40=$F$71,+$B$71,+IF($B40=$F$72,+$B$72,+IF($B40=$F$73,+$B$73,+IF($B40=$F$74,+$B$74)))))))))))</f>
        <v>0</v>
      </c>
      <c r="D40" s="59" t="s">
        <v>131</v>
      </c>
      <c r="E40" s="512">
        <f>IF($C40='4. Customer Growth'!$C$15,+'4. Customer Growth'!$C$17,+IF($C40='4. Customer Growth'!$E$15,+'4. Customer Growth'!$E$17,+IF($C40='4. Customer Growth'!$G$15,+'4. Customer Growth'!$G$17,+IF($C40='4. Customer Growth'!$I$15,+'4. Customer Growth'!$I$17,+IF($C40='4. Customer Growth'!$K$15,+'4. Customer Growth'!$K$17,+IF($C40='4. Customer Growth'!$M$15,+'4. Customer Growth'!$M$17,IF($C40='4. Customer Growth'!$O$15,+'4. Customer Growth'!$O$17,IF($C40='4. Customer Growth'!$Q$15,+'4. Customer Growth'!$Q$17))))))))</f>
        <v>0</v>
      </c>
      <c r="F40" s="512">
        <f>IF($C40='4. Customer Growth'!$C$15,+'4. Customer Growth'!$C$18,+IF($C40='4. Customer Growth'!$E$15,+'4. Customer Growth'!$E$18,+IF($C40='4. Customer Growth'!$G$15,+'4. Customer Growth'!$G$18,+IF($C40='4. Customer Growth'!$I$15,+'4. Customer Growth'!$I$18,+IF($C40='4. Customer Growth'!$K$15,+'4. Customer Growth'!$K$18,+IF($C40='4. Customer Growth'!$M$15,+'4. Customer Growth'!$M$18,IF($C40='4. Customer Growth'!$O$15,+'4. Customer Growth'!$O$18,IF($C40='4. Customer Growth'!$Q$15,+'4. Customer Growth'!$Q$18))))))))</f>
        <v>0</v>
      </c>
      <c r="G40" s="512">
        <f>IF($C40='4. Customer Growth'!$C$15,+'4. Customer Growth'!$C$19,+IF($C40='4. Customer Growth'!$E$15,+'4. Customer Growth'!$E$19,+IF($C40='4. Customer Growth'!$G$15,+'4. Customer Growth'!$G$19,+IF($C40='4. Customer Growth'!$I$15,+'4. Customer Growth'!$I$19,+IF($C40='4. Customer Growth'!$K$15,+'4. Customer Growth'!$K$19,+IF($C40='4. Customer Growth'!$M$15,+'4. Customer Growth'!$M$19,IF($C40='4. Customer Growth'!$O$15,+'4. Customer Growth'!$O$19,IF($C40='4. Customer Growth'!$Q$15,+'4. Customer Growth'!$Q$19))))))))</f>
        <v>0</v>
      </c>
      <c r="H40" s="512">
        <f>IF($C40='4. Customer Growth'!$C$15,+'4. Customer Growth'!$C$20,+IF($C40='4. Customer Growth'!$E$15,+'4. Customer Growth'!$E$20,+IF($C40='4. Customer Growth'!$G$15,+'4. Customer Growth'!$G$20,+IF($C40='4. Customer Growth'!$I$15,+'4. Customer Growth'!$I$20,+IF($C40='4. Customer Growth'!$K$15,+'4. Customer Growth'!$K$20,+IF($C40='4. Customer Growth'!$M$15,+'4. Customer Growth'!$M$20,IF($C40='4. Customer Growth'!$O$15,+'4. Customer Growth'!$O$20,IF($C40='4. Customer Growth'!$Q$15,+'4. Customer Growth'!$Q$20))))))))</f>
        <v>0</v>
      </c>
      <c r="I40" s="512">
        <f>IF($C40='4. Customer Growth'!$C$15,+'4. Customer Growth'!$C$21,+IF($C40='4. Customer Growth'!$E$15,+'4. Customer Growth'!$E$21,+IF($C40='4. Customer Growth'!$G$15,+'4. Customer Growth'!$G$21,+IF($C40='4. Customer Growth'!$I$15,+'4. Customer Growth'!$I$21,+IF($C40='4. Customer Growth'!$K$15,+'4. Customer Growth'!$K$21,+IF($C40='4. Customer Growth'!$M$15,+'4. Customer Growth'!$M$21,IF($C40='4. Customer Growth'!$O$15,+'4. Customer Growth'!$O$21,IF($C40='4. Customer Growth'!$Q$15,+'4. Customer Growth'!$Q$21))))))))</f>
        <v>0</v>
      </c>
      <c r="J40" s="512">
        <f>IF($C40='4. Customer Growth'!$C$15,+'4. Customer Growth'!$C$22,+IF($C40='4. Customer Growth'!$E$15,+'4. Customer Growth'!$E$22,+IF($C40='4. Customer Growth'!$G$15,+'4. Customer Growth'!$G$22,+IF($C40='4. Customer Growth'!$I$15,+'4. Customer Growth'!$I$22,+IF($C40='4. Customer Growth'!$K$15,+'4. Customer Growth'!$K$22,+IF($C40='4. Customer Growth'!$M$15,+'4. Customer Growth'!$M$22,IF($C40='4. Customer Growth'!$O$15,+'4. Customer Growth'!$O$22,IF($C40='4. Customer Growth'!$Q$15,+'4. Customer Growth'!$Q$22))))))))</f>
        <v>0</v>
      </c>
      <c r="K40" s="512">
        <f>IF($C40='4. Customer Growth'!$C$15,+'4. Customer Growth'!$C$23,+IF($C40='4. Customer Growth'!$E$15,+'4. Customer Growth'!$E$23,+IF($C40='4. Customer Growth'!$G$15,+'4. Customer Growth'!$G$23,+IF($C40='4. Customer Growth'!$I$15,+'4. Customer Growth'!$I$23,+IF($C40='4. Customer Growth'!$K$15,+'4. Customer Growth'!$K$23,+IF($C40='4. Customer Growth'!$M$15,+'4. Customer Growth'!$M$23,IF($C40='4. Customer Growth'!$O$15,+'4. Customer Growth'!$O$23,IF($C40='4. Customer Growth'!$Q$15,+'4. Customer Growth'!$Q$23))))))))</f>
        <v>0</v>
      </c>
      <c r="L40" s="512">
        <f>IF($C40='4. Customer Growth'!$C$15,+'4. Customer Growth'!$C$24,+IF($C40='4. Customer Growth'!$E$15,+'4. Customer Growth'!$E$24,+IF($C40='4. Customer Growth'!$G$15,+'4. Customer Growth'!$G$24,+IF($C40='4. Customer Growth'!$I$15,+'4. Customer Growth'!$I$24,+IF($C40='4. Customer Growth'!$K$15,+'4. Customer Growth'!$K$24,+IF($C40='4. Customer Growth'!$M$15,+'4. Customer Growth'!$M$24,IF($C40='4. Customer Growth'!$O$15,+'4. Customer Growth'!$O$24,IF($C40='4. Customer Growth'!$Q$15,+'4. Customer Growth'!$Q$24))))))))</f>
        <v>0</v>
      </c>
      <c r="M40" s="512">
        <f>IF($C40='4. Customer Growth'!$C$15,+'4. Customer Growth'!$C$25,+IF($C40='4. Customer Growth'!$E$15,+'4. Customer Growth'!$E$25,+IF($C40='4. Customer Growth'!$G$15,+'4. Customer Growth'!$G$25,+IF($C40='4. Customer Growth'!$I$15,+'4. Customer Growth'!$I$25,+IF($C40='4. Customer Growth'!$K$15,+'4. Customer Growth'!$K$25,+IF($C40='4. Customer Growth'!$M$15,+'4. Customer Growth'!$M$25,IF($C40='4. Customer Growth'!$O$15,+'4. Customer Growth'!$O$25,IF($C40='4. Customer Growth'!$Q$15,+'4. Customer Growth'!$Q$25))))))))</f>
        <v>0</v>
      </c>
      <c r="N40" s="512">
        <f>IF($C40='4. Customer Growth'!$C$15,+'4. Customer Growth'!$C$26,+IF($C40='4. Customer Growth'!$E$15,+'4. Customer Growth'!$E$26,+IF($C40='4. Customer Growth'!$G$15,+'4. Customer Growth'!$G$26,+IF($C40='4. Customer Growth'!$I$15,+'4. Customer Growth'!$I$26,+IF($C40='4. Customer Growth'!$K$15,+'4. Customer Growth'!$K$26,+IF($C40='4. Customer Growth'!$M$15,+'4. Customer Growth'!$M$26,IF($C40='4. Customer Growth'!$O$15,+'4. Customer Growth'!$O$26,IF($C40='4. Customer Growth'!$Q$15,+'4. Customer Growth'!$Q$26))))))))</f>
        <v>0</v>
      </c>
      <c r="O40" s="512">
        <f>IF($C40='4. Customer Growth'!$C$15,+'4. Customer Growth'!$C$42,+IF($C40='4. Customer Growth'!$E$15,+'4. Customer Growth'!$E$42,+IF($C40='4. Customer Growth'!$G$15,+'4. Customer Growth'!$G$42,+IF($C40='4. Customer Growth'!$I$15,+'4. Customer Growth'!$I$42,+IF($C40='4. Customer Growth'!$K$15,+'4. Customer Growth'!$K$42,+IF($C40='4. Customer Growth'!$M$15,+'4. Customer Growth'!$M$42,IF($C40='4. Customer Growth'!$O$15,+'4. Customer Growth'!$O$42,IF($C40='4. Customer Growth'!$Q$15,+'4. Customer Growth'!$Q$42))))))))</f>
        <v>0</v>
      </c>
      <c r="P40" s="513">
        <f>IF($C40='4. Customer Growth'!$C$15,+'4. Customer Growth'!$C$43,+IF($C40='4. Customer Growth'!$E$15,+'4. Customer Growth'!$E$43,+IF($C40='4. Customer Growth'!$G$15,+'4. Customer Growth'!$G$43,+IF($C40='4. Customer Growth'!$I$15,+'4. Customer Growth'!$I$43,+IF($C40='4. Customer Growth'!$K$15,+'4. Customer Growth'!$K$43,+IF($C40='4. Customer Growth'!$M$15,+'4. Customer Growth'!$M$43,IF($C40='4. Customer Growth'!$O$15,+'4. Customer Growth'!$O$43,IF($C40='4. Customer Growth'!$Q$15,+'4. Customer Growth'!$Q$43))))))))</f>
        <v>0</v>
      </c>
    </row>
    <row r="41" spans="2:16" x14ac:dyDescent="0.2">
      <c r="B41" s="89"/>
      <c r="C41" s="778"/>
      <c r="D41" s="59" t="s">
        <v>36</v>
      </c>
      <c r="E41" s="509">
        <f>IF($B40=$F$65,+'7. Weather Senstive Class'!$G$21,IF($B40=$F$66,+'7. Weather Senstive Class'!$O$21,IF($B40=$F$67,+'7. Weather Senstive Class'!$W$21,IF($B40=$F$68,+'7. Weather Senstive Class'!$AE$21,IF($B40=$F$69,+'7. Weather Senstive Class'!$AM$21,IF($B40=$F$70,+'8. KW and Non-Weather Sensitive'!$E$21,IF($B40=$F$71,+'8. KW and Non-Weather Sensitive'!$P$21,IF($B40=$F$72,+'8. KW and Non-Weather Sensitive'!$Z$21,IF($B40=$F$73,+'8. KW and Non-Weather Sensitive'!$AJ$21,IF($B40=$F$74,+'8. KW and Non-Weather Sensitive'!$AT$21))))))))))</f>
        <v>0</v>
      </c>
      <c r="F41" s="509">
        <f>IF($B40=$F$65,+'7. Weather Senstive Class'!$G$22,IF($B40=$F$66,+'7. Weather Senstive Class'!$O$22,IF($B40=$F$67,+'7. Weather Senstive Class'!$W$22,IF($B40=$F$68,+'7. Weather Senstive Class'!$AE$22,IF($B40=$F$69,+'7. Weather Senstive Class'!$AM$22,IF($B40=$F$70,+'8. KW and Non-Weather Sensitive'!$E$22,IF($B40=$F$71,+'8. KW and Non-Weather Sensitive'!$P$22,IF($B40=$F$72,+'8. KW and Non-Weather Sensitive'!$Z$22,IF($B40=$F$73,+'8. KW and Non-Weather Sensitive'!$AJ$22,IF($B40=$F$74,+'8. KW and Non-Weather Sensitive'!$AT$22))))))))))</f>
        <v>0</v>
      </c>
      <c r="G41" s="509">
        <f>IF($B40=$F$65,+'7. Weather Senstive Class'!$G$23,IF($B40=$F$66,+'7. Weather Senstive Class'!$O$23,IF($B40=$F$67,+'7. Weather Senstive Class'!$W$23,IF($B40=$F$68,+'7. Weather Senstive Class'!$AE$23,IF($B40=$F$69,+'7. Weather Senstive Class'!$AM$23,IF($B40=$F$70,+'8. KW and Non-Weather Sensitive'!$E$23,IF($B40=$F$71,+'8. KW and Non-Weather Sensitive'!$P$23,IF($B40=$F$72,+'8. KW and Non-Weather Sensitive'!$Z$23,IF($B40=$F$73,+'8. KW and Non-Weather Sensitive'!$AJ$23,IF($B40=$F$74,+'8. KW and Non-Weather Sensitive'!$AT$23))))))))))</f>
        <v>0</v>
      </c>
      <c r="H41" s="509">
        <f>IF($B40=$F$65,+'7. Weather Senstive Class'!$G$24,IF($B40=$F$66,+'7. Weather Senstive Class'!$O$24,IF($B40=$F$67,+'7. Weather Senstive Class'!$W$24,IF($B40=$F$68,+'7. Weather Senstive Class'!$AE$24,IF($B40=$F$69,+'7. Weather Senstive Class'!$AM$24,IF($B40=$F$70,+'8. KW and Non-Weather Sensitive'!$E$24,IF($B40=$F$71,+'8. KW and Non-Weather Sensitive'!$P$24,IF($B40=$F$72,+'8. KW and Non-Weather Sensitive'!$Z$24,IF($B40=$F$73,+'8. KW and Non-Weather Sensitive'!$AJ$24,IF($B40=$F$74,+'8. KW and Non-Weather Sensitive'!$AT$24))))))))))</f>
        <v>0</v>
      </c>
      <c r="I41" s="509">
        <f>IF($B40=$F$65,+'7. Weather Senstive Class'!$G$25,IF($B40=$F$66,+'7. Weather Senstive Class'!$O$25,IF($B40=$F$67,+'7. Weather Senstive Class'!$W$25,IF($B40=$F$68,+'7. Weather Senstive Class'!$AE$25,IF($B40=$F$69,+'7. Weather Senstive Class'!$AM$25,IF($B40=$F$70,+'8. KW and Non-Weather Sensitive'!$E$25,IF($B40=$F$71,+'8. KW and Non-Weather Sensitive'!$P$25,IF($B40=$F$72,+'8. KW and Non-Weather Sensitive'!$Z$25,IF($B40=$F$73,+'8. KW and Non-Weather Sensitive'!$AJ$25,IF($B40=$F$74,+'8. KW and Non-Weather Sensitive'!$AT$25))))))))))</f>
        <v>0</v>
      </c>
      <c r="J41" s="509">
        <f>IF($B40=$F$65,+'7. Weather Senstive Class'!$G$26,IF($B40=$F$66,+'7. Weather Senstive Class'!$O$26,IF($B40=$F$67,+'7. Weather Senstive Class'!$M$26,IF($B40=$F$68,+'7. Weather Senstive Class'!$AE$26,IF($B40=$F$69,+'7. Weather Senstive Class'!$AM$26,IF($B40=$F$70,+'8. KW and Non-Weather Sensitive'!$E$26,IF($B40=$F$71,+'8. KW and Non-Weather Sensitive'!$P$26,IF($B40=$F$72,+'8. KW and Non-Weather Sensitive'!$Z$26,IF($B40=$F$73,+'8. KW and Non-Weather Sensitive'!$AJ$26,IF($B40=$F$74,+'8. KW and Non-Weather Sensitive'!$AT$26))))))))))</f>
        <v>0</v>
      </c>
      <c r="K41" s="509">
        <f>IF($B40=$F$65,+'7. Weather Senstive Class'!$G$27,IF($B40=$F$66,+'7. Weather Senstive Class'!$O$27,IF($B40=$F$67,+'7. Weather Senstive Class'!$W$27,IF($B40=$F$68,+'7. Weather Senstive Class'!$AE$27,IF($B40=$F$69,+'7. Weather Senstive Class'!$AM$27,IF($B40=$F$70,+'8. KW and Non-Weather Sensitive'!$E$27,IF($B40=$F$71,+'8. KW and Non-Weather Sensitive'!$P$27,IF($B40=$F$72,+'8. KW and Non-Weather Sensitive'!$Z$27,IF($B40=$F$73,+'8. KW and Non-Weather Sensitive'!$AJ$27,IF($B40=$F$74,+'8. KW and Non-Weather Sensitive'!$AT$27))))))))))</f>
        <v>0</v>
      </c>
      <c r="L41" s="509">
        <f>IF($B40=$F$65,+'7. Weather Senstive Class'!$G$28,IF($B40=$F$66,+'7. Weather Senstive Class'!$O$28,IF($B40=$F$67,+'7. Weather Senstive Class'!$W$28,IF($B40=$F$68,+'7. Weather Senstive Class'!$AE$28,IF($B40=$F$69,+'7. Weather Senstive Class'!$AM$28,IF($B40=$F$70,+'8. KW and Non-Weather Sensitive'!$E$28,IF($B40=$F$71,+'8. KW and Non-Weather Sensitive'!$P$28,IF($B40=$F$72,+'8. KW and Non-Weather Sensitive'!$Z$28,IF($B40=$F$73,+'8. KW and Non-Weather Sensitive'!$AJ$28,IF($B40=$F$74,+'8. KW and Non-Weather Sensitive'!$AT$28))))))))))</f>
        <v>0</v>
      </c>
      <c r="M41" s="509">
        <f>IF($B40=$F$65,+'7. Weather Senstive Class'!$G$29,IF($B40=$F$66,+'7. Weather Senstive Class'!$O$29,IF($B40=$F$67,+'7. Weather Senstive Class'!$W$29,IF($B40=$F$68,+'7. Weather Senstive Class'!$AE$29,IF($B40=$F$69,+'7. Weather Senstive Class'!$AM$29,IF($B40=$F$70,+'8. KW and Non-Weather Sensitive'!$E$29,IF($B40=$F$71,+'8. KW and Non-Weather Sensitive'!$P$29,IF($B40=$F$72,+'8. KW and Non-Weather Sensitive'!$Z$29,IF($B40=$F$73,+'8. KW and Non-Weather Sensitive'!$AJ$29,IF($B40=$F$74,+'8. KW and Non-Weather Sensitive'!$AT$29))))))))))</f>
        <v>0</v>
      </c>
      <c r="N41" s="509">
        <f>IF($B40=$F$65,+'7. Weather Senstive Class'!$G$30,IF($B40=$F$66,+'7. Weather Senstive Class'!$O$30,IF($B40=$F$67,+'7. Weather Senstive Class'!$W$30,IF($B40=$F$68,+'7. Weather Senstive Class'!$AE$30,IF($B40=$F$69,+'7. Weather Senstive Class'!$AM$30,IF($B40=$F$70,+'8. KW and Non-Weather Sensitive'!$E$30,IF($B40=$F$71,+'8. KW and Non-Weather Sensitive'!$P$30,IF($B40=$F$72,+'8. KW and Non-Weather Sensitive'!$Z$30,IF($B40=$F$73,+'8. KW and Non-Weather Sensitive'!$AJ$30,IF($B40=$F$74,+'8. KW and Non-Weather Sensitive'!$AT$30))))))))))</f>
        <v>0</v>
      </c>
      <c r="O41" s="512">
        <f>IF($B40=$F$65,+'7. Weather Senstive Class'!$H$42,IF($B40=$F$66,+'7. Weather Senstive Class'!$P$42,IF($B40=$F$67,+'7. Weather Senstive Class'!$X$42,IF($B40=$F$68,+'7. Weather Senstive Class'!$AF$42,IF($B40=$F$69,+'7. Weather Senstive Class'!$AN$42,IF($B40=$F$70,+'8. KW and Non-Weather Sensitive'!$I$49,IF($B40=$F$71,+'8. KW and Non-Weather Sensitive'!$T$49,IF($B40=$F$72,+'8. KW and Non-Weather Sensitive'!$AD$49,IF($B40=$F$73,+'8. KW and Non-Weather Sensitive'!$AN$49,IF($B40=$F$74,+'8. KW and Non-Weather Sensitive'!$AX$49))))))))))</f>
        <v>0</v>
      </c>
      <c r="P41" s="513">
        <f>IF($B40=$F$65,+'7. Weather Senstive Class'!$H$43,IF($B40=$F$66,+'7. Weather Senstive Class'!$P$43,IF($B40=$F$67,+'7. Weather Senstive Class'!$X$43,IF($B40=$F$68,+'7. Weather Senstive Class'!$AF$43,IF($B40=$F$69,+'7. Weather Senstive Class'!$AN$43,IF($B40=$F$70,+'8. KW and Non-Weather Sensitive'!$I$50,IF($B40=$F$71,+'8. KW and Non-Weather Sensitive'!$T$50,IF($B40=$F$72,+'8. KW and Non-Weather Sensitive'!$AD$50,IF($B40=$F$73,+'8. KW and Non-Weather Sensitive'!$AN$50,IF($B40=$F$74,+'8. KW and Non-Weather Sensitive'!$AX$50))))))))))</f>
        <v>0</v>
      </c>
    </row>
    <row r="42" spans="2:16" x14ac:dyDescent="0.2">
      <c r="B42" s="89"/>
      <c r="C42" s="778"/>
      <c r="D42" s="59" t="s">
        <v>37</v>
      </c>
      <c r="E42" s="407">
        <f>IF(B$16=$F$70,+'8. KW and Non-Weather Sensitive'!$F$21,IF($B40=$F$71,+'8. KW and Non-Weather Sensitive'!$Q$21,IF($B40=$F$72,+'8. KW and Non-Weather Sensitive'!$AA$21,IF($B40=$F$73,+'8. KW and Non-Weather Sensitive'!$AK$21,+IF($B40=$F$74,+'8. KW and Non-Weather Sensitive'!$AU$21,0)))))</f>
        <v>0</v>
      </c>
      <c r="F42" s="407">
        <f>IF($B40=$F$70,+'8. KW and Non-Weather Sensitive'!$F$22,IF($B40=$F$71,+'8. KW and Non-Weather Sensitive'!$Q$22,IF($B40=$F$72,+'8. KW and Non-Weather Sensitive'!$AA$22,IF($B40=$F$73,+'8. KW and Non-Weather Sensitive'!$AK$22,+IF($B40=$F$74,+'8. KW and Non-Weather Sensitive'!$AU$22,0)))))</f>
        <v>0</v>
      </c>
      <c r="G42" s="407">
        <f>IF($B40=$F$70,+'8. KW and Non-Weather Sensitive'!$F$23,IF($B40=$F$71,+'8. KW and Non-Weather Sensitive'!$Q$23,IF($B40=$F$72,+'8. KW and Non-Weather Sensitive'!$AA$23,IF($B40=$F$73,+'8. KW and Non-Weather Sensitive'!$AK$23,+IF($B40=$F$74,+'8. KW and Non-Weather Sensitive'!$AU$23,0)))))</f>
        <v>0</v>
      </c>
      <c r="H42" s="407">
        <f>IF($B40=$F$70,+'8. KW and Non-Weather Sensitive'!$F$24,IF($B40=$F$71,+'8. KW and Non-Weather Sensitive'!$Q$24,IF($B40=$F$72,+'8. KW and Non-Weather Sensitive'!$AA$24,IF($B40=$F$73,+'8. KW and Non-Weather Sensitive'!$AK$24,+IF($B40=$F$74,+'8. KW and Non-Weather Sensitive'!$AU$24,0)))))</f>
        <v>0</v>
      </c>
      <c r="I42" s="407">
        <f>IF($B40=$F$70,+'8. KW and Non-Weather Sensitive'!$F$25,IF($B40=$F$71,+'8. KW and Non-Weather Sensitive'!$Q$25,IF($B40=$F$72,+'8. KW and Non-Weather Sensitive'!$AA$25,IF($B40=$F$73,+'8. KW and Non-Weather Sensitive'!$AK$25,+IF($B40=$F$74,+'8. KW and Non-Weather Sensitive'!$AU$25,0)))))</f>
        <v>0</v>
      </c>
      <c r="J42" s="407">
        <f>IF($B40=$F$70,+'8. KW and Non-Weather Sensitive'!$F$26,IF($B40=$F$71,+'8. KW and Non-Weather Sensitive'!$Q$26,IF($B40=$F$72,+'8. KW and Non-Weather Sensitive'!$AA$26,IF($B40=$F$73,+'8. KW and Non-Weather Sensitive'!$AK$26,+IF($B40=$F$74,+'8. KW and Non-Weather Sensitive'!$AU$26,0)))))</f>
        <v>0</v>
      </c>
      <c r="K42" s="407">
        <f>IF($B40=$F$70,+'8. KW and Non-Weather Sensitive'!$F$27,IF($B40=$F$71,+'8. KW and Non-Weather Sensitive'!$Q$27,IF($B40=$F$72,+'8. KW and Non-Weather Sensitive'!$AA$27,IF($B40=$F$73,+'8. KW and Non-Weather Sensitive'!$AK$27,+IF($B40=$F$74,+'8. KW and Non-Weather Sensitive'!$AU$27,0)))))</f>
        <v>0</v>
      </c>
      <c r="L42" s="407">
        <f>IF($B40=$F$70,+'8. KW and Non-Weather Sensitive'!$F$28,IF($B40=$F$71,+'8. KW and Non-Weather Sensitive'!$Q$28,IF($B40=$F$72,+'8. KW and Non-Weather Sensitive'!$AA$28,IF($B40=$F$73,+'8. KW and Non-Weather Sensitive'!$AK$28,+IF($B40=$F$74,+'8. KW and Non-Weather Sensitive'!$AU$28,0)))))</f>
        <v>0</v>
      </c>
      <c r="M42" s="407">
        <f>IF($B40=$F$70,+'8. KW and Non-Weather Sensitive'!$F$29,IF($B40=$F$71,+'8. KW and Non-Weather Sensitive'!$Q$29,IF($B40=$F$72,+'8. KW and Non-Weather Sensitive'!$AA$29,IF($B40=$F$73,+'8. KW and Non-Weather Sensitive'!$AK$29,+IF($B40=$F$74,+'8. KW and Non-Weather Sensitive'!$AU$29,0)))))</f>
        <v>0</v>
      </c>
      <c r="N42" s="407">
        <f>IF($B40=$F$70,+'8. KW and Non-Weather Sensitive'!$F$30,IF($B40=$F$71,+'8. KW and Non-Weather Sensitive'!$Q$30,IF($B40=$F$72,+'8. KW and Non-Weather Sensitive'!$AA$30,IF($B40=$F$73,+'8. KW and Non-Weather Sensitive'!$AK$30,+IF($B40=$F$74,+'8. KW and Non-Weather Sensitive'!$AU$30,0)))))</f>
        <v>0</v>
      </c>
      <c r="O42" s="407">
        <f>IF($B40=$F$70,+'8. KW and Non-Weather Sensitive'!$J$49,IF($B40=$F$71,+'8. KW and Non-Weather Sensitive'!$U$49,IF($B40=$F$72,+'8. KW and Non-Weather Sensitive'!$AE$49,IF($B40=$F$73,+'8. KW and Non-Weather Sensitive'!$AO$49,+IF($B40=$F$74,+'8. KW and Non-Weather Sensitive'!$AY$49,0)))))</f>
        <v>0</v>
      </c>
      <c r="P42" s="511">
        <f>IF($B40=$F$70,+'8. KW and Non-Weather Sensitive'!$J$50,IF($B40=$F$71,+'8. KW and Non-Weather Sensitive'!$U$50,IF($B40=$F$72,+'8. KW and Non-Weather Sensitive'!$AE$50,IF($B40=$F$73,+'8. KW and Non-Weather Sensitive'!$AO$50,+IF($B40=$F$74,+'8. KW and Non-Weather Sensitive'!$AY$50,0)))))</f>
        <v>0</v>
      </c>
    </row>
    <row r="43" spans="2:16" x14ac:dyDescent="0.2">
      <c r="B43" s="89"/>
      <c r="C43" s="779"/>
      <c r="D43" s="59"/>
      <c r="E43" s="410"/>
      <c r="F43" s="410"/>
      <c r="G43" s="410"/>
      <c r="H43" s="410"/>
      <c r="I43" s="410"/>
      <c r="J43" s="410"/>
      <c r="K43" s="410"/>
      <c r="L43" s="410"/>
      <c r="M43" s="410"/>
      <c r="N43" s="410"/>
      <c r="O43" s="411"/>
      <c r="P43" s="412"/>
    </row>
    <row r="44" spans="2:16" hidden="1" x14ac:dyDescent="0.2">
      <c r="B44" s="199">
        <f>'2. Customer Classes'!B21</f>
        <v>0</v>
      </c>
      <c r="C44" s="780"/>
      <c r="D44" s="59" t="s">
        <v>131</v>
      </c>
      <c r="E44" s="410"/>
      <c r="F44" s="410"/>
      <c r="G44" s="410"/>
      <c r="H44" s="410"/>
      <c r="I44" s="410"/>
      <c r="J44" s="410"/>
      <c r="K44" s="410"/>
      <c r="L44" s="410"/>
      <c r="M44" s="410"/>
      <c r="N44" s="410"/>
      <c r="O44" s="411"/>
      <c r="P44" s="412"/>
    </row>
    <row r="45" spans="2:16" hidden="1" x14ac:dyDescent="0.2">
      <c r="B45" s="197"/>
      <c r="C45" s="781"/>
      <c r="D45" s="59" t="s">
        <v>36</v>
      </c>
      <c r="E45" s="410"/>
      <c r="F45" s="410"/>
      <c r="G45" s="410"/>
      <c r="H45" s="410"/>
      <c r="I45" s="410"/>
      <c r="J45" s="410"/>
      <c r="K45" s="410"/>
      <c r="L45" s="410"/>
      <c r="M45" s="410"/>
      <c r="N45" s="410"/>
      <c r="O45" s="411"/>
      <c r="P45" s="412"/>
    </row>
    <row r="46" spans="2:16" hidden="1" x14ac:dyDescent="0.2">
      <c r="B46" s="197"/>
      <c r="C46" s="781"/>
      <c r="D46" s="59" t="s">
        <v>37</v>
      </c>
      <c r="E46" s="410"/>
      <c r="F46" s="410"/>
      <c r="G46" s="410"/>
      <c r="H46" s="410"/>
      <c r="I46" s="410"/>
      <c r="J46" s="410"/>
      <c r="K46" s="410"/>
      <c r="L46" s="410"/>
      <c r="M46" s="410"/>
      <c r="N46" s="410"/>
      <c r="O46" s="411"/>
      <c r="P46" s="412"/>
    </row>
    <row r="47" spans="2:16" hidden="1" x14ac:dyDescent="0.2">
      <c r="B47" s="197"/>
      <c r="C47" s="781"/>
      <c r="D47" s="59"/>
      <c r="E47" s="410"/>
      <c r="F47" s="410"/>
      <c r="G47" s="410"/>
      <c r="H47" s="410"/>
      <c r="I47" s="410"/>
      <c r="J47" s="410"/>
      <c r="K47" s="410"/>
      <c r="L47" s="410"/>
      <c r="M47" s="410"/>
      <c r="N47" s="410"/>
      <c r="O47" s="411"/>
      <c r="P47" s="412"/>
    </row>
    <row r="48" spans="2:16" hidden="1" x14ac:dyDescent="0.2">
      <c r="B48" s="199" t="str">
        <f>'2. Customer Classes'!B22</f>
        <v>other</v>
      </c>
      <c r="C48" s="780"/>
      <c r="D48" s="59" t="s">
        <v>131</v>
      </c>
      <c r="E48" s="410"/>
      <c r="F48" s="410"/>
      <c r="G48" s="410"/>
      <c r="H48" s="410"/>
      <c r="I48" s="410"/>
      <c r="J48" s="410"/>
      <c r="K48" s="410"/>
      <c r="L48" s="410"/>
      <c r="M48" s="410"/>
      <c r="N48" s="410"/>
      <c r="O48" s="411"/>
      <c r="P48" s="412"/>
    </row>
    <row r="49" spans="2:16" hidden="1" x14ac:dyDescent="0.2">
      <c r="B49" s="197"/>
      <c r="C49" s="781"/>
      <c r="D49" s="59" t="s">
        <v>36</v>
      </c>
      <c r="E49" s="410"/>
      <c r="F49" s="410"/>
      <c r="G49" s="410"/>
      <c r="H49" s="410"/>
      <c r="I49" s="410"/>
      <c r="J49" s="410"/>
      <c r="K49" s="410"/>
      <c r="L49" s="410"/>
      <c r="M49" s="410"/>
      <c r="N49" s="410"/>
      <c r="O49" s="411"/>
      <c r="P49" s="412"/>
    </row>
    <row r="50" spans="2:16" hidden="1" x14ac:dyDescent="0.2">
      <c r="B50" s="197"/>
      <c r="C50" s="781"/>
      <c r="D50" s="59" t="s">
        <v>37</v>
      </c>
      <c r="E50" s="410"/>
      <c r="F50" s="410"/>
      <c r="G50" s="410"/>
      <c r="H50" s="410"/>
      <c r="I50" s="410"/>
      <c r="J50" s="410"/>
      <c r="K50" s="410"/>
      <c r="L50" s="410"/>
      <c r="M50" s="410"/>
      <c r="N50" s="410"/>
      <c r="O50" s="411"/>
      <c r="P50" s="412"/>
    </row>
    <row r="51" spans="2:16" hidden="1" x14ac:dyDescent="0.2">
      <c r="B51" s="197"/>
      <c r="C51" s="781"/>
      <c r="D51" s="59"/>
      <c r="E51" s="410"/>
      <c r="F51" s="410"/>
      <c r="G51" s="410"/>
      <c r="H51" s="410"/>
      <c r="I51" s="410"/>
      <c r="J51" s="410"/>
      <c r="K51" s="410"/>
      <c r="L51" s="410"/>
      <c r="M51" s="410"/>
      <c r="N51" s="410"/>
      <c r="O51" s="411"/>
      <c r="P51" s="412"/>
    </row>
    <row r="52" spans="2:16" hidden="1" x14ac:dyDescent="0.2">
      <c r="B52" s="199" t="str">
        <f>'2. Customer Classes'!B23</f>
        <v>other</v>
      </c>
      <c r="C52" s="780"/>
      <c r="D52" s="59" t="s">
        <v>131</v>
      </c>
      <c r="E52" s="410"/>
      <c r="F52" s="410"/>
      <c r="G52" s="410"/>
      <c r="H52" s="410"/>
      <c r="I52" s="410"/>
      <c r="J52" s="410"/>
      <c r="K52" s="410"/>
      <c r="L52" s="410"/>
      <c r="M52" s="410"/>
      <c r="N52" s="410"/>
      <c r="O52" s="411"/>
      <c r="P52" s="412"/>
    </row>
    <row r="53" spans="2:16" hidden="1" x14ac:dyDescent="0.2">
      <c r="B53" s="197"/>
      <c r="C53" s="781"/>
      <c r="D53" s="59" t="s">
        <v>36</v>
      </c>
      <c r="E53" s="407"/>
      <c r="F53" s="407"/>
      <c r="G53" s="407"/>
      <c r="H53" s="407"/>
      <c r="I53" s="407"/>
      <c r="J53" s="407"/>
      <c r="K53" s="407"/>
      <c r="L53" s="407"/>
      <c r="M53" s="407"/>
      <c r="N53" s="407"/>
      <c r="O53" s="408"/>
      <c r="P53" s="409"/>
    </row>
    <row r="54" spans="2:16" hidden="1" x14ac:dyDescent="0.2">
      <c r="B54" s="197"/>
      <c r="C54" s="781"/>
      <c r="D54" s="59" t="s">
        <v>37</v>
      </c>
      <c r="E54" s="410"/>
      <c r="F54" s="410"/>
      <c r="G54" s="410"/>
      <c r="H54" s="410"/>
      <c r="I54" s="410"/>
      <c r="J54" s="410"/>
      <c r="K54" s="410"/>
      <c r="L54" s="410"/>
      <c r="M54" s="410"/>
      <c r="N54" s="410"/>
      <c r="O54" s="411"/>
      <c r="P54" s="412"/>
    </row>
    <row r="55" spans="2:16" ht="13.5" thickBot="1" x14ac:dyDescent="0.25">
      <c r="B55" s="90"/>
      <c r="C55" s="782"/>
      <c r="D55" s="91"/>
      <c r="E55" s="481"/>
      <c r="F55" s="481"/>
      <c r="G55" s="481"/>
      <c r="H55" s="481"/>
      <c r="I55" s="481"/>
      <c r="J55" s="481"/>
      <c r="K55" s="481"/>
      <c r="L55" s="481"/>
      <c r="M55" s="481"/>
      <c r="N55" s="481"/>
      <c r="O55" s="482"/>
      <c r="P55" s="483"/>
    </row>
    <row r="56" spans="2:16" x14ac:dyDescent="0.2">
      <c r="B56" s="475" t="s">
        <v>16</v>
      </c>
      <c r="C56" s="476"/>
      <c r="D56" s="477" t="s">
        <v>131</v>
      </c>
      <c r="E56" s="478">
        <f>E16+E20+E24+E28+E32+E36+E40+E44+E48+E52</f>
        <v>13126</v>
      </c>
      <c r="F56" s="478">
        <f>F16+F20+F24+F28+F32+F36+F40+F44+F48+F52</f>
        <v>13161</v>
      </c>
      <c r="G56" s="478">
        <f t="shared" ref="G56:P56" si="0">G16+G20+G24+G28+G32+G36+G40+G44+G48+G52</f>
        <v>13280</v>
      </c>
      <c r="H56" s="478">
        <f t="shared" si="0"/>
        <v>13260</v>
      </c>
      <c r="I56" s="478">
        <f t="shared" si="0"/>
        <v>13426</v>
      </c>
      <c r="J56" s="478">
        <f t="shared" si="0"/>
        <v>13424</v>
      </c>
      <c r="K56" s="478">
        <f t="shared" si="0"/>
        <v>13543</v>
      </c>
      <c r="L56" s="478">
        <f t="shared" si="0"/>
        <v>13596</v>
      </c>
      <c r="M56" s="478">
        <f t="shared" si="0"/>
        <v>13686.5</v>
      </c>
      <c r="N56" s="478">
        <f t="shared" si="0"/>
        <v>13796</v>
      </c>
      <c r="O56" s="478">
        <f t="shared" si="0"/>
        <v>13874.280651098334</v>
      </c>
      <c r="P56" s="479">
        <f t="shared" si="0"/>
        <v>13956.276005704729</v>
      </c>
    </row>
    <row r="57" spans="2:16" x14ac:dyDescent="0.2">
      <c r="B57" s="214"/>
      <c r="C57" s="405"/>
      <c r="D57" s="215" t="s">
        <v>36</v>
      </c>
      <c r="E57" s="415">
        <f>E17+E21+E25+E29+E33+E37+E41+E45+E49+E53</f>
        <v>198415548</v>
      </c>
      <c r="F57" s="413">
        <f t="shared" ref="F57:P57" si="1">F17+F21+F25+F29+F33+F37+F41+F45+F49+F53</f>
        <v>198466779</v>
      </c>
      <c r="G57" s="413">
        <f t="shared" si="1"/>
        <v>196184705</v>
      </c>
      <c r="H57" s="413">
        <f t="shared" si="1"/>
        <v>196409498</v>
      </c>
      <c r="I57" s="413">
        <f t="shared" si="1"/>
        <v>191997484.59</v>
      </c>
      <c r="J57" s="413">
        <f t="shared" si="1"/>
        <v>188245382.64000002</v>
      </c>
      <c r="K57" s="413">
        <f t="shared" si="1"/>
        <v>189602694.52000001</v>
      </c>
      <c r="L57" s="413">
        <f t="shared" si="1"/>
        <v>188143154.71000001</v>
      </c>
      <c r="M57" s="413">
        <f t="shared" si="1"/>
        <v>188591795.03</v>
      </c>
      <c r="N57" s="413">
        <f t="shared" si="1"/>
        <v>186786341.61999997</v>
      </c>
      <c r="O57" s="413">
        <f t="shared" si="1"/>
        <v>188817108.05953199</v>
      </c>
      <c r="P57" s="414">
        <f t="shared" si="1"/>
        <v>187303733.07056531</v>
      </c>
    </row>
    <row r="58" spans="2:16" ht="13.5" thickBot="1" x14ac:dyDescent="0.25">
      <c r="B58" s="216"/>
      <c r="C58" s="406"/>
      <c r="D58" s="217" t="s">
        <v>37</v>
      </c>
      <c r="E58" s="416">
        <f>E18+E22+E26+E30+E34+E38+E42+E46+E50+E54</f>
        <v>220500</v>
      </c>
      <c r="F58" s="416">
        <f t="shared" ref="F58:P58" si="2">F18+F22+F26+F30+F34+F38+F42+F46+F50+F54</f>
        <v>214551</v>
      </c>
      <c r="G58" s="416">
        <f t="shared" si="2"/>
        <v>220583</v>
      </c>
      <c r="H58" s="416">
        <f t="shared" si="2"/>
        <v>210334</v>
      </c>
      <c r="I58" s="416">
        <f t="shared" si="2"/>
        <v>217261</v>
      </c>
      <c r="J58" s="416">
        <f>J18+J22+J26+J30+J34+J38+J42+J46+J50+J54</f>
        <v>210307</v>
      </c>
      <c r="K58" s="416">
        <f t="shared" si="2"/>
        <v>211149</v>
      </c>
      <c r="L58" s="416">
        <f t="shared" si="2"/>
        <v>215397.4</v>
      </c>
      <c r="M58" s="416">
        <f t="shared" si="2"/>
        <v>223966.9</v>
      </c>
      <c r="N58" s="416">
        <f t="shared" si="2"/>
        <v>213852.46</v>
      </c>
      <c r="O58" s="416">
        <f t="shared" si="2"/>
        <v>206373.71691971007</v>
      </c>
      <c r="P58" s="417">
        <f t="shared" si="2"/>
        <v>202764.69210464106</v>
      </c>
    </row>
    <row r="64" spans="2:16" hidden="1" x14ac:dyDescent="0.2">
      <c r="B64" s="1045" t="s">
        <v>193</v>
      </c>
      <c r="C64" s="1046"/>
      <c r="D64" s="1046"/>
      <c r="E64" s="1046"/>
      <c r="F64" s="1046"/>
      <c r="G64" s="1046"/>
      <c r="H64" s="1047"/>
    </row>
    <row r="65" spans="2:8" hidden="1" x14ac:dyDescent="0.2">
      <c r="B65" s="360" t="str">
        <f>+'7. Weather Senstive Class'!B19</f>
        <v>Residential</v>
      </c>
      <c r="C65" s="362"/>
      <c r="D65" s="361" t="s">
        <v>192</v>
      </c>
      <c r="E65" s="362" t="s">
        <v>191</v>
      </c>
      <c r="F65" s="362" t="str">
        <f t="shared" ref="F65:F73" si="3">+CONCATENATE(B65,D65,E65)</f>
        <v>Residential-WN</v>
      </c>
      <c r="G65" s="363"/>
      <c r="H65" s="364"/>
    </row>
    <row r="66" spans="2:8" hidden="1" x14ac:dyDescent="0.2">
      <c r="B66" s="365" t="str">
        <f>+'7. Weather Senstive Class'!J19</f>
        <v>General Service &lt; 50 kW</v>
      </c>
      <c r="C66" s="367"/>
      <c r="D66" s="366" t="s">
        <v>192</v>
      </c>
      <c r="E66" s="367" t="s">
        <v>191</v>
      </c>
      <c r="F66" s="367" t="str">
        <f t="shared" si="3"/>
        <v>General Service &lt; 50 kW-WN</v>
      </c>
      <c r="G66" s="368"/>
      <c r="H66" s="369"/>
    </row>
    <row r="67" spans="2:8" hidden="1" x14ac:dyDescent="0.2">
      <c r="B67" s="365" t="str">
        <f>+'7. Weather Senstive Class'!R19</f>
        <v>General Service &gt; 50 kW - 4999 kW</v>
      </c>
      <c r="C67" s="367"/>
      <c r="D67" s="366" t="s">
        <v>192</v>
      </c>
      <c r="E67" s="367" t="s">
        <v>191</v>
      </c>
      <c r="F67" s="367" t="str">
        <f t="shared" si="3"/>
        <v>General Service &gt; 50 kW - 4999 kW-WN</v>
      </c>
      <c r="G67" s="368"/>
      <c r="H67" s="369"/>
    </row>
    <row r="68" spans="2:8" hidden="1" x14ac:dyDescent="0.2">
      <c r="B68" s="365">
        <f>+'7. Weather Senstive Class'!Z19</f>
        <v>0</v>
      </c>
      <c r="C68" s="367"/>
      <c r="D68" s="366" t="s">
        <v>192</v>
      </c>
      <c r="E68" s="367" t="s">
        <v>191</v>
      </c>
      <c r="F68" s="367" t="str">
        <f t="shared" si="3"/>
        <v>0-WN</v>
      </c>
      <c r="G68" s="368"/>
      <c r="H68" s="369"/>
    </row>
    <row r="69" spans="2:8" hidden="1" x14ac:dyDescent="0.2">
      <c r="B69" s="365">
        <f>+'7. Weather Senstive Class'!AH19</f>
        <v>0</v>
      </c>
      <c r="C69" s="367"/>
      <c r="D69" s="366" t="s">
        <v>192</v>
      </c>
      <c r="E69" s="367" t="s">
        <v>191</v>
      </c>
      <c r="F69" s="367" t="str">
        <f t="shared" si="3"/>
        <v>0-WN</v>
      </c>
      <c r="G69" s="368"/>
      <c r="H69" s="369"/>
    </row>
    <row r="70" spans="2:8" hidden="1" x14ac:dyDescent="0.2">
      <c r="B70" s="365" t="str">
        <f>+'8. KW and Non-Weather Sensitive'!B18</f>
        <v>General Service &gt; 50 kW - 4999 kW</v>
      </c>
      <c r="C70" s="367"/>
      <c r="D70" s="366" t="s">
        <v>192</v>
      </c>
      <c r="E70" s="367" t="s">
        <v>240</v>
      </c>
      <c r="F70" s="367" t="str">
        <f t="shared" si="3"/>
        <v>General Service &gt; 50 kW - 4999 kW-Non-WN/kW</v>
      </c>
      <c r="G70" s="368"/>
      <c r="H70" s="369"/>
    </row>
    <row r="71" spans="2:8" hidden="1" x14ac:dyDescent="0.2">
      <c r="B71" s="365" t="str">
        <f>+'8. KW and Non-Weather Sensitive'!M18</f>
        <v>Streetlighting</v>
      </c>
      <c r="C71" s="367"/>
      <c r="D71" s="366" t="s">
        <v>192</v>
      </c>
      <c r="E71" s="367" t="s">
        <v>240</v>
      </c>
      <c r="F71" s="367" t="str">
        <f t="shared" si="3"/>
        <v>Streetlighting-Non-WN/kW</v>
      </c>
      <c r="G71" s="368"/>
      <c r="H71" s="369"/>
    </row>
    <row r="72" spans="2:8" hidden="1" x14ac:dyDescent="0.2">
      <c r="B72" s="365" t="str">
        <f>+'8. KW and Non-Weather Sensitive'!W18</f>
        <v>Sentinel Lighting</v>
      </c>
      <c r="C72" s="367"/>
      <c r="D72" s="366" t="s">
        <v>192</v>
      </c>
      <c r="E72" s="367" t="s">
        <v>240</v>
      </c>
      <c r="F72" s="367" t="str">
        <f t="shared" si="3"/>
        <v>Sentinel Lighting-Non-WN/kW</v>
      </c>
      <c r="G72" s="368"/>
      <c r="H72" s="369"/>
    </row>
    <row r="73" spans="2:8" hidden="1" x14ac:dyDescent="0.2">
      <c r="B73" s="365" t="str">
        <f>+'8. KW and Non-Weather Sensitive'!AG18</f>
        <v>Unmetered Scattered Load</v>
      </c>
      <c r="C73" s="367"/>
      <c r="D73" s="366" t="s">
        <v>192</v>
      </c>
      <c r="E73" s="367" t="s">
        <v>240</v>
      </c>
      <c r="F73" s="367" t="str">
        <f t="shared" si="3"/>
        <v>Unmetered Scattered Load-Non-WN/kW</v>
      </c>
      <c r="G73" s="368"/>
      <c r="H73" s="369"/>
    </row>
    <row r="74" spans="2:8" hidden="1" x14ac:dyDescent="0.2">
      <c r="B74" s="370">
        <f>+'8. KW and Non-Weather Sensitive'!AQ18</f>
        <v>0</v>
      </c>
      <c r="C74" s="372"/>
      <c r="D74" s="371" t="s">
        <v>192</v>
      </c>
      <c r="E74" s="372" t="s">
        <v>240</v>
      </c>
      <c r="F74" s="372" t="str">
        <f>+CONCATENATE(B74,D74,E74)</f>
        <v>0-Non-WN/kW</v>
      </c>
      <c r="G74" s="373"/>
      <c r="H74" s="374"/>
    </row>
  </sheetData>
  <mergeCells count="1">
    <mergeCell ref="B64:H64"/>
  </mergeCells>
  <dataValidations count="1">
    <dataValidation type="list" allowBlank="1" showInputMessage="1" showErrorMessage="1" sqref="B16 B36 B32 B28 B24 B20 B40">
      <formula1>$F$65:$F$74</formula1>
    </dataValidation>
  </dataValidations>
  <pageMargins left="0.7" right="0.7" top="0.75" bottom="0.75" header="0.3" footer="0.3"/>
  <pageSetup scale="44" orientation="landscape" horizontalDpi="4294967293" r:id="rId1"/>
  <colBreaks count="1" manualBreakCount="1">
    <brk id="17"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13"/>
  <sheetViews>
    <sheetView showGridLines="0" topLeftCell="A85" workbookViewId="0">
      <selection activeCell="N34" sqref="N34"/>
    </sheetView>
  </sheetViews>
  <sheetFormatPr defaultColWidth="17.5" defaultRowHeight="12.75" x14ac:dyDescent="0.2"/>
  <cols>
    <col min="1" max="1" width="13.6640625" style="384" customWidth="1"/>
    <col min="2" max="2" width="30.83203125" style="384" bestFit="1" customWidth="1"/>
    <col min="3" max="9" width="19.83203125" style="384" customWidth="1"/>
    <col min="10" max="10" width="13.1640625" style="384" customWidth="1"/>
    <col min="11" max="13" width="17.5" style="384"/>
    <col min="14" max="14" width="21" style="384" bestFit="1" customWidth="1"/>
    <col min="15" max="16384" width="17.5" style="384"/>
  </cols>
  <sheetData>
    <row r="1" spans="1:13" x14ac:dyDescent="0.2">
      <c r="A1" s="758" t="s">
        <v>272</v>
      </c>
    </row>
    <row r="10" spans="1:13" s="102" customFormat="1" x14ac:dyDescent="0.2">
      <c r="H10" s="104"/>
    </row>
    <row r="11" spans="1:13" ht="23.25" x14ac:dyDescent="0.35">
      <c r="B11" s="1062" t="s">
        <v>211</v>
      </c>
      <c r="C11" s="1062"/>
      <c r="D11" s="1062"/>
      <c r="E11" s="1062"/>
      <c r="F11" s="1062"/>
      <c r="G11" s="1062"/>
      <c r="H11" s="1062"/>
      <c r="I11" s="1062"/>
    </row>
    <row r="12" spans="1:13" ht="14.25" x14ac:dyDescent="0.2">
      <c r="B12" s="569"/>
      <c r="C12" s="569"/>
      <c r="D12" s="569"/>
      <c r="E12" s="569"/>
      <c r="F12" s="569"/>
      <c r="G12" s="569"/>
      <c r="H12" s="569"/>
      <c r="I12" s="569"/>
    </row>
    <row r="13" spans="1:13" ht="75" customHeight="1" x14ac:dyDescent="0.2">
      <c r="B13" s="1063" t="s">
        <v>227</v>
      </c>
      <c r="C13" s="1063"/>
      <c r="D13" s="1063"/>
      <c r="E13" s="1063"/>
      <c r="F13" s="1063"/>
      <c r="G13" s="1063"/>
      <c r="H13" s="1063"/>
      <c r="I13" s="1063"/>
      <c r="J13" s="106"/>
      <c r="K13" s="107"/>
      <c r="L13" s="108"/>
      <c r="M13" s="108"/>
    </row>
    <row r="14" spans="1:13" ht="14.25" x14ac:dyDescent="0.2">
      <c r="B14" s="569"/>
      <c r="C14" s="569"/>
      <c r="D14" s="569"/>
      <c r="E14" s="569"/>
      <c r="F14" s="569"/>
      <c r="G14" s="569"/>
      <c r="H14" s="569"/>
      <c r="I14" s="569"/>
      <c r="J14" s="103"/>
      <c r="K14" s="107"/>
      <c r="L14" s="108"/>
      <c r="M14" s="108"/>
    </row>
    <row r="15" spans="1:13" ht="23.25" x14ac:dyDescent="0.2">
      <c r="B15" s="1049" t="s">
        <v>212</v>
      </c>
      <c r="C15" s="1049"/>
      <c r="D15" s="1049"/>
      <c r="E15" s="1049"/>
      <c r="F15" s="1049"/>
      <c r="G15" s="1049"/>
      <c r="H15" s="1049"/>
      <c r="I15" s="1049"/>
    </row>
    <row r="16" spans="1:13" ht="15" thickBot="1" x14ac:dyDescent="0.25">
      <c r="B16" s="570"/>
      <c r="C16" s="571"/>
      <c r="D16" s="571"/>
      <c r="E16" s="571"/>
      <c r="F16" s="571"/>
      <c r="G16" s="571"/>
      <c r="H16" s="569"/>
      <c r="I16" s="569"/>
    </row>
    <row r="17" spans="2:9" ht="15" x14ac:dyDescent="0.25">
      <c r="B17" s="1056" t="s">
        <v>50</v>
      </c>
      <c r="C17" s="1057"/>
      <c r="D17" s="1057"/>
      <c r="E17" s="1057"/>
      <c r="F17" s="1057"/>
      <c r="G17" s="1058"/>
      <c r="H17" s="569"/>
      <c r="I17" s="569"/>
    </row>
    <row r="18" spans="2:9" ht="12.75" customHeight="1" x14ac:dyDescent="0.2">
      <c r="B18" s="1053">
        <v>8970000</v>
      </c>
      <c r="C18" s="1054"/>
      <c r="D18" s="1054"/>
      <c r="E18" s="1054"/>
      <c r="F18" s="1054"/>
      <c r="G18" s="1055"/>
      <c r="H18" s="569"/>
      <c r="I18" s="569"/>
    </row>
    <row r="19" spans="2:9" ht="15" x14ac:dyDescent="0.25">
      <c r="B19" s="572"/>
      <c r="C19" s="573">
        <v>2011</v>
      </c>
      <c r="D19" s="573">
        <v>2012</v>
      </c>
      <c r="E19" s="573">
        <v>2013</v>
      </c>
      <c r="F19" s="573">
        <v>2014</v>
      </c>
      <c r="G19" s="574" t="s">
        <v>16</v>
      </c>
      <c r="H19" s="569"/>
      <c r="I19" s="569"/>
    </row>
    <row r="20" spans="2:9" ht="14.25" x14ac:dyDescent="0.2">
      <c r="B20" s="575" t="s">
        <v>51</v>
      </c>
      <c r="C20" s="747">
        <f>C26/$G$30</f>
        <v>8.8963210702341131E-2</v>
      </c>
      <c r="D20" s="576">
        <f>D26/$G$30</f>
        <v>8.8963210702341131E-2</v>
      </c>
      <c r="E20" s="576">
        <f>E26/$G$30</f>
        <v>8.7959866220735788E-2</v>
      </c>
      <c r="F20" s="577">
        <f>F26/$G$30</f>
        <v>7.8149386845039012E-2</v>
      </c>
      <c r="G20" s="578">
        <f>SUM(C20:F20)</f>
        <v>0.34403567447045708</v>
      </c>
      <c r="H20" s="569"/>
      <c r="I20" s="569"/>
    </row>
    <row r="21" spans="2:9" ht="14.25" x14ac:dyDescent="0.2">
      <c r="B21" s="575" t="s">
        <v>52</v>
      </c>
      <c r="C21" s="579"/>
      <c r="D21" s="576">
        <f>D27/$G$30</f>
        <v>8.6510590858416947E-2</v>
      </c>
      <c r="E21" s="576">
        <f>E27/$G$30</f>
        <v>8.6510590858416947E-2</v>
      </c>
      <c r="F21" s="577">
        <f>F27/$G$30</f>
        <v>8.595317725752509E-2</v>
      </c>
      <c r="G21" s="578">
        <f>SUM(C21:F21)</f>
        <v>0.258974358974359</v>
      </c>
      <c r="H21" s="569"/>
      <c r="I21" s="569"/>
    </row>
    <row r="22" spans="2:9" ht="14.25" x14ac:dyDescent="0.2">
      <c r="B22" s="575" t="s">
        <v>53</v>
      </c>
      <c r="C22" s="579"/>
      <c r="D22" s="579"/>
      <c r="E22" s="576">
        <f>E28/$G$30</f>
        <v>8.0713489409141581E-2</v>
      </c>
      <c r="F22" s="577">
        <f>F28/$G$30</f>
        <v>8.0713489409141581E-2</v>
      </c>
      <c r="G22" s="578">
        <f>SUM(C22:F22)</f>
        <v>0.16142697881828316</v>
      </c>
      <c r="H22" s="569"/>
      <c r="I22" s="569"/>
    </row>
    <row r="23" spans="2:9" ht="15" thickBot="1" x14ac:dyDescent="0.25">
      <c r="B23" s="580" t="s">
        <v>54</v>
      </c>
      <c r="C23" s="581"/>
      <c r="D23" s="581"/>
      <c r="E23" s="581"/>
      <c r="F23" s="582">
        <f>F29/$G$30</f>
        <v>0.22630992196209587</v>
      </c>
      <c r="G23" s="583">
        <f>SUM(C23:F23)</f>
        <v>0.22630992196209587</v>
      </c>
      <c r="H23" s="569"/>
      <c r="I23" s="569"/>
    </row>
    <row r="24" spans="2:9" ht="12.75" customHeight="1" thickTop="1" x14ac:dyDescent="0.25">
      <c r="B24" s="584" t="s">
        <v>55</v>
      </c>
      <c r="C24" s="585">
        <f>SUM(C20:C23)</f>
        <v>8.8963210702341131E-2</v>
      </c>
      <c r="D24" s="585">
        <f>SUM(D20:D23)</f>
        <v>0.17547380156075809</v>
      </c>
      <c r="E24" s="585">
        <f>SUM(E20:E23)</f>
        <v>0.25518394648829434</v>
      </c>
      <c r="F24" s="586">
        <f>SUM(F20:F23)</f>
        <v>0.47112597547380153</v>
      </c>
      <c r="G24" s="587">
        <f>SUM(C24:F24)</f>
        <v>0.99074693422519511</v>
      </c>
      <c r="H24" s="569"/>
      <c r="I24" s="569"/>
    </row>
    <row r="25" spans="2:9" ht="12.75" customHeight="1" x14ac:dyDescent="0.2">
      <c r="B25" s="1059" t="s">
        <v>36</v>
      </c>
      <c r="C25" s="1060"/>
      <c r="D25" s="1060"/>
      <c r="E25" s="1060"/>
      <c r="F25" s="1060"/>
      <c r="G25" s="1061"/>
      <c r="H25" s="569"/>
      <c r="I25" s="569"/>
    </row>
    <row r="26" spans="2:9" ht="14.25" x14ac:dyDescent="0.2">
      <c r="B26" s="575" t="s">
        <v>51</v>
      </c>
      <c r="C26" s="588">
        <v>798000</v>
      </c>
      <c r="D26" s="588">
        <v>798000</v>
      </c>
      <c r="E26" s="588">
        <v>789000</v>
      </c>
      <c r="F26" s="589">
        <v>701000</v>
      </c>
      <c r="G26" s="590">
        <v>3086000</v>
      </c>
      <c r="H26" s="569"/>
      <c r="I26" s="569"/>
    </row>
    <row r="27" spans="2:9" ht="14.25" x14ac:dyDescent="0.2">
      <c r="B27" s="575" t="s">
        <v>52</v>
      </c>
      <c r="C27" s="591">
        <v>-16000</v>
      </c>
      <c r="D27" s="592">
        <v>776000</v>
      </c>
      <c r="E27" s="592">
        <v>776000</v>
      </c>
      <c r="F27" s="593">
        <v>771000</v>
      </c>
      <c r="G27" s="590">
        <v>2307000</v>
      </c>
      <c r="H27" s="569"/>
      <c r="I27" s="569"/>
    </row>
    <row r="28" spans="2:9" ht="14.25" x14ac:dyDescent="0.2">
      <c r="B28" s="575" t="s">
        <v>53</v>
      </c>
      <c r="C28" s="591"/>
      <c r="D28" s="591">
        <v>99000</v>
      </c>
      <c r="E28" s="592">
        <v>724000</v>
      </c>
      <c r="F28" s="593">
        <v>724000</v>
      </c>
      <c r="G28" s="590">
        <v>1547000</v>
      </c>
      <c r="H28" s="569"/>
      <c r="I28" s="569"/>
    </row>
    <row r="29" spans="2:9" ht="15" thickBot="1" x14ac:dyDescent="0.25">
      <c r="B29" s="580" t="s">
        <v>54</v>
      </c>
      <c r="C29" s="594"/>
      <c r="D29" s="594"/>
      <c r="E29" s="594"/>
      <c r="F29" s="595">
        <f>MAX(0,B18-SUM(C26:F28))</f>
        <v>2030000</v>
      </c>
      <c r="G29" s="596">
        <f>SUM(C29:F29)</f>
        <v>2030000</v>
      </c>
      <c r="H29" s="569"/>
      <c r="I29" s="569"/>
    </row>
    <row r="30" spans="2:9" ht="16.5" thickTop="1" thickBot="1" x14ac:dyDescent="0.3">
      <c r="B30" s="597" t="s">
        <v>55</v>
      </c>
      <c r="C30" s="598">
        <f>SUM(C26:C29)</f>
        <v>782000</v>
      </c>
      <c r="D30" s="598">
        <f>SUM(D26:D29)</f>
        <v>1673000</v>
      </c>
      <c r="E30" s="598">
        <f>SUM(E26:E29)</f>
        <v>2289000</v>
      </c>
      <c r="F30" s="599">
        <f>SUM(F26:F29)</f>
        <v>4226000</v>
      </c>
      <c r="G30" s="600">
        <f>SUM(G26:G29)</f>
        <v>8970000</v>
      </c>
      <c r="H30" s="569"/>
      <c r="I30" s="569"/>
    </row>
    <row r="31" spans="2:9" ht="15" x14ac:dyDescent="0.25">
      <c r="B31" s="601"/>
      <c r="C31" s="602"/>
      <c r="D31" s="602"/>
      <c r="E31" s="602"/>
      <c r="F31" s="602"/>
      <c r="G31" s="602"/>
      <c r="H31" s="569"/>
      <c r="I31" s="569"/>
    </row>
    <row r="32" spans="2:9" ht="23.25" x14ac:dyDescent="0.2">
      <c r="B32" s="1049" t="s">
        <v>196</v>
      </c>
      <c r="C32" s="1049"/>
      <c r="D32" s="1049"/>
      <c r="E32" s="1049"/>
      <c r="F32" s="1049"/>
      <c r="G32" s="1049"/>
      <c r="H32" s="569"/>
      <c r="I32" s="569"/>
    </row>
    <row r="33" spans="2:9" ht="15" x14ac:dyDescent="0.25">
      <c r="B33" s="601"/>
      <c r="C33" s="602"/>
      <c r="D33" s="602"/>
      <c r="E33" s="602"/>
      <c r="F33" s="602"/>
      <c r="G33" s="602"/>
      <c r="H33" s="569"/>
      <c r="I33" s="569"/>
    </row>
    <row r="34" spans="2:9" ht="86.25" customHeight="1" x14ac:dyDescent="0.2">
      <c r="B34" s="1048" t="s">
        <v>197</v>
      </c>
      <c r="C34" s="1048"/>
      <c r="D34" s="1048"/>
      <c r="E34" s="1048"/>
      <c r="F34" s="1048"/>
      <c r="G34" s="1048"/>
      <c r="H34" s="1048"/>
      <c r="I34" s="1048"/>
    </row>
    <row r="35" spans="2:9" ht="15.75" thickBot="1" x14ac:dyDescent="0.3">
      <c r="B35" s="601"/>
      <c r="C35" s="602"/>
      <c r="D35" s="602"/>
      <c r="E35" s="602"/>
      <c r="F35" s="602"/>
      <c r="G35" s="602"/>
      <c r="H35" s="569"/>
      <c r="I35" s="569"/>
    </row>
    <row r="36" spans="2:9" ht="15" x14ac:dyDescent="0.2">
      <c r="B36" s="1050" t="s">
        <v>198</v>
      </c>
      <c r="C36" s="1051"/>
      <c r="D36" s="1051"/>
      <c r="E36" s="1051"/>
      <c r="F36" s="1051"/>
      <c r="G36" s="1051"/>
      <c r="H36" s="1051"/>
      <c r="I36" s="1052"/>
    </row>
    <row r="37" spans="2:9" ht="14.25" x14ac:dyDescent="0.2">
      <c r="B37" s="1078">
        <v>10000000</v>
      </c>
      <c r="C37" s="1079"/>
      <c r="D37" s="1079"/>
      <c r="E37" s="1079"/>
      <c r="F37" s="1079"/>
      <c r="G37" s="1079"/>
      <c r="H37" s="1079"/>
      <c r="I37" s="1080"/>
    </row>
    <row r="38" spans="2:9" ht="15" x14ac:dyDescent="0.25">
      <c r="B38" s="603"/>
      <c r="C38" s="604">
        <v>2015</v>
      </c>
      <c r="D38" s="604">
        <v>2016</v>
      </c>
      <c r="E38" s="604">
        <v>2017</v>
      </c>
      <c r="F38" s="604">
        <v>2018</v>
      </c>
      <c r="G38" s="604">
        <v>2019</v>
      </c>
      <c r="H38" s="604">
        <v>2020</v>
      </c>
      <c r="I38" s="605" t="s">
        <v>16</v>
      </c>
    </row>
    <row r="39" spans="2:9" ht="15" customHeight="1" x14ac:dyDescent="0.2">
      <c r="B39" s="1067" t="s">
        <v>199</v>
      </c>
      <c r="C39" s="1068"/>
      <c r="D39" s="1068"/>
      <c r="E39" s="1068"/>
      <c r="F39" s="1068"/>
      <c r="G39" s="1068"/>
      <c r="H39" s="1068"/>
      <c r="I39" s="1069"/>
    </row>
    <row r="40" spans="2:9" ht="14.25" x14ac:dyDescent="0.2">
      <c r="B40" s="575" t="s">
        <v>200</v>
      </c>
      <c r="C40" s="576">
        <f>C48/$I$54</f>
        <v>0.16666666666666666</v>
      </c>
      <c r="D40" s="606"/>
      <c r="E40" s="606"/>
      <c r="F40" s="606"/>
      <c r="G40" s="606"/>
      <c r="H40" s="607"/>
      <c r="I40" s="578">
        <f>SUM(C40:H40)</f>
        <v>0.16666666666666666</v>
      </c>
    </row>
    <row r="41" spans="2:9" ht="15" customHeight="1" x14ac:dyDescent="0.2">
      <c r="B41" s="575" t="s">
        <v>201</v>
      </c>
      <c r="C41" s="579"/>
      <c r="D41" s="576">
        <f>D49/$I$54</f>
        <v>0.16666666666666666</v>
      </c>
      <c r="E41" s="606"/>
      <c r="F41" s="606"/>
      <c r="G41" s="606"/>
      <c r="H41" s="607"/>
      <c r="I41" s="578">
        <f>SUM(C41:H41)</f>
        <v>0.16666666666666666</v>
      </c>
    </row>
    <row r="42" spans="2:9" ht="14.25" x14ac:dyDescent="0.2">
      <c r="B42" s="575" t="s">
        <v>202</v>
      </c>
      <c r="C42" s="579"/>
      <c r="D42" s="579"/>
      <c r="E42" s="576">
        <f>E50/$I$54</f>
        <v>0.16666666666666666</v>
      </c>
      <c r="F42" s="606"/>
      <c r="G42" s="606"/>
      <c r="H42" s="607"/>
      <c r="I42" s="578">
        <f>SUM(C42:H42)</f>
        <v>0.16666666666666666</v>
      </c>
    </row>
    <row r="43" spans="2:9" ht="14.25" x14ac:dyDescent="0.2">
      <c r="B43" s="575" t="s">
        <v>203</v>
      </c>
      <c r="C43" s="579"/>
      <c r="D43" s="579"/>
      <c r="E43" s="576"/>
      <c r="F43" s="576">
        <f>F51/$I$54</f>
        <v>0.16666666666666666</v>
      </c>
      <c r="G43" s="606"/>
      <c r="H43" s="607"/>
      <c r="I43" s="578">
        <f>SUM(F43:H43)</f>
        <v>0.16666666666666666</v>
      </c>
    </row>
    <row r="44" spans="2:9" ht="14.25" x14ac:dyDescent="0.2">
      <c r="B44" s="575" t="s">
        <v>204</v>
      </c>
      <c r="C44" s="579"/>
      <c r="D44" s="579"/>
      <c r="E44" s="576"/>
      <c r="F44" s="576"/>
      <c r="G44" s="576">
        <f>G52/$I$54</f>
        <v>0.16666666666666666</v>
      </c>
      <c r="H44" s="607"/>
      <c r="I44" s="578">
        <f>SUM(G44:H44)</f>
        <v>0.16666666666666666</v>
      </c>
    </row>
    <row r="45" spans="2:9" ht="15" thickBot="1" x14ac:dyDescent="0.25">
      <c r="B45" s="580" t="s">
        <v>205</v>
      </c>
      <c r="C45" s="581"/>
      <c r="D45" s="581"/>
      <c r="E45" s="581"/>
      <c r="F45" s="581"/>
      <c r="G45" s="581"/>
      <c r="H45" s="582">
        <f>H53/$I$54</f>
        <v>0.16666666666666666</v>
      </c>
      <c r="I45" s="583">
        <f>SUM(C45:H45)</f>
        <v>0.16666666666666666</v>
      </c>
    </row>
    <row r="46" spans="2:9" ht="15.75" thickTop="1" x14ac:dyDescent="0.25">
      <c r="B46" s="608" t="s">
        <v>55</v>
      </c>
      <c r="C46" s="609">
        <f>SUM(C40:C45)</f>
        <v>0.16666666666666666</v>
      </c>
      <c r="D46" s="609">
        <f>SUM(D40:D45)</f>
        <v>0.16666666666666666</v>
      </c>
      <c r="E46" s="609">
        <f>SUM(E40:E45)</f>
        <v>0.16666666666666666</v>
      </c>
      <c r="F46" s="609">
        <f>SUM(F40:F43)</f>
        <v>0.16666666666666666</v>
      </c>
      <c r="G46" s="609">
        <f>SUM(G40:G44)</f>
        <v>0.16666666666666666</v>
      </c>
      <c r="H46" s="610">
        <f>SUM(H40:H45)</f>
        <v>0.16666666666666666</v>
      </c>
      <c r="I46" s="611">
        <f>SUM(C46:H46)</f>
        <v>0.99999999999999989</v>
      </c>
    </row>
    <row r="47" spans="2:9" ht="15" x14ac:dyDescent="0.2">
      <c r="B47" s="1059" t="s">
        <v>36</v>
      </c>
      <c r="C47" s="1060"/>
      <c r="D47" s="1060"/>
      <c r="E47" s="1060"/>
      <c r="F47" s="1060"/>
      <c r="G47" s="1060"/>
      <c r="H47" s="1060"/>
      <c r="I47" s="1061"/>
    </row>
    <row r="48" spans="2:9" ht="15" customHeight="1" x14ac:dyDescent="0.2">
      <c r="B48" s="575" t="str">
        <f t="shared" ref="B48:B53" si="0">B40</f>
        <v>2015 CDM Programs</v>
      </c>
      <c r="C48" s="588">
        <f>1/6*B37</f>
        <v>1666666.6666666665</v>
      </c>
      <c r="D48" s="612"/>
      <c r="E48" s="606"/>
      <c r="F48" s="612"/>
      <c r="G48" s="612"/>
      <c r="H48" s="613"/>
      <c r="I48" s="590">
        <f>SUM(C48:H48)</f>
        <v>1666666.6666666665</v>
      </c>
    </row>
    <row r="49" spans="2:9" ht="14.25" x14ac:dyDescent="0.2">
      <c r="B49" s="575" t="str">
        <f t="shared" si="0"/>
        <v>2016 CDM Programs</v>
      </c>
      <c r="C49" s="591"/>
      <c r="D49" s="592">
        <f>C48</f>
        <v>1666666.6666666665</v>
      </c>
      <c r="E49" s="614"/>
      <c r="F49" s="614"/>
      <c r="G49" s="614"/>
      <c r="H49" s="615"/>
      <c r="I49" s="590">
        <f>SUM(C49:H49)</f>
        <v>1666666.6666666665</v>
      </c>
    </row>
    <row r="50" spans="2:9" ht="14.25" x14ac:dyDescent="0.2">
      <c r="B50" s="575" t="str">
        <f t="shared" si="0"/>
        <v>2017 CDM Programs</v>
      </c>
      <c r="C50" s="591"/>
      <c r="D50" s="591"/>
      <c r="E50" s="592">
        <f>D49</f>
        <v>1666666.6666666665</v>
      </c>
      <c r="F50" s="614"/>
      <c r="G50" s="614"/>
      <c r="H50" s="615"/>
      <c r="I50" s="590">
        <f>SUM(C50:H50)</f>
        <v>1666666.6666666665</v>
      </c>
    </row>
    <row r="51" spans="2:9" ht="14.25" x14ac:dyDescent="0.2">
      <c r="B51" s="575" t="str">
        <f t="shared" si="0"/>
        <v>2018 CDM Programs</v>
      </c>
      <c r="C51" s="591"/>
      <c r="D51" s="591"/>
      <c r="E51" s="616"/>
      <c r="F51" s="588">
        <f>E50</f>
        <v>1666666.6666666665</v>
      </c>
      <c r="G51" s="612"/>
      <c r="H51" s="613"/>
      <c r="I51" s="590">
        <f>SUM(F51:H51)</f>
        <v>1666666.6666666665</v>
      </c>
    </row>
    <row r="52" spans="2:9" ht="14.25" x14ac:dyDescent="0.2">
      <c r="B52" s="575" t="str">
        <f t="shared" si="0"/>
        <v>2019 CDM Programs</v>
      </c>
      <c r="C52" s="591"/>
      <c r="D52" s="591"/>
      <c r="E52" s="616"/>
      <c r="F52" s="616"/>
      <c r="G52" s="588">
        <f>F51</f>
        <v>1666666.6666666665</v>
      </c>
      <c r="H52" s="613"/>
      <c r="I52" s="590">
        <f>SUM(G52:H52)</f>
        <v>1666666.6666666665</v>
      </c>
    </row>
    <row r="53" spans="2:9" ht="16.5" customHeight="1" thickBot="1" x14ac:dyDescent="0.25">
      <c r="B53" s="580" t="str">
        <f t="shared" si="0"/>
        <v>2020 CDM Programs</v>
      </c>
      <c r="C53" s="594"/>
      <c r="D53" s="594"/>
      <c r="E53" s="594"/>
      <c r="F53" s="594"/>
      <c r="G53" s="594"/>
      <c r="H53" s="617">
        <f>G52</f>
        <v>1666666.6666666665</v>
      </c>
      <c r="I53" s="596">
        <f>SUM(C53:H53)</f>
        <v>1666666.6666666665</v>
      </c>
    </row>
    <row r="54" spans="2:9" ht="16.5" thickTop="1" thickBot="1" x14ac:dyDescent="0.3">
      <c r="B54" s="597" t="s">
        <v>55</v>
      </c>
      <c r="C54" s="598">
        <f>SUM(C48:C53)</f>
        <v>1666666.6666666665</v>
      </c>
      <c r="D54" s="598">
        <f>SUM(D48:D53)</f>
        <v>1666666.6666666665</v>
      </c>
      <c r="E54" s="598">
        <f>SUM(E48:E53)</f>
        <v>1666666.6666666665</v>
      </c>
      <c r="F54" s="598">
        <f>SUM(F48:F51)</f>
        <v>1666666.6666666665</v>
      </c>
      <c r="G54" s="598">
        <f>SUM(G48:G52)</f>
        <v>1666666.6666666665</v>
      </c>
      <c r="H54" s="599">
        <f>SUM(H48:H53)</f>
        <v>1666666.6666666665</v>
      </c>
      <c r="I54" s="600">
        <f>B37</f>
        <v>10000000</v>
      </c>
    </row>
    <row r="55" spans="2:9" ht="15" x14ac:dyDescent="0.25">
      <c r="B55" s="601"/>
      <c r="C55" s="602"/>
      <c r="D55" s="602"/>
      <c r="E55" s="602"/>
      <c r="F55" s="602"/>
      <c r="G55" s="602"/>
      <c r="H55" s="569"/>
      <c r="I55" s="569"/>
    </row>
    <row r="56" spans="2:9" ht="23.25" x14ac:dyDescent="0.35">
      <c r="B56" s="1070" t="s">
        <v>206</v>
      </c>
      <c r="C56" s="1070"/>
      <c r="D56" s="1070"/>
      <c r="E56" s="1070"/>
      <c r="F56" s="1070"/>
      <c r="G56" s="1070"/>
      <c r="H56" s="1070"/>
      <c r="I56" s="1070"/>
    </row>
    <row r="57" spans="2:9" ht="15" x14ac:dyDescent="0.25">
      <c r="B57" s="601"/>
      <c r="C57" s="602"/>
      <c r="D57" s="602"/>
      <c r="E57" s="602"/>
      <c r="F57" s="602"/>
      <c r="G57" s="602"/>
      <c r="H57" s="569"/>
      <c r="I57" s="569"/>
    </row>
    <row r="58" spans="2:9" ht="60" customHeight="1" x14ac:dyDescent="0.2">
      <c r="B58" s="1048" t="s">
        <v>207</v>
      </c>
      <c r="C58" s="1048"/>
      <c r="D58" s="1048"/>
      <c r="E58" s="1048"/>
      <c r="F58" s="1048"/>
      <c r="G58" s="1048"/>
      <c r="H58" s="1048"/>
      <c r="I58" s="1048"/>
    </row>
    <row r="59" spans="2:9" ht="15" customHeight="1" x14ac:dyDescent="0.2">
      <c r="B59" s="1048" t="s">
        <v>208</v>
      </c>
      <c r="C59" s="1048"/>
      <c r="D59" s="1048"/>
      <c r="E59" s="1048"/>
      <c r="F59" s="1048"/>
      <c r="G59" s="1048"/>
      <c r="H59" s="1048"/>
      <c r="I59" s="1048"/>
    </row>
    <row r="60" spans="2:9" ht="15" thickBot="1" x14ac:dyDescent="0.25">
      <c r="B60" s="618"/>
      <c r="C60" s="619"/>
      <c r="D60" s="619"/>
      <c r="E60" s="619"/>
      <c r="F60" s="619"/>
      <c r="G60" s="619"/>
      <c r="H60" s="569"/>
      <c r="I60" s="569"/>
    </row>
    <row r="61" spans="2:9" ht="15" x14ac:dyDescent="0.25">
      <c r="B61" s="1056" t="s">
        <v>70</v>
      </c>
      <c r="C61" s="1057"/>
      <c r="D61" s="1057"/>
      <c r="E61" s="1057"/>
      <c r="F61" s="1057"/>
      <c r="G61" s="1058"/>
      <c r="H61" s="569"/>
      <c r="I61" s="569"/>
    </row>
    <row r="62" spans="2:9" ht="15" x14ac:dyDescent="0.25">
      <c r="B62" s="620"/>
      <c r="C62" s="621"/>
      <c r="D62" s="621"/>
      <c r="E62" s="621"/>
      <c r="F62" s="621"/>
      <c r="G62" s="622"/>
      <c r="H62" s="569"/>
      <c r="I62" s="569"/>
    </row>
    <row r="63" spans="2:9" ht="15" x14ac:dyDescent="0.25">
      <c r="B63" s="1072" t="s">
        <v>71</v>
      </c>
      <c r="C63" s="1073"/>
      <c r="D63" s="1073"/>
      <c r="E63" s="1073"/>
      <c r="F63" s="1073"/>
      <c r="G63" s="623" t="s">
        <v>72</v>
      </c>
      <c r="H63" s="569"/>
      <c r="I63" s="569"/>
    </row>
    <row r="64" spans="2:9" ht="15" x14ac:dyDescent="0.25">
      <c r="B64" s="624"/>
      <c r="C64" s="625"/>
      <c r="D64" s="625"/>
      <c r="E64" s="625"/>
      <c r="F64" s="625"/>
      <c r="G64" s="626"/>
      <c r="H64" s="569"/>
      <c r="I64" s="569"/>
    </row>
    <row r="65" spans="2:9" ht="45" x14ac:dyDescent="0.25">
      <c r="B65" s="627"/>
      <c r="C65" s="628"/>
      <c r="D65" s="621" t="s">
        <v>56</v>
      </c>
      <c r="E65" s="621" t="s">
        <v>57</v>
      </c>
      <c r="F65" s="621" t="s">
        <v>58</v>
      </c>
      <c r="G65" s="629" t="s">
        <v>73</v>
      </c>
      <c r="H65" s="569"/>
      <c r="I65" s="569"/>
    </row>
    <row r="66" spans="2:9" ht="15" customHeight="1" x14ac:dyDescent="0.2">
      <c r="B66" s="1074" t="s">
        <v>74</v>
      </c>
      <c r="C66" s="1075"/>
      <c r="D66" s="630" t="s">
        <v>36</v>
      </c>
      <c r="E66" s="630" t="s">
        <v>36</v>
      </c>
      <c r="F66" s="630" t="s">
        <v>36</v>
      </c>
      <c r="G66" s="631" t="s">
        <v>75</v>
      </c>
      <c r="H66" s="569"/>
      <c r="I66" s="569"/>
    </row>
    <row r="67" spans="2:9" ht="15" x14ac:dyDescent="0.2">
      <c r="B67" s="632" t="s">
        <v>76</v>
      </c>
      <c r="C67" s="633"/>
      <c r="D67" s="634"/>
      <c r="E67" s="634"/>
      <c r="F67" s="635"/>
      <c r="G67" s="636"/>
      <c r="H67" s="569"/>
      <c r="I67" s="569"/>
    </row>
    <row r="68" spans="2:9" ht="15" x14ac:dyDescent="0.2">
      <c r="B68" s="632" t="s">
        <v>77</v>
      </c>
      <c r="C68" s="633"/>
      <c r="D68" s="634"/>
      <c r="E68" s="634"/>
      <c r="F68" s="635"/>
      <c r="G68" s="636"/>
      <c r="H68" s="569"/>
      <c r="I68" s="569"/>
    </row>
    <row r="69" spans="2:9" ht="15" x14ac:dyDescent="0.2">
      <c r="B69" s="632" t="s">
        <v>78</v>
      </c>
      <c r="C69" s="633"/>
      <c r="D69" s="634"/>
      <c r="E69" s="634"/>
      <c r="F69" s="635"/>
      <c r="G69" s="636"/>
      <c r="H69" s="569"/>
      <c r="I69" s="569"/>
    </row>
    <row r="70" spans="2:9" ht="15.75" thickBot="1" x14ac:dyDescent="0.25">
      <c r="B70" s="637" t="s">
        <v>209</v>
      </c>
      <c r="C70" s="638"/>
      <c r="D70" s="639"/>
      <c r="E70" s="639"/>
      <c r="F70" s="635"/>
      <c r="G70" s="636"/>
      <c r="H70" s="569"/>
      <c r="I70" s="569"/>
    </row>
    <row r="71" spans="2:9" ht="16.5" customHeight="1" thickTop="1" thickBot="1" x14ac:dyDescent="0.25">
      <c r="B71" s="1076" t="s">
        <v>210</v>
      </c>
      <c r="C71" s="1077"/>
      <c r="D71" s="640">
        <f>SUM(D67:D70)</f>
        <v>0</v>
      </c>
      <c r="E71" s="640">
        <f>SUM(E67:E70)</f>
        <v>0</v>
      </c>
      <c r="F71" s="641">
        <f>D71-E71</f>
        <v>0</v>
      </c>
      <c r="G71" s="642">
        <f>IF(E71=0,0,IF(G63="net",0,F71/E71))</f>
        <v>0</v>
      </c>
      <c r="H71" s="569"/>
      <c r="I71" s="569"/>
    </row>
    <row r="72" spans="2:9" ht="15" x14ac:dyDescent="0.2">
      <c r="B72" s="643"/>
      <c r="C72" s="643"/>
      <c r="D72" s="644"/>
      <c r="E72" s="644"/>
      <c r="F72" s="579"/>
      <c r="G72" s="645"/>
      <c r="H72" s="569"/>
      <c r="I72" s="569"/>
    </row>
    <row r="73" spans="2:9" ht="38.25" customHeight="1" x14ac:dyDescent="0.2">
      <c r="B73" s="1048" t="s">
        <v>79</v>
      </c>
      <c r="C73" s="1048"/>
      <c r="D73" s="1048"/>
      <c r="E73" s="1048"/>
      <c r="F73" s="1048"/>
      <c r="G73" s="1048"/>
      <c r="H73" s="1048"/>
      <c r="I73" s="1048"/>
    </row>
    <row r="74" spans="2:9" ht="33.75" customHeight="1" x14ac:dyDescent="0.2">
      <c r="B74" s="1048" t="s">
        <v>80</v>
      </c>
      <c r="C74" s="1048"/>
      <c r="D74" s="1048"/>
      <c r="E74" s="1048"/>
      <c r="F74" s="1048"/>
      <c r="G74" s="1048"/>
      <c r="H74" s="1048"/>
      <c r="I74" s="1048"/>
    </row>
    <row r="75" spans="2:9" ht="15" x14ac:dyDescent="0.2">
      <c r="B75" s="643"/>
      <c r="C75" s="646"/>
      <c r="D75" s="644"/>
      <c r="E75" s="644"/>
      <c r="F75" s="644"/>
      <c r="G75" s="645"/>
      <c r="H75" s="569"/>
      <c r="I75" s="569"/>
    </row>
    <row r="76" spans="2:9" ht="15.75" customHeight="1" thickBot="1" x14ac:dyDescent="0.25">
      <c r="B76" s="1071" t="s">
        <v>81</v>
      </c>
      <c r="C76" s="1071"/>
      <c r="D76" s="1071"/>
      <c r="E76" s="1071"/>
      <c r="F76" s="1071"/>
      <c r="G76" s="1071"/>
      <c r="H76" s="579"/>
      <c r="I76" s="569"/>
    </row>
    <row r="77" spans="2:9" ht="15" x14ac:dyDescent="0.2">
      <c r="B77" s="647"/>
      <c r="C77" s="648">
        <v>2011</v>
      </c>
      <c r="D77" s="648">
        <v>2012</v>
      </c>
      <c r="E77" s="648">
        <v>2013</v>
      </c>
      <c r="F77" s="648">
        <v>2014</v>
      </c>
      <c r="G77" s="649">
        <v>2015</v>
      </c>
      <c r="H77" s="650"/>
      <c r="I77" s="569"/>
    </row>
    <row r="78" spans="2:9" ht="60" x14ac:dyDescent="0.2">
      <c r="B78" s="651" t="s">
        <v>82</v>
      </c>
      <c r="C78" s="652">
        <v>0</v>
      </c>
      <c r="D78" s="652">
        <v>0</v>
      </c>
      <c r="E78" s="652">
        <v>0.5</v>
      </c>
      <c r="F78" s="652">
        <v>1</v>
      </c>
      <c r="G78" s="652">
        <v>0.5</v>
      </c>
      <c r="H78" s="653" t="s">
        <v>213</v>
      </c>
      <c r="I78" s="569"/>
    </row>
    <row r="79" spans="2:9" ht="271.5" thickBot="1" x14ac:dyDescent="0.25">
      <c r="B79" s="654" t="s">
        <v>83</v>
      </c>
      <c r="C79" s="655" t="s">
        <v>214</v>
      </c>
      <c r="D79" s="655" t="s">
        <v>215</v>
      </c>
      <c r="E79" s="655" t="s">
        <v>216</v>
      </c>
      <c r="F79" s="655" t="s">
        <v>217</v>
      </c>
      <c r="G79" s="655" t="s">
        <v>218</v>
      </c>
      <c r="H79" s="642"/>
      <c r="I79" s="569"/>
    </row>
    <row r="80" spans="2:9" ht="14.25" x14ac:dyDescent="0.2">
      <c r="B80" s="656"/>
      <c r="C80" s="657"/>
      <c r="D80" s="657"/>
      <c r="E80" s="657"/>
      <c r="F80" s="657"/>
      <c r="G80" s="657"/>
      <c r="H80" s="645"/>
      <c r="I80" s="569"/>
    </row>
    <row r="81" spans="2:11" ht="23.25" x14ac:dyDescent="0.2">
      <c r="B81" s="1066" t="s">
        <v>219</v>
      </c>
      <c r="C81" s="1066"/>
      <c r="D81" s="1066"/>
      <c r="E81" s="1066"/>
      <c r="F81" s="1066"/>
      <c r="G81" s="1066"/>
      <c r="H81" s="1066"/>
      <c r="I81" s="1066"/>
    </row>
    <row r="82" spans="2:11" ht="18.75" x14ac:dyDescent="0.2">
      <c r="B82" s="658"/>
      <c r="C82" s="658"/>
      <c r="D82" s="658"/>
      <c r="E82" s="658"/>
      <c r="F82" s="658"/>
      <c r="G82" s="658"/>
      <c r="H82" s="658"/>
      <c r="I82" s="658"/>
    </row>
    <row r="83" spans="2:11" ht="34.5" customHeight="1" x14ac:dyDescent="0.2">
      <c r="B83" s="1063" t="s">
        <v>220</v>
      </c>
      <c r="C83" s="1063"/>
      <c r="D83" s="1063"/>
      <c r="E83" s="1063"/>
      <c r="F83" s="1063"/>
      <c r="G83" s="1063"/>
      <c r="H83" s="1063"/>
      <c r="I83" s="1063"/>
    </row>
    <row r="84" spans="2:11" ht="15.75" thickBot="1" x14ac:dyDescent="0.25">
      <c r="B84" s="643"/>
      <c r="C84" s="646"/>
      <c r="D84" s="644"/>
      <c r="E84" s="644"/>
      <c r="F84" s="644"/>
      <c r="G84" s="645"/>
      <c r="H84" s="569"/>
      <c r="I84" s="569"/>
    </row>
    <row r="85" spans="2:11" ht="15" x14ac:dyDescent="0.25">
      <c r="B85" s="659"/>
      <c r="C85" s="660">
        <v>2011</v>
      </c>
      <c r="D85" s="660">
        <v>2012</v>
      </c>
      <c r="E85" s="660">
        <v>2013</v>
      </c>
      <c r="F85" s="660">
        <v>2014</v>
      </c>
      <c r="G85" s="661">
        <v>2015</v>
      </c>
      <c r="H85" s="661" t="s">
        <v>221</v>
      </c>
      <c r="I85" s="662" t="s">
        <v>161</v>
      </c>
    </row>
    <row r="86" spans="2:11" ht="15" x14ac:dyDescent="0.2">
      <c r="B86" s="663"/>
      <c r="C86" s="1064" t="s">
        <v>36</v>
      </c>
      <c r="D86" s="1064"/>
      <c r="E86" s="1064"/>
      <c r="F86" s="1064"/>
      <c r="G86" s="1064"/>
      <c r="H86" s="1064"/>
      <c r="I86" s="1065"/>
    </row>
    <row r="87" spans="2:11" ht="42.75" x14ac:dyDescent="0.2">
      <c r="B87" s="664" t="s">
        <v>84</v>
      </c>
      <c r="C87" s="665">
        <f>F26</f>
        <v>701000</v>
      </c>
      <c r="D87" s="665">
        <f>F27</f>
        <v>771000</v>
      </c>
      <c r="E87" s="665">
        <f>F28</f>
        <v>724000</v>
      </c>
      <c r="F87" s="665">
        <f>F29</f>
        <v>2030000</v>
      </c>
      <c r="G87" s="666"/>
      <c r="H87" s="667">
        <f>SUM(C87:F87)</f>
        <v>4226000</v>
      </c>
      <c r="I87" s="668"/>
    </row>
    <row r="88" spans="2:11" ht="14.25" x14ac:dyDescent="0.2">
      <c r="B88" s="664"/>
      <c r="C88" s="665"/>
      <c r="D88" s="665"/>
      <c r="E88" s="665"/>
      <c r="F88" s="665"/>
      <c r="G88" s="669"/>
      <c r="H88" s="670"/>
      <c r="I88" s="668"/>
    </row>
    <row r="89" spans="2:11" ht="57" x14ac:dyDescent="0.2">
      <c r="B89" s="671" t="s">
        <v>222</v>
      </c>
      <c r="C89" s="672">
        <v>100000</v>
      </c>
      <c r="D89" s="673">
        <f>C89</f>
        <v>100000</v>
      </c>
      <c r="E89" s="673">
        <f>C89</f>
        <v>100000</v>
      </c>
      <c r="F89" s="673">
        <f>C89</f>
        <v>100000</v>
      </c>
      <c r="G89" s="674"/>
      <c r="H89" s="675">
        <f>SUM(C89:F90)</f>
        <v>400000</v>
      </c>
      <c r="I89" s="676"/>
    </row>
    <row r="90" spans="2:11" ht="14.25" x14ac:dyDescent="0.2">
      <c r="B90" s="677"/>
      <c r="C90" s="678"/>
      <c r="D90" s="678"/>
      <c r="E90" s="678"/>
      <c r="F90" s="678"/>
      <c r="G90" s="678"/>
      <c r="H90" s="678"/>
      <c r="I90" s="679"/>
    </row>
    <row r="91" spans="2:11" ht="43.5" thickBot="1" x14ac:dyDescent="0.25">
      <c r="B91" s="680" t="s">
        <v>223</v>
      </c>
      <c r="C91" s="681"/>
      <c r="D91" s="682"/>
      <c r="E91" s="682"/>
      <c r="F91" s="682"/>
      <c r="G91" s="666">
        <f>C48</f>
        <v>1666666.6666666665</v>
      </c>
      <c r="H91" s="683"/>
      <c r="I91" s="684">
        <f>SUM(C91:G91)</f>
        <v>1666666.6666666665</v>
      </c>
    </row>
    <row r="92" spans="2:11" ht="15.75" thickTop="1" thickBot="1" x14ac:dyDescent="0.25">
      <c r="B92" s="685"/>
      <c r="C92" s="686"/>
      <c r="D92" s="687"/>
      <c r="E92" s="687"/>
      <c r="F92" s="687"/>
      <c r="G92" s="686"/>
      <c r="H92" s="687"/>
      <c r="I92" s="688"/>
    </row>
    <row r="93" spans="2:11" ht="43.5" thickTop="1" x14ac:dyDescent="0.2">
      <c r="B93" s="671" t="s">
        <v>224</v>
      </c>
      <c r="C93" s="689">
        <v>0</v>
      </c>
      <c r="D93" s="690">
        <f>D87*(1+G71)*D78</f>
        <v>0</v>
      </c>
      <c r="E93" s="690">
        <f>E87*(1+G71)*E78</f>
        <v>362000</v>
      </c>
      <c r="F93" s="690">
        <f>F87*(1+G71)*F78</f>
        <v>2030000</v>
      </c>
      <c r="G93" s="691">
        <f>G91*(1+G71)*G78</f>
        <v>833333.33333333326</v>
      </c>
      <c r="H93" s="692"/>
      <c r="I93" s="695">
        <f>SUM(C93:G93)</f>
        <v>3225333.333333333</v>
      </c>
      <c r="K93" s="423" t="s">
        <v>226</v>
      </c>
    </row>
    <row r="94" spans="2:11" ht="14.25" x14ac:dyDescent="0.2">
      <c r="B94" s="677"/>
      <c r="C94" s="693"/>
      <c r="D94" s="693"/>
      <c r="E94" s="693"/>
      <c r="F94" s="693"/>
      <c r="G94" s="693"/>
      <c r="H94" s="693"/>
      <c r="I94" s="694"/>
    </row>
    <row r="95" spans="2:11" x14ac:dyDescent="0.2">
      <c r="B95" s="386"/>
      <c r="C95" s="386"/>
      <c r="D95" s="387"/>
      <c r="E95" s="387"/>
      <c r="F95" s="387"/>
      <c r="G95" s="387"/>
      <c r="H95" s="385"/>
    </row>
    <row r="96" spans="2:11" x14ac:dyDescent="0.2">
      <c r="B96" s="386"/>
      <c r="C96" s="386"/>
      <c r="D96" s="387"/>
      <c r="E96" s="387"/>
      <c r="F96" s="387"/>
      <c r="G96" s="387"/>
      <c r="H96" s="385"/>
    </row>
    <row r="97" spans="1:15" ht="15" x14ac:dyDescent="0.25">
      <c r="A97" s="110"/>
    </row>
    <row r="98" spans="1:15" ht="14.25" x14ac:dyDescent="0.2">
      <c r="A98" s="109"/>
    </row>
    <row r="99" spans="1:15" ht="14.25" x14ac:dyDescent="0.2">
      <c r="A99" s="109"/>
    </row>
    <row r="100" spans="1:15" ht="14.25" x14ac:dyDescent="0.2">
      <c r="A100" s="109"/>
    </row>
    <row r="101" spans="1:15" ht="14.25" x14ac:dyDescent="0.2">
      <c r="A101" s="109"/>
      <c r="N101" s="227"/>
      <c r="O101" s="234"/>
    </row>
    <row r="102" spans="1:15" ht="14.25" x14ac:dyDescent="0.2">
      <c r="A102" s="109"/>
    </row>
    <row r="103" spans="1:15" ht="14.25" x14ac:dyDescent="0.2">
      <c r="A103" s="109"/>
    </row>
    <row r="104" spans="1:15" ht="14.25" x14ac:dyDescent="0.2">
      <c r="A104" s="109"/>
    </row>
    <row r="105" spans="1:15" ht="14.25" x14ac:dyDescent="0.2">
      <c r="A105" s="109"/>
    </row>
    <row r="106" spans="1:15" ht="14.25" x14ac:dyDescent="0.2">
      <c r="A106" s="109"/>
    </row>
    <row r="107" spans="1:15" ht="14.25" x14ac:dyDescent="0.2">
      <c r="A107" s="109"/>
    </row>
    <row r="108" spans="1:15" ht="14.25" x14ac:dyDescent="0.2">
      <c r="A108" s="109"/>
    </row>
    <row r="109" spans="1:15" ht="14.25" x14ac:dyDescent="0.2">
      <c r="A109" s="109"/>
    </row>
    <row r="110" spans="1:15" ht="14.25" x14ac:dyDescent="0.2">
      <c r="A110" s="109"/>
    </row>
    <row r="111" spans="1:15" ht="14.25" x14ac:dyDescent="0.2">
      <c r="A111" s="109"/>
    </row>
    <row r="113" spans="14:14" x14ac:dyDescent="0.2">
      <c r="N113" s="226"/>
    </row>
  </sheetData>
  <mergeCells count="25">
    <mergeCell ref="B11:I11"/>
    <mergeCell ref="B13:I13"/>
    <mergeCell ref="B83:I83"/>
    <mergeCell ref="C86:I86"/>
    <mergeCell ref="B81:I81"/>
    <mergeCell ref="B74:I74"/>
    <mergeCell ref="B39:I39"/>
    <mergeCell ref="B47:I47"/>
    <mergeCell ref="B56:I56"/>
    <mergeCell ref="B76:G76"/>
    <mergeCell ref="B61:G61"/>
    <mergeCell ref="B63:F63"/>
    <mergeCell ref="B66:C66"/>
    <mergeCell ref="B71:C71"/>
    <mergeCell ref="B73:I73"/>
    <mergeCell ref="B37:I37"/>
    <mergeCell ref="B58:I58"/>
    <mergeCell ref="B59:I59"/>
    <mergeCell ref="B32:G32"/>
    <mergeCell ref="B15:I15"/>
    <mergeCell ref="B36:I36"/>
    <mergeCell ref="B34:I34"/>
    <mergeCell ref="B18:G18"/>
    <mergeCell ref="B17:G17"/>
    <mergeCell ref="B25:G25"/>
  </mergeCells>
  <dataValidations count="2">
    <dataValidation type="list" allowBlank="1" showInputMessage="1" showErrorMessage="1" sqref="G63">
      <formula1>"net,gross"</formula1>
    </dataValidation>
    <dataValidation type="list" allowBlank="1" showInputMessage="1" showErrorMessage="1" sqref="C78:G78">
      <formula1>"0, 0.5, 1"</formula1>
    </dataValidation>
  </dataValidations>
  <pageMargins left="0.25" right="0.25" top="0.75" bottom="0.75" header="0.3" footer="0.3"/>
  <pageSetup scale="41"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pageSetUpPr fitToPage="1"/>
  </sheetPr>
  <dimension ref="A1:O140"/>
  <sheetViews>
    <sheetView showGridLines="0" topLeftCell="A75" workbookViewId="0">
      <selection activeCell="I122" sqref="I122"/>
    </sheetView>
  </sheetViews>
  <sheetFormatPr defaultRowHeight="15" x14ac:dyDescent="0.25"/>
  <cols>
    <col min="1" max="1" width="36" style="808" customWidth="1"/>
    <col min="2" max="8" width="17.6640625" style="808" customWidth="1"/>
    <col min="9" max="9" width="14.5" style="808" customWidth="1"/>
    <col min="10" max="12" width="10.6640625" style="808" hidden="1" customWidth="1"/>
    <col min="13" max="14" width="0" style="808" hidden="1" customWidth="1"/>
    <col min="15" max="15" width="9.33203125" style="808"/>
    <col min="16" max="22" width="10" style="808" customWidth="1"/>
    <col min="23" max="16384" width="9.33203125" style="808"/>
  </cols>
  <sheetData>
    <row r="1" spans="1:8" s="807" customFormat="1" ht="12.75" x14ac:dyDescent="0.2">
      <c r="G1" s="809"/>
    </row>
    <row r="2" spans="1:8" s="807" customFormat="1" ht="18" x14ac:dyDescent="0.25">
      <c r="A2" s="1119" t="s">
        <v>454</v>
      </c>
      <c r="B2" s="1119"/>
      <c r="C2" s="1119"/>
      <c r="D2" s="1119"/>
      <c r="E2" s="1119"/>
      <c r="F2" s="1119"/>
      <c r="G2" s="1119"/>
      <c r="H2" s="1119"/>
    </row>
    <row r="3" spans="1:8" s="807" customFormat="1" ht="18" x14ac:dyDescent="0.25">
      <c r="A3" s="1119" t="s">
        <v>418</v>
      </c>
      <c r="B3" s="1119"/>
      <c r="C3" s="1119"/>
      <c r="D3" s="1119"/>
      <c r="E3" s="1119"/>
      <c r="F3" s="1119"/>
      <c r="G3" s="1119"/>
      <c r="H3" s="1119"/>
    </row>
    <row r="4" spans="1:8" ht="12" hidden="1" customHeight="1" x14ac:dyDescent="0.25"/>
    <row r="5" spans="1:8" ht="57" hidden="1" customHeight="1" x14ac:dyDescent="0.25">
      <c r="A5" s="1082" t="s">
        <v>419</v>
      </c>
      <c r="B5" s="1082"/>
      <c r="C5" s="1082"/>
      <c r="D5" s="1082"/>
      <c r="E5" s="1082"/>
      <c r="F5" s="1082"/>
      <c r="G5" s="1082"/>
      <c r="H5" s="1082"/>
    </row>
    <row r="6" spans="1:8" ht="12" hidden="1" customHeight="1" x14ac:dyDescent="0.25"/>
    <row r="7" spans="1:8" ht="77.25" hidden="1" customHeight="1" x14ac:dyDescent="0.25">
      <c r="A7" s="1082" t="s">
        <v>420</v>
      </c>
      <c r="B7" s="1082"/>
      <c r="C7" s="1082"/>
      <c r="D7" s="1082"/>
      <c r="E7" s="1082"/>
      <c r="F7" s="1082"/>
      <c r="G7" s="1082"/>
      <c r="H7" s="1082"/>
    </row>
    <row r="8" spans="1:8" ht="12" hidden="1" customHeight="1" x14ac:dyDescent="0.25"/>
    <row r="9" spans="1:8" ht="77.25" hidden="1" customHeight="1" x14ac:dyDescent="0.25">
      <c r="A9" s="1082" t="s">
        <v>421</v>
      </c>
      <c r="B9" s="1082"/>
      <c r="C9" s="1082"/>
      <c r="D9" s="1082"/>
      <c r="E9" s="1082"/>
      <c r="F9" s="1082"/>
      <c r="G9" s="1082"/>
      <c r="H9" s="1082"/>
    </row>
    <row r="10" spans="1:8" ht="12" hidden="1" customHeight="1" x14ac:dyDescent="0.25"/>
    <row r="11" spans="1:8" ht="61.5" hidden="1" customHeight="1" x14ac:dyDescent="0.25">
      <c r="A11" s="1082" t="s">
        <v>422</v>
      </c>
      <c r="B11" s="1082"/>
      <c r="C11" s="1082"/>
      <c r="D11" s="1082"/>
      <c r="E11" s="1082"/>
      <c r="F11" s="1082"/>
      <c r="G11" s="1082"/>
      <c r="H11" s="1082"/>
    </row>
    <row r="12" spans="1:8" ht="12" hidden="1" customHeight="1" x14ac:dyDescent="0.25"/>
    <row r="13" spans="1:8" ht="18.75" hidden="1" x14ac:dyDescent="0.25">
      <c r="A13" s="1117" t="s">
        <v>212</v>
      </c>
      <c r="B13" s="1117"/>
      <c r="C13" s="1117"/>
      <c r="D13" s="1117"/>
      <c r="E13" s="1117"/>
      <c r="F13" s="1117"/>
      <c r="G13" s="1117"/>
      <c r="H13" s="1117"/>
    </row>
    <row r="14" spans="1:8" ht="12" hidden="1" customHeight="1" x14ac:dyDescent="0.25"/>
    <row r="15" spans="1:8" hidden="1" x14ac:dyDescent="0.25">
      <c r="A15" s="1118" t="s">
        <v>423</v>
      </c>
      <c r="B15" s="1118"/>
      <c r="C15" s="1118"/>
      <c r="D15" s="1118"/>
      <c r="E15" s="1118"/>
      <c r="F15" s="1118"/>
      <c r="G15" s="1118"/>
      <c r="H15" s="1118"/>
    </row>
    <row r="16" spans="1:8" hidden="1" x14ac:dyDescent="0.25">
      <c r="A16" s="810"/>
      <c r="B16" s="810"/>
      <c r="C16" s="810"/>
      <c r="D16" s="810"/>
      <c r="E16" s="810"/>
      <c r="F16" s="810"/>
    </row>
    <row r="17" spans="1:14" ht="28.5" hidden="1" customHeight="1" x14ac:dyDescent="0.25">
      <c r="A17" s="1109" t="s">
        <v>424</v>
      </c>
      <c r="B17" s="1109"/>
      <c r="C17" s="1109"/>
      <c r="D17" s="1109"/>
      <c r="E17" s="1109"/>
      <c r="F17" s="1109"/>
      <c r="G17" s="1109"/>
      <c r="H17" s="1109"/>
    </row>
    <row r="18" spans="1:14" ht="12" hidden="1" customHeight="1" x14ac:dyDescent="0.25">
      <c r="A18" s="810"/>
      <c r="B18" s="810"/>
      <c r="C18" s="810"/>
      <c r="D18" s="810"/>
      <c r="E18" s="810"/>
      <c r="F18" s="810"/>
    </row>
    <row r="19" spans="1:14" ht="28.5" hidden="1" customHeight="1" x14ac:dyDescent="0.25">
      <c r="A19" s="1109" t="s">
        <v>425</v>
      </c>
      <c r="B19" s="1109"/>
      <c r="C19" s="1109"/>
      <c r="D19" s="1109"/>
      <c r="E19" s="1109"/>
      <c r="F19" s="1109"/>
      <c r="G19" s="1109"/>
      <c r="H19" s="1109"/>
    </row>
    <row r="20" spans="1:14" ht="12" hidden="1" customHeight="1" x14ac:dyDescent="0.25">
      <c r="A20" s="811"/>
      <c r="B20" s="812"/>
      <c r="C20" s="812"/>
      <c r="D20" s="812"/>
      <c r="E20" s="812"/>
      <c r="F20" s="812"/>
    </row>
    <row r="21" spans="1:14" ht="46.5" hidden="1" customHeight="1" x14ac:dyDescent="0.25">
      <c r="A21" s="1109" t="s">
        <v>426</v>
      </c>
      <c r="B21" s="1109"/>
      <c r="C21" s="1109"/>
      <c r="D21" s="1109"/>
      <c r="E21" s="1109"/>
      <c r="F21" s="1109"/>
      <c r="G21" s="1109"/>
      <c r="H21" s="1109"/>
    </row>
    <row r="22" spans="1:14" ht="12" hidden="1" customHeight="1" x14ac:dyDescent="0.25">
      <c r="A22" s="811"/>
      <c r="B22" s="812"/>
      <c r="C22" s="812"/>
      <c r="D22" s="812"/>
      <c r="E22" s="812"/>
      <c r="F22" s="812"/>
    </row>
    <row r="23" spans="1:14" ht="57.75" hidden="1" customHeight="1" x14ac:dyDescent="0.25">
      <c r="A23" s="1109" t="s">
        <v>427</v>
      </c>
      <c r="B23" s="1109"/>
      <c r="C23" s="1109"/>
      <c r="D23" s="1109"/>
      <c r="E23" s="1109"/>
      <c r="F23" s="1109"/>
      <c r="G23" s="1109"/>
      <c r="H23" s="1109"/>
    </row>
    <row r="24" spans="1:14" ht="12" customHeight="1" x14ac:dyDescent="0.25">
      <c r="A24" s="1109"/>
      <c r="B24" s="1109"/>
      <c r="C24" s="1109"/>
      <c r="D24" s="1109"/>
      <c r="E24" s="1109"/>
      <c r="F24" s="1109"/>
      <c r="G24" s="1109"/>
      <c r="H24" s="1109"/>
    </row>
    <row r="25" spans="1:14" ht="12" customHeight="1" thickBot="1" x14ac:dyDescent="0.3">
      <c r="A25" s="813"/>
      <c r="B25" s="812"/>
      <c r="C25" s="812"/>
      <c r="D25" s="812"/>
      <c r="E25" s="812"/>
      <c r="F25" s="812"/>
    </row>
    <row r="26" spans="1:14" x14ac:dyDescent="0.25">
      <c r="A26" s="1087" t="s">
        <v>50</v>
      </c>
      <c r="B26" s="1088"/>
      <c r="C26" s="1088"/>
      <c r="D26" s="1088"/>
      <c r="E26" s="1088"/>
      <c r="F26" s="1089"/>
      <c r="G26" s="1110" t="s">
        <v>428</v>
      </c>
      <c r="H26" s="1111"/>
    </row>
    <row r="27" spans="1:14" x14ac:dyDescent="0.25">
      <c r="A27" s="1114">
        <v>8970000</v>
      </c>
      <c r="B27" s="1115"/>
      <c r="C27" s="1115"/>
      <c r="D27" s="1115"/>
      <c r="E27" s="1115"/>
      <c r="F27" s="1116"/>
      <c r="G27" s="1112"/>
      <c r="H27" s="1113"/>
    </row>
    <row r="28" spans="1:14" x14ac:dyDescent="0.25">
      <c r="A28" s="814"/>
      <c r="B28" s="815">
        <v>2011</v>
      </c>
      <c r="C28" s="815">
        <v>2012</v>
      </c>
      <c r="D28" s="815">
        <v>2013</v>
      </c>
      <c r="E28" s="815">
        <v>2014</v>
      </c>
      <c r="F28" s="816" t="s">
        <v>16</v>
      </c>
      <c r="G28" s="817">
        <v>2015</v>
      </c>
      <c r="H28" s="818">
        <v>2016</v>
      </c>
      <c r="K28" s="808">
        <f>B28</f>
        <v>2011</v>
      </c>
      <c r="L28" s="808">
        <f>C28</f>
        <v>2012</v>
      </c>
      <c r="M28" s="808">
        <f>D28</f>
        <v>2013</v>
      </c>
      <c r="N28" s="808">
        <f>E28</f>
        <v>2014</v>
      </c>
    </row>
    <row r="29" spans="1:14" x14ac:dyDescent="0.25">
      <c r="A29" s="819" t="s">
        <v>51</v>
      </c>
      <c r="B29" s="820">
        <f>B35/$F$39</f>
        <v>8.4722369678309803E-2</v>
      </c>
      <c r="C29" s="820">
        <f t="shared" ref="C29:E32" si="0">C35/$F$39</f>
        <v>8.4722369678309803E-2</v>
      </c>
      <c r="D29" s="820">
        <f t="shared" si="0"/>
        <v>8.3766854230810067E-2</v>
      </c>
      <c r="E29" s="821">
        <f t="shared" si="0"/>
        <v>7.4424036521923767E-2</v>
      </c>
      <c r="F29" s="822">
        <f>SUM(B29:E29)</f>
        <v>0.32763563010935343</v>
      </c>
      <c r="G29" s="823"/>
      <c r="H29" s="824"/>
      <c r="J29" s="808" t="str">
        <f>A29</f>
        <v>2011 CDM Programs</v>
      </c>
      <c r="K29" s="825">
        <f>50%</f>
        <v>0.5</v>
      </c>
      <c r="L29" s="826">
        <v>1</v>
      </c>
      <c r="M29" s="827">
        <v>1</v>
      </c>
      <c r="N29" s="827">
        <v>1</v>
      </c>
    </row>
    <row r="30" spans="1:14" x14ac:dyDescent="0.25">
      <c r="A30" s="819" t="s">
        <v>52</v>
      </c>
      <c r="B30" s="828"/>
      <c r="C30" s="820">
        <f t="shared" si="0"/>
        <v>8.2386665251088231E-2</v>
      </c>
      <c r="D30" s="820">
        <f t="shared" si="0"/>
        <v>8.2386665251088231E-2</v>
      </c>
      <c r="E30" s="821">
        <f t="shared" si="0"/>
        <v>8.1855823335810596E-2</v>
      </c>
      <c r="F30" s="822">
        <f t="shared" ref="F30:F32" si="1">SUM(B30:E30)</f>
        <v>0.24662915383798706</v>
      </c>
      <c r="G30" s="823"/>
      <c r="H30" s="824"/>
      <c r="N30" s="827">
        <v>1</v>
      </c>
    </row>
    <row r="31" spans="1:14" x14ac:dyDescent="0.25">
      <c r="A31" s="819" t="s">
        <v>53</v>
      </c>
      <c r="B31" s="828"/>
      <c r="C31" s="828"/>
      <c r="D31" s="820">
        <f t="shared" si="0"/>
        <v>7.7290582864422974E-2</v>
      </c>
      <c r="E31" s="821">
        <f t="shared" si="0"/>
        <v>7.7290582864422974E-2</v>
      </c>
      <c r="F31" s="822">
        <f t="shared" si="1"/>
        <v>0.15458116572884595</v>
      </c>
      <c r="G31" s="823"/>
      <c r="H31" s="824"/>
      <c r="N31" s="827">
        <v>1</v>
      </c>
    </row>
    <row r="32" spans="1:14" ht="15.75" thickBot="1" x14ac:dyDescent="0.3">
      <c r="A32" s="829" t="s">
        <v>54</v>
      </c>
      <c r="B32" s="830"/>
      <c r="C32" s="830"/>
      <c r="D32" s="830"/>
      <c r="E32" s="831">
        <f t="shared" si="0"/>
        <v>0.18813037477439218</v>
      </c>
      <c r="F32" s="832">
        <f t="shared" si="1"/>
        <v>0.18813037477439218</v>
      </c>
      <c r="G32" s="823"/>
      <c r="H32" s="824"/>
      <c r="N32" s="827">
        <v>0.5</v>
      </c>
    </row>
    <row r="33" spans="1:8" ht="15.75" thickTop="1" x14ac:dyDescent="0.25">
      <c r="A33" s="817" t="s">
        <v>55</v>
      </c>
      <c r="B33" s="833">
        <f>SUM(B29:B32)</f>
        <v>8.4722369678309803E-2</v>
      </c>
      <c r="C33" s="833">
        <f t="shared" ref="C33:E33" si="2">SUM(C29:C32)</f>
        <v>0.16710903492939805</v>
      </c>
      <c r="D33" s="833">
        <f t="shared" si="2"/>
        <v>0.24344410234632127</v>
      </c>
      <c r="E33" s="834">
        <f t="shared" si="2"/>
        <v>0.42170081749654953</v>
      </c>
      <c r="F33" s="835">
        <f>SUM(B33:E33)</f>
        <v>0.91697632445057864</v>
      </c>
      <c r="G33" s="823"/>
      <c r="H33" s="824"/>
    </row>
    <row r="34" spans="1:8" ht="12" customHeight="1" x14ac:dyDescent="0.25">
      <c r="A34" s="1105" t="s">
        <v>36</v>
      </c>
      <c r="B34" s="1106"/>
      <c r="C34" s="1106"/>
      <c r="D34" s="1106"/>
      <c r="E34" s="1106"/>
      <c r="F34" s="1107"/>
      <c r="G34" s="823"/>
      <c r="H34" s="824"/>
    </row>
    <row r="35" spans="1:8" x14ac:dyDescent="0.25">
      <c r="A35" s="819" t="s">
        <v>51</v>
      </c>
      <c r="B35" s="836">
        <f>0.798*1000000</f>
        <v>798000</v>
      </c>
      <c r="C35" s="836">
        <f>0.798*1000000</f>
        <v>798000</v>
      </c>
      <c r="D35" s="836">
        <f>0.789*1000000</f>
        <v>789000</v>
      </c>
      <c r="E35" s="836">
        <f>0.701*1000000</f>
        <v>701000</v>
      </c>
      <c r="F35" s="837">
        <f>SUM(B35:E35)</f>
        <v>3086000</v>
      </c>
      <c r="G35" s="823"/>
      <c r="H35" s="824"/>
    </row>
    <row r="36" spans="1:8" x14ac:dyDescent="0.25">
      <c r="A36" s="819" t="s">
        <v>52</v>
      </c>
      <c r="B36" s="838">
        <f>-0.016*1000000</f>
        <v>-16000</v>
      </c>
      <c r="C36" s="839">
        <f>0.776*1000000</f>
        <v>776000</v>
      </c>
      <c r="D36" s="839">
        <f>0.776*1000000</f>
        <v>776000</v>
      </c>
      <c r="E36" s="839">
        <f>0.771*1000000</f>
        <v>771000</v>
      </c>
      <c r="F36" s="837">
        <f t="shared" ref="F36:F38" si="3">SUM(B36:E36)</f>
        <v>2307000</v>
      </c>
      <c r="G36" s="823"/>
      <c r="H36" s="824"/>
    </row>
    <row r="37" spans="1:8" x14ac:dyDescent="0.25">
      <c r="A37" s="819" t="s">
        <v>53</v>
      </c>
      <c r="B37" s="838">
        <v>0</v>
      </c>
      <c r="C37" s="838">
        <f>0.101*1000000</f>
        <v>101000</v>
      </c>
      <c r="D37" s="839">
        <f>0.728*1000000</f>
        <v>728000</v>
      </c>
      <c r="E37" s="840">
        <f>0.728*1000000</f>
        <v>728000</v>
      </c>
      <c r="F37" s="837">
        <f t="shared" si="3"/>
        <v>1557000</v>
      </c>
      <c r="G37" s="823"/>
      <c r="H37" s="824"/>
    </row>
    <row r="38" spans="1:8" ht="15.75" thickBot="1" x14ac:dyDescent="0.3">
      <c r="A38" s="829" t="s">
        <v>54</v>
      </c>
      <c r="B38" s="841">
        <v>0</v>
      </c>
      <c r="C38" s="841">
        <f>0.326*1000000</f>
        <v>326000</v>
      </c>
      <c r="D38" s="841">
        <f>0.371*1000000</f>
        <v>371000</v>
      </c>
      <c r="E38" s="842">
        <f>1.772*1000000</f>
        <v>1772000</v>
      </c>
      <c r="F38" s="843">
        <f t="shared" si="3"/>
        <v>2469000</v>
      </c>
      <c r="G38" s="971">
        <f>E38*0.99</f>
        <v>1754280</v>
      </c>
      <c r="H38" s="972">
        <f>E38*0.88</f>
        <v>1559360</v>
      </c>
    </row>
    <row r="39" spans="1:8" ht="16.5" thickTop="1" thickBot="1" x14ac:dyDescent="0.3">
      <c r="A39" s="844" t="s">
        <v>55</v>
      </c>
      <c r="B39" s="845">
        <f>SUM(B35:B38)</f>
        <v>782000</v>
      </c>
      <c r="C39" s="845">
        <f t="shared" ref="C39:E39" si="4">SUM(C35:C38)</f>
        <v>2001000</v>
      </c>
      <c r="D39" s="845">
        <f t="shared" si="4"/>
        <v>2664000</v>
      </c>
      <c r="E39" s="846">
        <f t="shared" si="4"/>
        <v>3972000</v>
      </c>
      <c r="F39" s="847">
        <f>SUM(F35:F38)</f>
        <v>9419000</v>
      </c>
      <c r="G39" s="848"/>
      <c r="H39" s="849"/>
    </row>
    <row r="40" spans="1:8" ht="12" customHeight="1" x14ac:dyDescent="0.25">
      <c r="A40" s="850"/>
      <c r="B40" s="851"/>
      <c r="C40" s="851"/>
      <c r="D40" s="851"/>
      <c r="E40" s="851"/>
      <c r="F40" s="851"/>
    </row>
    <row r="41" spans="1:8" ht="12" customHeight="1" x14ac:dyDescent="0.25">
      <c r="A41" s="850"/>
      <c r="B41" s="970"/>
      <c r="C41" s="968"/>
      <c r="D41" s="968" t="s">
        <v>453</v>
      </c>
      <c r="E41" s="968"/>
      <c r="F41" s="969"/>
    </row>
    <row r="42" spans="1:8" ht="12" customHeight="1" x14ac:dyDescent="0.25">
      <c r="A42" s="850"/>
      <c r="B42" s="959">
        <v>2011</v>
      </c>
      <c r="C42" s="960"/>
      <c r="D42" s="961">
        <f>C35/B35</f>
        <v>1</v>
      </c>
      <c r="E42" s="961">
        <f>D35/B35</f>
        <v>0.98872180451127822</v>
      </c>
      <c r="F42" s="962">
        <f>E35/B35</f>
        <v>0.87844611528822059</v>
      </c>
    </row>
    <row r="43" spans="1:8" ht="12" customHeight="1" x14ac:dyDescent="0.25">
      <c r="A43" s="850"/>
      <c r="B43" s="959">
        <v>2012</v>
      </c>
      <c r="C43" s="960"/>
      <c r="D43" s="963"/>
      <c r="E43" s="961">
        <f>D36/C36</f>
        <v>1</v>
      </c>
      <c r="F43" s="962">
        <f>E36/C36</f>
        <v>0.99355670103092786</v>
      </c>
    </row>
    <row r="44" spans="1:8" ht="12" customHeight="1" x14ac:dyDescent="0.25">
      <c r="A44" s="850"/>
      <c r="B44" s="964">
        <v>2013</v>
      </c>
      <c r="C44" s="965"/>
      <c r="D44" s="965"/>
      <c r="E44" s="966"/>
      <c r="F44" s="967">
        <f>E37/D37</f>
        <v>1</v>
      </c>
    </row>
    <row r="45" spans="1:8" ht="12" customHeight="1" x14ac:dyDescent="0.25">
      <c r="A45" s="850"/>
      <c r="B45" s="973"/>
      <c r="C45" s="974"/>
      <c r="D45" s="974"/>
      <c r="E45" s="975"/>
      <c r="F45" s="961"/>
    </row>
    <row r="46" spans="1:8" ht="18.75" x14ac:dyDescent="0.25">
      <c r="A46" s="1117" t="s">
        <v>429</v>
      </c>
      <c r="B46" s="1117"/>
      <c r="C46" s="1117"/>
      <c r="D46" s="1117"/>
      <c r="E46" s="1117"/>
      <c r="F46" s="1117"/>
    </row>
    <row r="47" spans="1:8" x14ac:dyDescent="0.25">
      <c r="A47" s="850"/>
      <c r="B47" s="851"/>
      <c r="C47" s="851"/>
      <c r="D47" s="851"/>
      <c r="E47" s="851"/>
      <c r="F47" s="851"/>
    </row>
    <row r="48" spans="1:8" ht="96.75" customHeight="1" x14ac:dyDescent="0.25">
      <c r="A48" s="1084" t="s">
        <v>430</v>
      </c>
      <c r="B48" s="1084"/>
      <c r="C48" s="1084"/>
      <c r="D48" s="1084"/>
      <c r="E48" s="1084"/>
      <c r="F48" s="1084"/>
      <c r="G48" s="1084"/>
      <c r="H48" s="1084"/>
    </row>
    <row r="49" spans="1:8" ht="15.75" thickBot="1" x14ac:dyDescent="0.3">
      <c r="A49" s="850"/>
      <c r="B49" s="851"/>
      <c r="C49" s="851"/>
      <c r="D49" s="851"/>
      <c r="E49" s="851"/>
      <c r="F49" s="851"/>
    </row>
    <row r="50" spans="1:8" x14ac:dyDescent="0.25">
      <c r="A50" s="1096" t="s">
        <v>198</v>
      </c>
      <c r="B50" s="1097"/>
      <c r="C50" s="1097"/>
      <c r="D50" s="1097"/>
      <c r="E50" s="1097"/>
      <c r="F50" s="1097"/>
      <c r="G50" s="1097"/>
      <c r="H50" s="1098"/>
    </row>
    <row r="51" spans="1:8" x14ac:dyDescent="0.25">
      <c r="A51" s="1099">
        <v>10000000</v>
      </c>
      <c r="B51" s="1100"/>
      <c r="C51" s="1100"/>
      <c r="D51" s="1100"/>
      <c r="E51" s="1100"/>
      <c r="F51" s="1100"/>
      <c r="G51" s="1100"/>
      <c r="H51" s="1101"/>
    </row>
    <row r="52" spans="1:8" x14ac:dyDescent="0.25">
      <c r="A52" s="852"/>
      <c r="B52" s="853">
        <v>2015</v>
      </c>
      <c r="C52" s="853">
        <v>2016</v>
      </c>
      <c r="D52" s="853">
        <v>2017</v>
      </c>
      <c r="E52" s="853">
        <v>2018</v>
      </c>
      <c r="F52" s="853">
        <v>2019</v>
      </c>
      <c r="G52" s="853">
        <v>2020</v>
      </c>
      <c r="H52" s="854" t="s">
        <v>16</v>
      </c>
    </row>
    <row r="53" spans="1:8" x14ac:dyDescent="0.25">
      <c r="A53" s="1102" t="s">
        <v>199</v>
      </c>
      <c r="B53" s="1103"/>
      <c r="C53" s="1103"/>
      <c r="D53" s="1103"/>
      <c r="E53" s="1103"/>
      <c r="F53" s="1103"/>
      <c r="G53" s="1103"/>
      <c r="H53" s="1104"/>
    </row>
    <row r="54" spans="1:8" x14ac:dyDescent="0.25">
      <c r="A54" s="819" t="s">
        <v>200</v>
      </c>
      <c r="B54" s="820">
        <f>B62/$H$68</f>
        <v>0.16666666666666666</v>
      </c>
      <c r="C54" s="855"/>
      <c r="D54" s="855"/>
      <c r="E54" s="855"/>
      <c r="F54" s="855"/>
      <c r="G54" s="856"/>
      <c r="H54" s="822">
        <f>SUM(B54:G54)</f>
        <v>0.16666666666666666</v>
      </c>
    </row>
    <row r="55" spans="1:8" x14ac:dyDescent="0.25">
      <c r="A55" s="819" t="s">
        <v>201</v>
      </c>
      <c r="B55" s="828"/>
      <c r="C55" s="820">
        <f t="shared" ref="C55:F58" si="5">C63/$H$68</f>
        <v>0.16666666666666666</v>
      </c>
      <c r="D55" s="855"/>
      <c r="E55" s="855"/>
      <c r="F55" s="855"/>
      <c r="G55" s="856"/>
      <c r="H55" s="822">
        <f>SUM(B55:G55)</f>
        <v>0.16666666666666666</v>
      </c>
    </row>
    <row r="56" spans="1:8" x14ac:dyDescent="0.25">
      <c r="A56" s="819" t="s">
        <v>202</v>
      </c>
      <c r="B56" s="828"/>
      <c r="C56" s="828"/>
      <c r="D56" s="820">
        <f t="shared" si="5"/>
        <v>0.16666666666666666</v>
      </c>
      <c r="E56" s="855"/>
      <c r="F56" s="855"/>
      <c r="G56" s="856"/>
      <c r="H56" s="822">
        <f>SUM(B56:G56)</f>
        <v>0.16666666666666666</v>
      </c>
    </row>
    <row r="57" spans="1:8" x14ac:dyDescent="0.25">
      <c r="A57" s="819" t="s">
        <v>203</v>
      </c>
      <c r="B57" s="828"/>
      <c r="C57" s="828"/>
      <c r="D57" s="820"/>
      <c r="E57" s="820">
        <f t="shared" si="5"/>
        <v>0.16666666666666666</v>
      </c>
      <c r="F57" s="855"/>
      <c r="G57" s="856"/>
      <c r="H57" s="822">
        <f>SUM(E57:G57)</f>
        <v>0.16666666666666666</v>
      </c>
    </row>
    <row r="58" spans="1:8" x14ac:dyDescent="0.25">
      <c r="A58" s="819" t="s">
        <v>204</v>
      </c>
      <c r="B58" s="828"/>
      <c r="C58" s="828"/>
      <c r="D58" s="820"/>
      <c r="E58" s="820"/>
      <c r="F58" s="820">
        <f t="shared" si="5"/>
        <v>0.16666666666666666</v>
      </c>
      <c r="G58" s="856"/>
      <c r="H58" s="822">
        <f>SUM(F58:G58)</f>
        <v>0.16666666666666666</v>
      </c>
    </row>
    <row r="59" spans="1:8" ht="15.75" thickBot="1" x14ac:dyDescent="0.3">
      <c r="A59" s="829" t="s">
        <v>205</v>
      </c>
      <c r="B59" s="830"/>
      <c r="C59" s="830"/>
      <c r="D59" s="830"/>
      <c r="E59" s="830"/>
      <c r="F59" s="830"/>
      <c r="G59" s="831">
        <f>G67/$H$68</f>
        <v>0.16666666666666666</v>
      </c>
      <c r="H59" s="832">
        <f>SUM(B59:G59)</f>
        <v>0.16666666666666666</v>
      </c>
    </row>
    <row r="60" spans="1:8" ht="15.75" thickTop="1" x14ac:dyDescent="0.25">
      <c r="A60" s="857" t="s">
        <v>55</v>
      </c>
      <c r="B60" s="858">
        <f>SUM(B54:B59)</f>
        <v>0.16666666666666666</v>
      </c>
      <c r="C60" s="858">
        <f>SUM(C54:C59)</f>
        <v>0.16666666666666666</v>
      </c>
      <c r="D60" s="858">
        <f>SUM(D54:D59)</f>
        <v>0.16666666666666666</v>
      </c>
      <c r="E60" s="858">
        <f>SUM(E54:E57)</f>
        <v>0.16666666666666666</v>
      </c>
      <c r="F60" s="858">
        <f>SUM(F54:F58)</f>
        <v>0.16666666666666666</v>
      </c>
      <c r="G60" s="859">
        <f>SUM(G54:G59)</f>
        <v>0.16666666666666666</v>
      </c>
      <c r="H60" s="860">
        <f>SUM(B60:G60)</f>
        <v>0.99999999999999989</v>
      </c>
    </row>
    <row r="61" spans="1:8" ht="12" customHeight="1" x14ac:dyDescent="0.25">
      <c r="A61" s="1105" t="s">
        <v>36</v>
      </c>
      <c r="B61" s="1106"/>
      <c r="C61" s="1106"/>
      <c r="D61" s="1106"/>
      <c r="E61" s="1106"/>
      <c r="F61" s="1106"/>
      <c r="G61" s="1106"/>
      <c r="H61" s="1107"/>
    </row>
    <row r="62" spans="1:8" x14ac:dyDescent="0.25">
      <c r="A62" s="819" t="str">
        <f t="shared" ref="A62:A67" si="6">A54</f>
        <v>2015 CDM Programs</v>
      </c>
      <c r="B62" s="836">
        <f>1/6*A51</f>
        <v>1666666.6666666665</v>
      </c>
      <c r="C62" s="836">
        <f>B62</f>
        <v>1666666.6666666665</v>
      </c>
      <c r="D62" s="855"/>
      <c r="E62" s="861"/>
      <c r="F62" s="861"/>
      <c r="G62" s="862"/>
      <c r="H62" s="837">
        <f>SUM(B62:G62)</f>
        <v>3333333.333333333</v>
      </c>
    </row>
    <row r="63" spans="1:8" x14ac:dyDescent="0.25">
      <c r="A63" s="819" t="str">
        <f t="shared" si="6"/>
        <v>2016 CDM Programs</v>
      </c>
      <c r="B63" s="838"/>
      <c r="C63" s="839">
        <f>B62</f>
        <v>1666666.6666666665</v>
      </c>
      <c r="D63" s="863"/>
      <c r="E63" s="863"/>
      <c r="F63" s="863"/>
      <c r="G63" s="864"/>
      <c r="H63" s="837">
        <f>SUM(B63:G63)</f>
        <v>1666666.6666666665</v>
      </c>
    </row>
    <row r="64" spans="1:8" x14ac:dyDescent="0.25">
      <c r="A64" s="819" t="str">
        <f t="shared" si="6"/>
        <v>2017 CDM Programs</v>
      </c>
      <c r="B64" s="838"/>
      <c r="C64" s="838"/>
      <c r="D64" s="839">
        <f>C63</f>
        <v>1666666.6666666665</v>
      </c>
      <c r="E64" s="863"/>
      <c r="F64" s="863"/>
      <c r="G64" s="864"/>
      <c r="H64" s="837">
        <f>SUM(B64:G64)</f>
        <v>1666666.6666666665</v>
      </c>
    </row>
    <row r="65" spans="1:8" x14ac:dyDescent="0.25">
      <c r="A65" s="819" t="str">
        <f t="shared" si="6"/>
        <v>2018 CDM Programs</v>
      </c>
      <c r="B65" s="838"/>
      <c r="C65" s="838"/>
      <c r="D65" s="865"/>
      <c r="E65" s="836">
        <f>D64</f>
        <v>1666666.6666666665</v>
      </c>
      <c r="F65" s="861"/>
      <c r="G65" s="862"/>
      <c r="H65" s="837">
        <f>SUM(E65:G65)</f>
        <v>1666666.6666666665</v>
      </c>
    </row>
    <row r="66" spans="1:8" x14ac:dyDescent="0.25">
      <c r="A66" s="819" t="str">
        <f t="shared" si="6"/>
        <v>2019 CDM Programs</v>
      </c>
      <c r="B66" s="838"/>
      <c r="C66" s="838"/>
      <c r="D66" s="865"/>
      <c r="E66" s="865"/>
      <c r="F66" s="836">
        <f>E65</f>
        <v>1666666.6666666665</v>
      </c>
      <c r="G66" s="862"/>
      <c r="H66" s="837">
        <f>SUM(F66:G66)</f>
        <v>1666666.6666666665</v>
      </c>
    </row>
    <row r="67" spans="1:8" ht="15.75" thickBot="1" x14ac:dyDescent="0.3">
      <c r="A67" s="829" t="str">
        <f t="shared" si="6"/>
        <v>2020 CDM Programs</v>
      </c>
      <c r="B67" s="841"/>
      <c r="C67" s="841"/>
      <c r="D67" s="841"/>
      <c r="E67" s="841"/>
      <c r="F67" s="841"/>
      <c r="G67" s="842">
        <f>F66</f>
        <v>1666666.6666666665</v>
      </c>
      <c r="H67" s="843">
        <f>SUM(B67:G67)</f>
        <v>1666666.6666666665</v>
      </c>
    </row>
    <row r="68" spans="1:8" ht="16.5" thickTop="1" thickBot="1" x14ac:dyDescent="0.3">
      <c r="A68" s="844" t="s">
        <v>55</v>
      </c>
      <c r="B68" s="845">
        <f>SUM(B62:B67)</f>
        <v>1666666.6666666665</v>
      </c>
      <c r="C68" s="845">
        <f t="shared" ref="C68:D68" si="7">SUM(C62:C67)</f>
        <v>3333333.333333333</v>
      </c>
      <c r="D68" s="845">
        <f t="shared" si="7"/>
        <v>1666666.6666666665</v>
      </c>
      <c r="E68" s="845">
        <f>SUM(E62:E65)</f>
        <v>1666666.6666666665</v>
      </c>
      <c r="F68" s="845">
        <f>SUM(F62:F66)</f>
        <v>1666666.6666666665</v>
      </c>
      <c r="G68" s="846">
        <f>SUM(G62:G67)</f>
        <v>1666666.6666666665</v>
      </c>
      <c r="H68" s="847">
        <f>A51</f>
        <v>10000000</v>
      </c>
    </row>
    <row r="69" spans="1:8" ht="12" customHeight="1" x14ac:dyDescent="0.25">
      <c r="A69" s="850"/>
      <c r="B69" s="851"/>
      <c r="C69" s="851"/>
      <c r="D69" s="851"/>
      <c r="E69" s="851"/>
      <c r="F69" s="851"/>
    </row>
    <row r="70" spans="1:8" ht="12" customHeight="1" x14ac:dyDescent="0.25">
      <c r="A70" s="850"/>
      <c r="B70" s="851"/>
      <c r="C70" s="851"/>
      <c r="D70" s="851"/>
      <c r="E70" s="851"/>
      <c r="F70" s="851"/>
    </row>
    <row r="71" spans="1:8" ht="18.75" x14ac:dyDescent="0.3">
      <c r="A71" s="1108" t="s">
        <v>431</v>
      </c>
      <c r="B71" s="1108"/>
      <c r="C71" s="1108"/>
      <c r="D71" s="1108"/>
      <c r="E71" s="1108"/>
      <c r="F71" s="1108"/>
      <c r="G71" s="1108"/>
      <c r="H71" s="1108"/>
    </row>
    <row r="72" spans="1:8" ht="12" customHeight="1" x14ac:dyDescent="0.25">
      <c r="A72" s="850"/>
      <c r="B72" s="851"/>
      <c r="C72" s="851"/>
      <c r="D72" s="851"/>
      <c r="E72" s="851"/>
      <c r="F72" s="851"/>
    </row>
    <row r="73" spans="1:8" ht="75" customHeight="1" x14ac:dyDescent="0.25">
      <c r="A73" s="1084" t="s">
        <v>207</v>
      </c>
      <c r="B73" s="1084"/>
      <c r="C73" s="1084"/>
      <c r="D73" s="1084"/>
      <c r="E73" s="1084"/>
      <c r="F73" s="1084"/>
      <c r="G73" s="1084"/>
      <c r="H73" s="1084"/>
    </row>
    <row r="74" spans="1:8" ht="12" customHeight="1" x14ac:dyDescent="0.25">
      <c r="A74" s="850"/>
      <c r="B74" s="851"/>
      <c r="C74" s="851"/>
      <c r="D74" s="851"/>
      <c r="E74" s="851"/>
      <c r="F74" s="851"/>
    </row>
    <row r="75" spans="1:8" ht="47.25" customHeight="1" x14ac:dyDescent="0.25">
      <c r="A75" s="1084" t="s">
        <v>432</v>
      </c>
      <c r="B75" s="1084"/>
      <c r="C75" s="1084"/>
      <c r="D75" s="1084"/>
      <c r="E75" s="1084"/>
      <c r="F75" s="1084"/>
      <c r="G75" s="1084"/>
      <c r="H75" s="1084"/>
    </row>
    <row r="76" spans="1:8" ht="12" customHeight="1" thickBot="1" x14ac:dyDescent="0.3">
      <c r="A76" s="866"/>
      <c r="B76" s="867"/>
      <c r="C76" s="867"/>
      <c r="D76" s="867"/>
      <c r="E76" s="867"/>
      <c r="F76" s="867"/>
    </row>
    <row r="77" spans="1:8" x14ac:dyDescent="0.25">
      <c r="A77" s="1087" t="s">
        <v>70</v>
      </c>
      <c r="B77" s="1088"/>
      <c r="C77" s="1088"/>
      <c r="D77" s="1088"/>
      <c r="E77" s="1088"/>
      <c r="F77" s="1089"/>
    </row>
    <row r="78" spans="1:8" ht="12" customHeight="1" x14ac:dyDescent="0.25">
      <c r="A78" s="868"/>
      <c r="B78" s="869"/>
      <c r="C78" s="869"/>
      <c r="D78" s="869"/>
      <c r="E78" s="869"/>
      <c r="F78" s="870"/>
    </row>
    <row r="79" spans="1:8" x14ac:dyDescent="0.25">
      <c r="A79" s="1090" t="s">
        <v>71</v>
      </c>
      <c r="B79" s="1091"/>
      <c r="C79" s="1091"/>
      <c r="D79" s="1091"/>
      <c r="E79" s="1091"/>
      <c r="F79" s="871" t="s">
        <v>72</v>
      </c>
    </row>
    <row r="80" spans="1:8" ht="12" customHeight="1" x14ac:dyDescent="0.25">
      <c r="A80" s="872"/>
      <c r="B80" s="873"/>
      <c r="C80" s="873"/>
      <c r="D80" s="873"/>
      <c r="E80" s="873"/>
      <c r="F80" s="874"/>
    </row>
    <row r="81" spans="1:8" ht="32.25" customHeight="1" x14ac:dyDescent="0.25">
      <c r="A81" s="875"/>
      <c r="B81" s="876"/>
      <c r="C81" s="869" t="s">
        <v>56</v>
      </c>
      <c r="D81" s="869" t="s">
        <v>57</v>
      </c>
      <c r="E81" s="869" t="s">
        <v>58</v>
      </c>
      <c r="F81" s="877" t="s">
        <v>73</v>
      </c>
    </row>
    <row r="82" spans="1:8" ht="15" customHeight="1" x14ac:dyDescent="0.25">
      <c r="A82" s="1092" t="s">
        <v>74</v>
      </c>
      <c r="B82" s="1093"/>
      <c r="C82" s="878" t="s">
        <v>36</v>
      </c>
      <c r="D82" s="878" t="s">
        <v>36</v>
      </c>
      <c r="E82" s="878" t="s">
        <v>36</v>
      </c>
      <c r="F82" s="879" t="s">
        <v>75</v>
      </c>
    </row>
    <row r="83" spans="1:8" x14ac:dyDescent="0.25">
      <c r="A83" s="880" t="s">
        <v>76</v>
      </c>
      <c r="B83" s="881"/>
      <c r="C83" s="882"/>
      <c r="D83" s="882"/>
      <c r="E83" s="883"/>
      <c r="F83" s="884"/>
    </row>
    <row r="84" spans="1:8" x14ac:dyDescent="0.25">
      <c r="A84" s="880" t="s">
        <v>77</v>
      </c>
      <c r="B84" s="881"/>
      <c r="C84" s="885"/>
      <c r="D84" s="885"/>
      <c r="E84" s="883"/>
      <c r="F84" s="884"/>
    </row>
    <row r="85" spans="1:8" x14ac:dyDescent="0.25">
      <c r="A85" s="880" t="s">
        <v>78</v>
      </c>
      <c r="B85" s="881"/>
      <c r="C85" s="882"/>
      <c r="D85" s="882"/>
      <c r="E85" s="883"/>
      <c r="F85" s="884"/>
    </row>
    <row r="86" spans="1:8" x14ac:dyDescent="0.25">
      <c r="A86" s="880" t="s">
        <v>209</v>
      </c>
      <c r="B86" s="881"/>
      <c r="C86" s="882"/>
      <c r="D86" s="882"/>
      <c r="E86" s="883"/>
      <c r="F86" s="884"/>
    </row>
    <row r="87" spans="1:8" ht="15.75" thickBot="1" x14ac:dyDescent="0.3">
      <c r="A87" s="886" t="s">
        <v>433</v>
      </c>
      <c r="B87" s="887"/>
      <c r="C87" s="888"/>
      <c r="D87" s="888"/>
      <c r="E87" s="883"/>
      <c r="F87" s="884"/>
    </row>
    <row r="88" spans="1:8" ht="29.25" customHeight="1" thickTop="1" thickBot="1" x14ac:dyDescent="0.3">
      <c r="A88" s="1094" t="s">
        <v>434</v>
      </c>
      <c r="B88" s="1095"/>
      <c r="C88" s="889">
        <f>SUM(C83:C87)</f>
        <v>0</v>
      </c>
      <c r="D88" s="889">
        <f>SUM(D83:D87)</f>
        <v>0</v>
      </c>
      <c r="E88" s="890">
        <f>C88-D88</f>
        <v>0</v>
      </c>
      <c r="F88" s="891">
        <f>IF(D88=0,0,IF(F79="net",0,E88/D88))</f>
        <v>0</v>
      </c>
    </row>
    <row r="89" spans="1:8" ht="13.5" customHeight="1" x14ac:dyDescent="0.25">
      <c r="A89" s="892"/>
      <c r="B89" s="892"/>
      <c r="C89" s="893"/>
      <c r="D89" s="893"/>
      <c r="E89" s="828"/>
      <c r="F89" s="894"/>
    </row>
    <row r="90" spans="1:8" ht="29.25" customHeight="1" x14ac:dyDescent="0.25">
      <c r="A90" s="1084" t="s">
        <v>79</v>
      </c>
      <c r="B90" s="1084"/>
      <c r="C90" s="1084"/>
      <c r="D90" s="1084"/>
      <c r="E90" s="1084"/>
      <c r="F90" s="1084"/>
      <c r="G90" s="1084"/>
      <c r="H90" s="1084"/>
    </row>
    <row r="91" spans="1:8" ht="12" customHeight="1" x14ac:dyDescent="0.25">
      <c r="A91" s="895"/>
      <c r="B91" s="895"/>
      <c r="C91" s="895"/>
      <c r="D91" s="895"/>
      <c r="E91" s="895"/>
      <c r="F91" s="895"/>
      <c r="G91" s="895"/>
      <c r="H91" s="895"/>
    </row>
    <row r="92" spans="1:8" ht="41.25" customHeight="1" x14ac:dyDescent="0.25">
      <c r="A92" s="1084" t="s">
        <v>435</v>
      </c>
      <c r="B92" s="1084"/>
      <c r="C92" s="1084"/>
      <c r="D92" s="1084"/>
      <c r="E92" s="1084"/>
      <c r="F92" s="1084"/>
      <c r="G92" s="1084"/>
      <c r="H92" s="1084"/>
    </row>
    <row r="93" spans="1:8" ht="12" customHeight="1" x14ac:dyDescent="0.25">
      <c r="A93" s="892"/>
      <c r="B93" s="896"/>
      <c r="C93" s="893"/>
      <c r="D93" s="893"/>
      <c r="E93" s="893"/>
      <c r="F93" s="894"/>
    </row>
    <row r="94" spans="1:8" ht="15.75" customHeight="1" thickBot="1" x14ac:dyDescent="0.3">
      <c r="A94" s="1085" t="s">
        <v>81</v>
      </c>
      <c r="B94" s="1085"/>
      <c r="C94" s="1085"/>
      <c r="D94" s="1085"/>
      <c r="E94" s="1085"/>
      <c r="F94" s="1085"/>
      <c r="G94" s="897"/>
    </row>
    <row r="95" spans="1:8" ht="16.5" customHeight="1" x14ac:dyDescent="0.25">
      <c r="A95" s="898"/>
      <c r="B95" s="899">
        <v>2011</v>
      </c>
      <c r="C95" s="899">
        <v>2012</v>
      </c>
      <c r="D95" s="899">
        <v>2013</v>
      </c>
      <c r="E95" s="899">
        <v>2014</v>
      </c>
      <c r="F95" s="900">
        <v>2015</v>
      </c>
      <c r="G95" s="900">
        <v>2016</v>
      </c>
      <c r="H95" s="901"/>
    </row>
    <row r="96" spans="1:8" ht="62.25" customHeight="1" x14ac:dyDescent="0.25">
      <c r="A96" s="902" t="s">
        <v>82</v>
      </c>
      <c r="B96" s="903">
        <v>0</v>
      </c>
      <c r="C96" s="903">
        <v>0</v>
      </c>
      <c r="D96" s="903">
        <v>0</v>
      </c>
      <c r="E96" s="903">
        <v>0</v>
      </c>
      <c r="F96" s="903">
        <v>1</v>
      </c>
      <c r="G96" s="903">
        <v>0.5</v>
      </c>
      <c r="H96" s="904" t="s">
        <v>213</v>
      </c>
    </row>
    <row r="97" spans="1:8" ht="288.75" customHeight="1" thickBot="1" x14ac:dyDescent="0.3">
      <c r="A97" s="905" t="s">
        <v>83</v>
      </c>
      <c r="B97" s="906" t="s">
        <v>214</v>
      </c>
      <c r="C97" s="906" t="s">
        <v>215</v>
      </c>
      <c r="D97" s="907" t="s">
        <v>436</v>
      </c>
      <c r="E97" s="907" t="s">
        <v>437</v>
      </c>
      <c r="F97" s="906" t="s">
        <v>438</v>
      </c>
      <c r="G97" s="906" t="s">
        <v>439</v>
      </c>
      <c r="H97" s="891"/>
    </row>
    <row r="98" spans="1:8" ht="12" customHeight="1" x14ac:dyDescent="0.25">
      <c r="A98" s="908"/>
      <c r="B98" s="909"/>
      <c r="C98" s="909"/>
      <c r="D98" s="909"/>
      <c r="E98" s="909"/>
      <c r="F98" s="909"/>
      <c r="G98" s="894"/>
    </row>
    <row r="99" spans="1:8" ht="19.5" customHeight="1" x14ac:dyDescent="0.25">
      <c r="A99" s="1086" t="s">
        <v>219</v>
      </c>
      <c r="B99" s="1086"/>
      <c r="C99" s="1086"/>
      <c r="D99" s="1086"/>
      <c r="E99" s="1086"/>
      <c r="F99" s="1086"/>
      <c r="G99" s="1086"/>
      <c r="H99" s="1086"/>
    </row>
    <row r="100" spans="1:8" ht="13.5" customHeight="1" x14ac:dyDescent="0.25">
      <c r="A100" s="910"/>
      <c r="B100" s="910"/>
      <c r="C100" s="910"/>
      <c r="D100" s="910"/>
      <c r="E100" s="910"/>
      <c r="F100" s="910"/>
      <c r="G100" s="910"/>
      <c r="H100" s="910"/>
    </row>
    <row r="101" spans="1:8" ht="75.75" customHeight="1" x14ac:dyDescent="0.25">
      <c r="A101" s="1082" t="s">
        <v>440</v>
      </c>
      <c r="B101" s="1082"/>
      <c r="C101" s="1082"/>
      <c r="D101" s="1082"/>
      <c r="E101" s="1082"/>
      <c r="F101" s="1082"/>
      <c r="G101" s="1082"/>
      <c r="H101" s="1082"/>
    </row>
    <row r="102" spans="1:8" ht="12" customHeight="1" x14ac:dyDescent="0.25">
      <c r="A102" s="892"/>
      <c r="B102" s="909"/>
      <c r="C102" s="909"/>
      <c r="D102" s="909"/>
      <c r="E102" s="909"/>
      <c r="F102" s="894"/>
    </row>
    <row r="103" spans="1:8" ht="57.75" customHeight="1" x14ac:dyDescent="0.25">
      <c r="A103" s="1082" t="s">
        <v>441</v>
      </c>
      <c r="B103" s="1082"/>
      <c r="C103" s="1082"/>
      <c r="D103" s="1082"/>
      <c r="E103" s="1082"/>
      <c r="F103" s="1082"/>
      <c r="G103" s="1082"/>
      <c r="H103" s="1082"/>
    </row>
    <row r="104" spans="1:8" ht="12" customHeight="1" x14ac:dyDescent="0.25">
      <c r="A104" s="810"/>
      <c r="B104" s="810"/>
      <c r="C104" s="810"/>
      <c r="D104" s="810"/>
      <c r="E104" s="810"/>
      <c r="F104" s="810"/>
    </row>
    <row r="105" spans="1:8" x14ac:dyDescent="0.25">
      <c r="A105" s="1081" t="s">
        <v>442</v>
      </c>
      <c r="B105" s="1081"/>
      <c r="C105" s="1081"/>
      <c r="D105" s="1081"/>
      <c r="E105" s="1081"/>
      <c r="F105" s="1081"/>
      <c r="G105" s="1081"/>
      <c r="H105" s="1081"/>
    </row>
    <row r="106" spans="1:8" x14ac:dyDescent="0.25">
      <c r="A106" s="810"/>
      <c r="B106" s="810"/>
      <c r="C106" s="810"/>
      <c r="D106" s="810"/>
      <c r="E106" s="810"/>
      <c r="F106" s="810"/>
    </row>
    <row r="107" spans="1:8" ht="29.25" customHeight="1" x14ac:dyDescent="0.25">
      <c r="A107" s="1082" t="s">
        <v>443</v>
      </c>
      <c r="B107" s="1082"/>
      <c r="C107" s="1082"/>
      <c r="D107" s="1082"/>
      <c r="E107" s="1082"/>
      <c r="F107" s="1082"/>
      <c r="G107" s="1082"/>
      <c r="H107" s="1082"/>
    </row>
    <row r="108" spans="1:8" ht="12" customHeight="1" x14ac:dyDescent="0.25">
      <c r="A108" s="810"/>
      <c r="B108" s="810"/>
      <c r="C108" s="810"/>
      <c r="D108" s="810"/>
      <c r="E108" s="810"/>
      <c r="F108" s="810"/>
    </row>
    <row r="109" spans="1:8" ht="46.5" customHeight="1" x14ac:dyDescent="0.25">
      <c r="A109" s="1082" t="s">
        <v>444</v>
      </c>
      <c r="B109" s="1082"/>
      <c r="C109" s="1082"/>
      <c r="D109" s="1082"/>
      <c r="E109" s="1082"/>
      <c r="F109" s="1082"/>
      <c r="G109" s="1082"/>
      <c r="H109" s="1082"/>
    </row>
    <row r="110" spans="1:8" ht="12" customHeight="1" x14ac:dyDescent="0.25">
      <c r="A110" s="810"/>
      <c r="B110" s="810"/>
      <c r="C110" s="810"/>
      <c r="D110" s="810"/>
      <c r="E110" s="810"/>
      <c r="F110" s="810"/>
    </row>
    <row r="111" spans="1:8" ht="30" customHeight="1" x14ac:dyDescent="0.25">
      <c r="A111" s="1082" t="s">
        <v>220</v>
      </c>
      <c r="B111" s="1082"/>
      <c r="C111" s="1082"/>
      <c r="D111" s="1082"/>
      <c r="E111" s="1082"/>
      <c r="F111" s="1082"/>
      <c r="G111" s="1082"/>
      <c r="H111" s="1082"/>
    </row>
    <row r="112" spans="1:8" ht="13.5" customHeight="1" thickBot="1" x14ac:dyDescent="0.3">
      <c r="A112" s="892"/>
      <c r="B112" s="896"/>
      <c r="C112" s="893"/>
      <c r="D112" s="893"/>
      <c r="E112" s="893"/>
      <c r="F112" s="894"/>
    </row>
    <row r="113" spans="1:15" x14ac:dyDescent="0.25">
      <c r="A113" s="911"/>
      <c r="B113" s="912">
        <v>2011</v>
      </c>
      <c r="C113" s="912">
        <v>2012</v>
      </c>
      <c r="D113" s="912">
        <v>2013</v>
      </c>
      <c r="E113" s="912">
        <v>2014</v>
      </c>
      <c r="F113" s="912">
        <v>2015</v>
      </c>
      <c r="G113" s="913">
        <v>2016</v>
      </c>
      <c r="H113" s="914" t="s">
        <v>445</v>
      </c>
    </row>
    <row r="114" spans="1:15" x14ac:dyDescent="0.25">
      <c r="A114" s="915"/>
      <c r="B114" s="916" t="s">
        <v>36</v>
      </c>
      <c r="C114" s="917"/>
      <c r="D114" s="917"/>
      <c r="E114" s="917"/>
      <c r="F114" s="917"/>
      <c r="G114" s="917"/>
      <c r="H114" s="918"/>
    </row>
    <row r="115" spans="1:15" ht="30" x14ac:dyDescent="0.25">
      <c r="A115" s="919" t="s">
        <v>84</v>
      </c>
      <c r="B115" s="920">
        <f>E35</f>
        <v>701000</v>
      </c>
      <c r="C115" s="920">
        <f>E36</f>
        <v>771000</v>
      </c>
      <c r="D115" s="920">
        <f>E37</f>
        <v>728000</v>
      </c>
      <c r="E115" s="920">
        <f>E38</f>
        <v>1772000</v>
      </c>
      <c r="F115" s="920"/>
      <c r="G115" s="921"/>
      <c r="H115" s="922"/>
    </row>
    <row r="116" spans="1:15" ht="12" customHeight="1" x14ac:dyDescent="0.25">
      <c r="A116" s="919"/>
      <c r="B116" s="920"/>
      <c r="C116" s="920"/>
      <c r="D116" s="920"/>
      <c r="E116" s="920"/>
      <c r="F116" s="920"/>
      <c r="G116" s="923"/>
      <c r="H116" s="922"/>
    </row>
    <row r="117" spans="1:15" ht="63" customHeight="1" x14ac:dyDescent="0.25">
      <c r="A117" s="924" t="s">
        <v>446</v>
      </c>
      <c r="B117" s="925">
        <v>0</v>
      </c>
      <c r="C117" s="926">
        <f>B117</f>
        <v>0</v>
      </c>
      <c r="D117" s="927">
        <f>B117</f>
        <v>0</v>
      </c>
      <c r="E117" s="927">
        <f>B117</f>
        <v>0</v>
      </c>
      <c r="F117" s="927"/>
      <c r="G117" s="928"/>
      <c r="H117" s="929"/>
    </row>
    <row r="118" spans="1:15" ht="12" customHeight="1" x14ac:dyDescent="0.25">
      <c r="A118" s="930"/>
      <c r="B118" s="931"/>
      <c r="C118" s="931"/>
      <c r="D118" s="931"/>
      <c r="E118" s="931"/>
      <c r="F118" s="931"/>
      <c r="G118" s="931"/>
      <c r="H118" s="932"/>
    </row>
    <row r="119" spans="1:15" ht="30.75" thickBot="1" x14ac:dyDescent="0.3">
      <c r="A119" s="933" t="s">
        <v>447</v>
      </c>
      <c r="B119" s="934"/>
      <c r="C119" s="935"/>
      <c r="D119" s="935"/>
      <c r="E119" s="935">
        <f>H38</f>
        <v>1559360</v>
      </c>
      <c r="F119" s="935">
        <f>C62</f>
        <v>1666666.6666666665</v>
      </c>
      <c r="G119" s="921">
        <f>C63</f>
        <v>1666666.6666666665</v>
      </c>
      <c r="H119" s="936">
        <f>SUM(B119:G119)</f>
        <v>4892693.333333333</v>
      </c>
    </row>
    <row r="120" spans="1:15" ht="12" customHeight="1" thickTop="1" thickBot="1" x14ac:dyDescent="0.3">
      <c r="A120" s="937"/>
      <c r="B120" s="938"/>
      <c r="C120" s="939"/>
      <c r="D120" s="939"/>
      <c r="E120" s="939"/>
      <c r="F120" s="938"/>
      <c r="G120" s="938"/>
      <c r="H120" s="940"/>
    </row>
    <row r="121" spans="1:15" ht="30.75" thickTop="1" x14ac:dyDescent="0.25">
      <c r="A121" s="924" t="s">
        <v>448</v>
      </c>
      <c r="B121" s="941">
        <f>B115*(1+F88)*B96</f>
        <v>0</v>
      </c>
      <c r="C121" s="942">
        <f>C115*(1+F88)*C96</f>
        <v>0</v>
      </c>
      <c r="D121" s="942">
        <f>D115*(1+F88)*D96</f>
        <v>0</v>
      </c>
      <c r="E121" s="942">
        <f>E115*(1+F88)*E96</f>
        <v>0</v>
      </c>
      <c r="F121" s="942">
        <f>F119*(1+F88)*F96</f>
        <v>1666666.6666666665</v>
      </c>
      <c r="G121" s="943">
        <f>G119*(1+F88)*G96</f>
        <v>833333.33333333326</v>
      </c>
      <c r="H121" s="944">
        <f>SUM(B121:G121)</f>
        <v>2500000</v>
      </c>
    </row>
    <row r="122" spans="1:15" ht="12" customHeight="1" x14ac:dyDescent="0.25">
      <c r="A122" s="930"/>
      <c r="B122" s="945"/>
      <c r="C122" s="945"/>
      <c r="D122" s="945"/>
      <c r="E122" s="945"/>
      <c r="F122" s="946"/>
      <c r="G122" s="945"/>
      <c r="H122" s="947"/>
    </row>
    <row r="123" spans="1:15" x14ac:dyDescent="0.25">
      <c r="A123" s="919" t="s">
        <v>449</v>
      </c>
      <c r="B123" s="948">
        <v>4.5699999999999998E-2</v>
      </c>
      <c r="C123" s="949" t="s">
        <v>450</v>
      </c>
      <c r="D123" s="950"/>
      <c r="E123" s="949"/>
      <c r="F123" s="949"/>
      <c r="G123" s="951"/>
      <c r="H123" s="952"/>
    </row>
    <row r="124" spans="1:15" ht="45.75" thickBot="1" x14ac:dyDescent="0.3">
      <c r="A124" s="953" t="s">
        <v>451</v>
      </c>
      <c r="B124" s="954">
        <f>B121*(1+$B123)</f>
        <v>0</v>
      </c>
      <c r="C124" s="954">
        <f t="shared" ref="C124:G124" si="8">C121*(1+$B123)</f>
        <v>0</v>
      </c>
      <c r="D124" s="954">
        <f t="shared" si="8"/>
        <v>0</v>
      </c>
      <c r="E124" s="954">
        <f t="shared" si="8"/>
        <v>0</v>
      </c>
      <c r="F124" s="954">
        <f t="shared" si="8"/>
        <v>1742833.3333333333</v>
      </c>
      <c r="G124" s="955">
        <f t="shared" si="8"/>
        <v>871416.66666666663</v>
      </c>
      <c r="H124" s="956">
        <f>SUM(B124:G124)</f>
        <v>2614250</v>
      </c>
      <c r="I124" s="823"/>
      <c r="J124" s="897"/>
      <c r="O124" s="897"/>
    </row>
    <row r="125" spans="1:15" ht="12" customHeight="1" x14ac:dyDescent="0.25">
      <c r="A125" s="957"/>
      <c r="B125" s="949"/>
      <c r="C125" s="949"/>
      <c r="D125" s="949"/>
      <c r="E125" s="949"/>
      <c r="F125" s="949"/>
      <c r="G125" s="949"/>
      <c r="H125" s="949"/>
    </row>
    <row r="126" spans="1:15" ht="31.5" customHeight="1" x14ac:dyDescent="0.25">
      <c r="A126" s="1083" t="s">
        <v>452</v>
      </c>
      <c r="B126" s="1083"/>
      <c r="C126" s="1083"/>
      <c r="D126" s="1083"/>
      <c r="E126" s="1083"/>
      <c r="F126" s="1083"/>
      <c r="G126" s="1083"/>
      <c r="H126" s="1083"/>
    </row>
    <row r="127" spans="1:15" x14ac:dyDescent="0.25">
      <c r="A127" s="810"/>
      <c r="B127" s="810"/>
      <c r="C127" s="810"/>
      <c r="D127" s="810"/>
      <c r="E127" s="810"/>
      <c r="F127" s="810"/>
    </row>
    <row r="128" spans="1:15" x14ac:dyDescent="0.25">
      <c r="A128" s="958"/>
      <c r="B128" s="810"/>
      <c r="C128" s="810"/>
      <c r="D128" s="810"/>
      <c r="E128" s="810"/>
      <c r="F128" s="810"/>
    </row>
    <row r="129" spans="1:6" x14ac:dyDescent="0.25">
      <c r="A129" s="810"/>
      <c r="B129" s="810"/>
      <c r="C129" s="810"/>
      <c r="D129" s="810"/>
      <c r="E129" s="810"/>
      <c r="F129" s="810"/>
    </row>
    <row r="130" spans="1:6" x14ac:dyDescent="0.25">
      <c r="A130" s="810"/>
      <c r="B130" s="810"/>
      <c r="C130" s="810"/>
      <c r="D130" s="810"/>
      <c r="E130" s="810"/>
      <c r="F130" s="810"/>
    </row>
    <row r="131" spans="1:6" x14ac:dyDescent="0.25">
      <c r="A131" s="810"/>
      <c r="B131" s="810"/>
      <c r="C131" s="810"/>
      <c r="D131" s="810"/>
      <c r="E131" s="810"/>
      <c r="F131" s="810"/>
    </row>
    <row r="132" spans="1:6" x14ac:dyDescent="0.25">
      <c r="A132" s="810"/>
      <c r="B132" s="810"/>
      <c r="C132" s="810"/>
      <c r="D132" s="810"/>
      <c r="E132" s="810"/>
      <c r="F132" s="810"/>
    </row>
    <row r="133" spans="1:6" x14ac:dyDescent="0.25">
      <c r="A133" s="810"/>
      <c r="B133" s="810"/>
      <c r="C133" s="810"/>
      <c r="D133" s="810"/>
      <c r="E133" s="810"/>
      <c r="F133" s="810"/>
    </row>
    <row r="134" spans="1:6" x14ac:dyDescent="0.25">
      <c r="A134" s="810"/>
      <c r="B134" s="810"/>
      <c r="C134" s="810"/>
      <c r="D134" s="810"/>
      <c r="E134" s="810"/>
      <c r="F134" s="810"/>
    </row>
    <row r="135" spans="1:6" x14ac:dyDescent="0.25">
      <c r="A135" s="810"/>
      <c r="B135" s="810"/>
      <c r="C135" s="810"/>
      <c r="D135" s="810"/>
      <c r="E135" s="810"/>
      <c r="F135" s="810"/>
    </row>
    <row r="136" spans="1:6" x14ac:dyDescent="0.25">
      <c r="A136" s="810"/>
      <c r="B136" s="810"/>
      <c r="C136" s="810"/>
      <c r="D136" s="810"/>
      <c r="E136" s="810"/>
      <c r="F136" s="810"/>
    </row>
    <row r="137" spans="1:6" x14ac:dyDescent="0.25">
      <c r="A137" s="810"/>
      <c r="B137" s="810"/>
      <c r="C137" s="810"/>
      <c r="D137" s="810"/>
      <c r="E137" s="810"/>
      <c r="F137" s="810"/>
    </row>
    <row r="138" spans="1:6" x14ac:dyDescent="0.25">
      <c r="A138" s="810"/>
      <c r="B138" s="810"/>
      <c r="C138" s="810"/>
      <c r="D138" s="810"/>
      <c r="E138" s="810"/>
      <c r="F138" s="810"/>
    </row>
    <row r="139" spans="1:6" x14ac:dyDescent="0.25">
      <c r="A139" s="810"/>
      <c r="B139" s="810"/>
      <c r="C139" s="810"/>
      <c r="D139" s="810"/>
      <c r="E139" s="810"/>
      <c r="F139" s="810"/>
    </row>
    <row r="140" spans="1:6" x14ac:dyDescent="0.25">
      <c r="A140" s="810"/>
      <c r="B140" s="810"/>
      <c r="C140" s="810"/>
      <c r="D140" s="810"/>
      <c r="E140" s="810"/>
      <c r="F140" s="810"/>
    </row>
  </sheetData>
  <mergeCells count="41">
    <mergeCell ref="A23:H23"/>
    <mergeCell ref="A2:H2"/>
    <mergeCell ref="A3:H3"/>
    <mergeCell ref="A5:H5"/>
    <mergeCell ref="A7:H7"/>
    <mergeCell ref="A9:H9"/>
    <mergeCell ref="A11:H11"/>
    <mergeCell ref="A13:H13"/>
    <mergeCell ref="A15:H15"/>
    <mergeCell ref="A17:H17"/>
    <mergeCell ref="A19:H19"/>
    <mergeCell ref="A21:H21"/>
    <mergeCell ref="A71:H71"/>
    <mergeCell ref="A24:H24"/>
    <mergeCell ref="A26:F26"/>
    <mergeCell ref="G26:H27"/>
    <mergeCell ref="A27:F27"/>
    <mergeCell ref="A34:F34"/>
    <mergeCell ref="A46:F46"/>
    <mergeCell ref="A48:H48"/>
    <mergeCell ref="A50:H50"/>
    <mergeCell ref="A51:H51"/>
    <mergeCell ref="A53:H53"/>
    <mergeCell ref="A61:H61"/>
    <mergeCell ref="A103:H103"/>
    <mergeCell ref="A73:H73"/>
    <mergeCell ref="A75:H75"/>
    <mergeCell ref="A77:F77"/>
    <mergeCell ref="A79:E79"/>
    <mergeCell ref="A82:B82"/>
    <mergeCell ref="A88:B88"/>
    <mergeCell ref="A90:H90"/>
    <mergeCell ref="A92:H92"/>
    <mergeCell ref="A94:F94"/>
    <mergeCell ref="A99:H99"/>
    <mergeCell ref="A101:H101"/>
    <mergeCell ref="A105:H105"/>
    <mergeCell ref="A107:H107"/>
    <mergeCell ref="A109:H109"/>
    <mergeCell ref="A111:H111"/>
    <mergeCell ref="A126:H126"/>
  </mergeCells>
  <conditionalFormatting sqref="F39">
    <cfRule type="expression" dxfId="0" priority="1">
      <formula>$F$39&lt;$A$27</formula>
    </cfRule>
  </conditionalFormatting>
  <dataValidations count="2">
    <dataValidation type="list" allowBlank="1" showInputMessage="1" showErrorMessage="1" sqref="B96:G96">
      <formula1>"0, 0.5, 1"</formula1>
    </dataValidation>
    <dataValidation type="list" allowBlank="1" showInputMessage="1" showErrorMessage="1" sqref="F79">
      <formula1>"net,gross"</formula1>
    </dataValidation>
  </dataValidations>
  <pageMargins left="0.7" right="0.7" top="0.75" bottom="0.75" header="0.3" footer="0.3"/>
  <pageSetup paperSize="9" scale="55" fitToHeight="0" orientation="portrait" horizontalDpi="4294967292" verticalDpi="0" r:id="rId1"/>
  <rowBreaks count="1" manualBreakCount="1">
    <brk id="92" max="16383"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3"/>
  <sheetViews>
    <sheetView showGridLines="0" topLeftCell="A17" workbookViewId="0">
      <selection activeCell="K20" sqref="K20"/>
    </sheetView>
  </sheetViews>
  <sheetFormatPr defaultRowHeight="12.75" x14ac:dyDescent="0.2"/>
  <cols>
    <col min="1" max="1" width="13.6640625" customWidth="1"/>
    <col min="2" max="2" width="54.83203125" bestFit="1" customWidth="1"/>
    <col min="4" max="4" width="5.6640625" bestFit="1" customWidth="1"/>
    <col min="5" max="9" width="17.6640625" bestFit="1" customWidth="1"/>
    <col min="10" max="10" width="5.5" customWidth="1"/>
    <col min="11" max="15" width="17.33203125" customWidth="1"/>
  </cols>
  <sheetData>
    <row r="1" spans="1:2" x14ac:dyDescent="0.2">
      <c r="A1" s="758" t="s">
        <v>272</v>
      </c>
    </row>
    <row r="11" spans="1:2" ht="23.25" x14ac:dyDescent="0.2">
      <c r="B11" s="133" t="s">
        <v>225</v>
      </c>
    </row>
    <row r="12" spans="1:2" ht="15" x14ac:dyDescent="0.2">
      <c r="B12" s="63" t="s">
        <v>64</v>
      </c>
    </row>
    <row r="13" spans="1:2" ht="14.25" x14ac:dyDescent="0.2">
      <c r="B13" s="100" t="s">
        <v>263</v>
      </c>
    </row>
    <row r="14" spans="1:2" ht="14.25" x14ac:dyDescent="0.2">
      <c r="B14" s="100" t="s">
        <v>264</v>
      </c>
    </row>
    <row r="15" spans="1:2" ht="14.25" x14ac:dyDescent="0.2">
      <c r="B15" s="100" t="s">
        <v>265</v>
      </c>
    </row>
    <row r="17" spans="2:15" x14ac:dyDescent="0.2">
      <c r="B17" s="128" t="s">
        <v>228</v>
      </c>
      <c r="C17" s="128"/>
      <c r="D17" s="102"/>
      <c r="E17" s="102"/>
      <c r="F17" s="102"/>
      <c r="G17" s="102"/>
      <c r="H17" s="102"/>
      <c r="I17" s="102"/>
      <c r="J17" s="102"/>
      <c r="K17" s="102"/>
      <c r="L17" s="102"/>
      <c r="M17" s="102"/>
    </row>
    <row r="18" spans="2:15" ht="13.5" thickBot="1" x14ac:dyDescent="0.25">
      <c r="B18" s="102"/>
      <c r="C18" s="102"/>
      <c r="D18" s="102"/>
      <c r="E18" s="102"/>
      <c r="F18" s="102"/>
      <c r="G18" s="102"/>
      <c r="H18" s="102"/>
      <c r="I18" s="102"/>
      <c r="J18" s="102"/>
      <c r="K18" s="102"/>
      <c r="L18" s="102"/>
      <c r="M18" s="102"/>
    </row>
    <row r="19" spans="2:15" ht="27.75" customHeight="1" thickBot="1" x14ac:dyDescent="0.25">
      <c r="B19" s="111" t="s">
        <v>36</v>
      </c>
      <c r="C19" s="228"/>
      <c r="D19" s="112" t="s">
        <v>33</v>
      </c>
      <c r="E19" s="210">
        <f>'1. LDC Info'!$F$25-3</f>
        <v>2012</v>
      </c>
      <c r="F19" s="210">
        <f>'1. LDC Info'!$F$25-2</f>
        <v>2013</v>
      </c>
      <c r="G19" s="213">
        <f>'1. LDC Info'!$F$25-1</f>
        <v>2014</v>
      </c>
      <c r="H19" s="211" t="str">
        <f>'1. LDC Info'!F25</f>
        <v>2015</v>
      </c>
      <c r="I19" s="212" t="str">
        <f>'1. LDC Info'!F27</f>
        <v>2016</v>
      </c>
      <c r="J19" s="102"/>
      <c r="K19" s="440" t="s">
        <v>60</v>
      </c>
      <c r="L19" s="441" t="s">
        <v>61</v>
      </c>
      <c r="M19" s="442" t="s">
        <v>229</v>
      </c>
      <c r="N19" s="445" t="s">
        <v>231</v>
      </c>
      <c r="O19" s="446" t="s">
        <v>232</v>
      </c>
    </row>
    <row r="20" spans="2:15" x14ac:dyDescent="0.2">
      <c r="B20" s="428" t="str">
        <f>+'9. Weather Adj LF'!C16</f>
        <v>Residential</v>
      </c>
      <c r="C20" s="429"/>
      <c r="D20" s="430" t="s">
        <v>36</v>
      </c>
      <c r="E20" s="463">
        <f>+'9. Weather Adj LF'!L17</f>
        <v>78553743.920000002</v>
      </c>
      <c r="F20" s="463">
        <f>+'9. Weather Adj LF'!M17</f>
        <v>80138213.859999999</v>
      </c>
      <c r="G20" s="463">
        <f>+'9. Weather Adj LF'!N17</f>
        <v>79483998.230000004</v>
      </c>
      <c r="H20" s="463">
        <f>+'9. Weather Adj LF'!O17</f>
        <v>78438793.189758629</v>
      </c>
      <c r="I20" s="464">
        <f>+'9. Weather Adj LF'!P17</f>
        <v>78290331.733385131</v>
      </c>
      <c r="J20" s="102"/>
      <c r="K20" s="448">
        <f>I20/$I$34</f>
        <v>0.41798596562883145</v>
      </c>
      <c r="L20" s="449">
        <f>K20*$L$34</f>
        <v>1044964.9140720787</v>
      </c>
      <c r="M20" s="450">
        <f>I20-L20</f>
        <v>77245366.819313049</v>
      </c>
      <c r="N20" s="457"/>
      <c r="O20" s="451">
        <f>+M20-N20</f>
        <v>77245366.819313049</v>
      </c>
    </row>
    <row r="21" spans="2:15" x14ac:dyDescent="0.2">
      <c r="B21" s="114"/>
      <c r="C21" s="230"/>
      <c r="D21" s="129"/>
      <c r="E21" s="390"/>
      <c r="F21" s="390"/>
      <c r="G21" s="390"/>
      <c r="H21" s="390"/>
      <c r="I21" s="391"/>
      <c r="J21" s="102"/>
      <c r="K21" s="116"/>
      <c r="L21" s="437"/>
      <c r="M21" s="443"/>
      <c r="N21" s="458"/>
      <c r="O21" s="242"/>
    </row>
    <row r="22" spans="2:15" x14ac:dyDescent="0.2">
      <c r="B22" s="425" t="str">
        <f>+'9. Weather Adj LF'!C20</f>
        <v>General Service &lt; 50 kW</v>
      </c>
      <c r="C22" s="230"/>
      <c r="D22" s="129" t="s">
        <v>36</v>
      </c>
      <c r="E22" s="390">
        <f>+'9. Weather Adj LF'!L21</f>
        <v>31948521.120000001</v>
      </c>
      <c r="F22" s="390">
        <f>+'9. Weather Adj LF'!M21</f>
        <v>31708039.23</v>
      </c>
      <c r="G22" s="390">
        <f>+'9. Weather Adj LF'!N21</f>
        <v>31649726.120000001</v>
      </c>
      <c r="H22" s="390">
        <f>+'9. Weather Adj LF'!O21</f>
        <v>34953791.572912797</v>
      </c>
      <c r="I22" s="391">
        <f>+'9. Weather Adj LF'!P21</f>
        <v>34887634.374520719</v>
      </c>
      <c r="J22" s="102"/>
      <c r="K22" s="117">
        <f>I22/$I$34</f>
        <v>0.18626235474643241</v>
      </c>
      <c r="L22" s="438">
        <f>K22*$L$34</f>
        <v>465655.88686608104</v>
      </c>
      <c r="M22" s="443">
        <f>I22-L22</f>
        <v>34421978.487654641</v>
      </c>
      <c r="N22" s="458"/>
      <c r="O22" s="452">
        <f>+M22-N22</f>
        <v>34421978.487654641</v>
      </c>
    </row>
    <row r="23" spans="2:15" x14ac:dyDescent="0.2">
      <c r="B23" s="114"/>
      <c r="C23" s="230"/>
      <c r="D23" s="129"/>
      <c r="E23" s="390"/>
      <c r="F23" s="390"/>
      <c r="G23" s="390"/>
      <c r="H23" s="390"/>
      <c r="I23" s="391"/>
      <c r="J23" s="102"/>
      <c r="K23" s="117"/>
      <c r="L23" s="437"/>
      <c r="M23" s="443"/>
      <c r="N23" s="458"/>
      <c r="O23" s="242"/>
    </row>
    <row r="24" spans="2:15" x14ac:dyDescent="0.2">
      <c r="B24" s="425" t="str">
        <f>+'9. Weather Adj LF'!C24</f>
        <v>Unmetered Scattered Load</v>
      </c>
      <c r="C24" s="230"/>
      <c r="D24" s="129" t="s">
        <v>36</v>
      </c>
      <c r="E24" s="390">
        <f>+'9. Weather Adj LF'!L25</f>
        <v>448159.09</v>
      </c>
      <c r="F24" s="390">
        <f>+'9. Weather Adj LF'!M25</f>
        <v>453470.7</v>
      </c>
      <c r="G24" s="390">
        <f>+'9. Weather Adj LF'!N25</f>
        <v>454406.25</v>
      </c>
      <c r="H24" s="390">
        <f>+'9. Weather Adj LF'!O25</f>
        <v>453036.20715519035</v>
      </c>
      <c r="I24" s="391">
        <f>+'9. Weather Adj LF'!P25</f>
        <v>452178.74348996708</v>
      </c>
      <c r="J24" s="102"/>
      <c r="K24" s="117">
        <f>I24/$I$34</f>
        <v>2.414146990437249E-3</v>
      </c>
      <c r="L24" s="438">
        <f>K24*$L$34</f>
        <v>6035.3674760931226</v>
      </c>
      <c r="M24" s="443">
        <f>I24-L24</f>
        <v>446143.37601387396</v>
      </c>
      <c r="N24" s="458"/>
      <c r="O24" s="452">
        <f>+M24-N24</f>
        <v>446143.37601387396</v>
      </c>
    </row>
    <row r="25" spans="2:15" x14ac:dyDescent="0.2">
      <c r="B25" s="114"/>
      <c r="C25" s="230"/>
      <c r="D25" s="129"/>
      <c r="E25" s="390"/>
      <c r="F25" s="390"/>
      <c r="G25" s="390"/>
      <c r="H25" s="390"/>
      <c r="I25" s="391"/>
      <c r="J25" s="102"/>
      <c r="K25" s="117"/>
      <c r="L25" s="438"/>
      <c r="M25" s="443"/>
      <c r="N25" s="458"/>
      <c r="O25" s="242"/>
    </row>
    <row r="26" spans="2:15" x14ac:dyDescent="0.2">
      <c r="B26" s="425" t="str">
        <f>+'9. Weather Adj LF'!C28</f>
        <v>General Service &gt; 50 kW - 4999 kW</v>
      </c>
      <c r="C26" s="230"/>
      <c r="D26" s="129" t="s">
        <v>36</v>
      </c>
      <c r="E26" s="390">
        <f>+'9. Weather Adj LF'!L29</f>
        <v>74516293.329999998</v>
      </c>
      <c r="F26" s="390">
        <f>+'9. Weather Adj LF'!M29</f>
        <v>73596923.409999996</v>
      </c>
      <c r="G26" s="390">
        <f>+'9. Weather Adj LF'!N29</f>
        <v>72512848.979999989</v>
      </c>
      <c r="H26" s="390">
        <f>+'9. Weather Adj LF'!O29</f>
        <v>72294221.463539079</v>
      </c>
      <c r="I26" s="391">
        <f>+'9. Weather Adj LF'!P29</f>
        <v>72157389.865685463</v>
      </c>
      <c r="J26" s="102"/>
      <c r="K26" s="117">
        <f>I26/$I$34</f>
        <v>0.38524266805990831</v>
      </c>
      <c r="L26" s="438">
        <f>K26*$L$34</f>
        <v>963106.6701497708</v>
      </c>
      <c r="M26" s="443">
        <f>I26-L26</f>
        <v>71194283.19553569</v>
      </c>
      <c r="N26" s="458"/>
      <c r="O26" s="452">
        <f>+M26+N26</f>
        <v>71194283.19553569</v>
      </c>
    </row>
    <row r="27" spans="2:15" x14ac:dyDescent="0.2">
      <c r="B27" s="114"/>
      <c r="C27" s="230"/>
      <c r="D27" s="129"/>
      <c r="E27" s="390"/>
      <c r="F27" s="390"/>
      <c r="G27" s="390"/>
      <c r="H27" s="390"/>
      <c r="I27" s="391"/>
      <c r="J27" s="102"/>
      <c r="K27" s="117"/>
      <c r="L27" s="438"/>
      <c r="M27" s="443"/>
      <c r="N27" s="458"/>
      <c r="O27" s="242"/>
    </row>
    <row r="28" spans="2:15" x14ac:dyDescent="0.2">
      <c r="B28" s="425" t="str">
        <f>+'9. Weather Adj LF'!C32</f>
        <v>Streetlighting</v>
      </c>
      <c r="C28" s="230"/>
      <c r="D28" s="129" t="s">
        <v>36</v>
      </c>
      <c r="E28" s="390">
        <f>+'9. Weather Adj LF'!L33</f>
        <v>2432689.94</v>
      </c>
      <c r="F28" s="390">
        <f>+'9. Weather Adj LF'!M33</f>
        <v>2424248.81</v>
      </c>
      <c r="G28" s="390">
        <f>+'9. Weather Adj LF'!N33</f>
        <v>2439791.5699999998</v>
      </c>
      <c r="H28" s="390">
        <f>+'9. Weather Adj LF'!O33</f>
        <v>2432435.555457274</v>
      </c>
      <c r="I28" s="391">
        <f>+'9. Weather Adj LF'!P33</f>
        <v>1271831.6737501165</v>
      </c>
      <c r="J28" s="102"/>
      <c r="K28" s="117">
        <f>I28/$I$34</f>
        <v>6.7902099595151325E-3</v>
      </c>
      <c r="L28" s="438">
        <f>K28*$L$34</f>
        <v>16975.524898787829</v>
      </c>
      <c r="M28" s="443">
        <f>I28-L28</f>
        <v>1254856.1488513288</v>
      </c>
      <c r="N28" s="458"/>
      <c r="O28" s="452">
        <f>+M28-N28</f>
        <v>1254856.1488513288</v>
      </c>
    </row>
    <row r="29" spans="2:15" x14ac:dyDescent="0.2">
      <c r="B29" s="114"/>
      <c r="C29" s="230"/>
      <c r="D29" s="129"/>
      <c r="E29" s="390"/>
      <c r="F29" s="390"/>
      <c r="G29" s="390"/>
      <c r="H29" s="390"/>
      <c r="I29" s="391"/>
      <c r="J29" s="102"/>
      <c r="K29" s="117"/>
      <c r="L29" s="437"/>
      <c r="M29" s="443"/>
      <c r="N29" s="458"/>
      <c r="O29" s="242"/>
    </row>
    <row r="30" spans="2:15" x14ac:dyDescent="0.2">
      <c r="B30" s="425" t="str">
        <f>'9. Weather Adj LF'!C36</f>
        <v>Sentinel Lighting</v>
      </c>
      <c r="C30" s="231"/>
      <c r="D30" s="129" t="s">
        <v>36</v>
      </c>
      <c r="E30" s="390">
        <f>+'9. Weather Adj LF'!L37</f>
        <v>243747.31</v>
      </c>
      <c r="F30" s="390">
        <f>+'9. Weather Adj LF'!M37</f>
        <v>270899.02</v>
      </c>
      <c r="G30" s="390">
        <f>+'9. Weather Adj LF'!N37</f>
        <v>245570.47</v>
      </c>
      <c r="H30" s="390">
        <f>+'9. Weather Adj LF'!O37</f>
        <v>244830.07070901303</v>
      </c>
      <c r="I30" s="391">
        <f>+'9. Weather Adj LF'!P37</f>
        <v>244366.67973391793</v>
      </c>
      <c r="J30" s="102"/>
      <c r="K30" s="117">
        <f>I30/$I$34</f>
        <v>1.3046546148754792E-3</v>
      </c>
      <c r="L30" s="438">
        <f>K30*$L$34</f>
        <v>3261.6365371886982</v>
      </c>
      <c r="M30" s="443">
        <f>I30-L30</f>
        <v>241105.04319672924</v>
      </c>
      <c r="N30" s="458"/>
      <c r="O30" s="452">
        <f>+M30-N30</f>
        <v>241105.04319672924</v>
      </c>
    </row>
    <row r="31" spans="2:15" x14ac:dyDescent="0.2">
      <c r="B31" s="118"/>
      <c r="C31" s="232"/>
      <c r="D31" s="207"/>
      <c r="E31" s="393"/>
      <c r="F31" s="393"/>
      <c r="G31" s="393"/>
      <c r="H31" s="393"/>
      <c r="I31" s="431"/>
      <c r="J31" s="102"/>
      <c r="K31" s="117"/>
      <c r="L31" s="437"/>
      <c r="M31" s="443"/>
      <c r="N31" s="458"/>
      <c r="O31" s="242"/>
    </row>
    <row r="32" spans="2:15" x14ac:dyDescent="0.2">
      <c r="B32" s="426">
        <f>+'9. Weather Adj LF'!C40</f>
        <v>0</v>
      </c>
      <c r="C32" s="232"/>
      <c r="D32" s="129" t="s">
        <v>36</v>
      </c>
      <c r="E32" s="393">
        <f>+'9. Weather Adj LF'!L41</f>
        <v>0</v>
      </c>
      <c r="F32" s="393">
        <f>+'9. Weather Adj LF'!M41</f>
        <v>0</v>
      </c>
      <c r="G32" s="393">
        <f>+'9. Weather Adj LF'!N41</f>
        <v>0</v>
      </c>
      <c r="H32" s="393">
        <f>+'9. Weather Adj LF'!O41</f>
        <v>0</v>
      </c>
      <c r="I32" s="431">
        <f>+'9. Weather Adj LF'!P41</f>
        <v>0</v>
      </c>
      <c r="J32" s="102"/>
      <c r="K32" s="117">
        <f>I32/$I$34</f>
        <v>0</v>
      </c>
      <c r="L32" s="438">
        <f>K32*$L$34</f>
        <v>0</v>
      </c>
      <c r="M32" s="443">
        <f>I32-L32</f>
        <v>0</v>
      </c>
      <c r="N32" s="458"/>
      <c r="O32" s="452">
        <f>+M32-N32</f>
        <v>0</v>
      </c>
    </row>
    <row r="33" spans="2:18" ht="13.5" thickBot="1" x14ac:dyDescent="0.25">
      <c r="B33" s="119"/>
      <c r="C33" s="233"/>
      <c r="D33" s="208"/>
      <c r="E33" s="296"/>
      <c r="F33" s="296"/>
      <c r="G33" s="296"/>
      <c r="H33" s="296"/>
      <c r="I33" s="436"/>
      <c r="J33" s="102"/>
      <c r="K33" s="120"/>
      <c r="L33" s="439"/>
      <c r="M33" s="444"/>
      <c r="N33" s="470"/>
      <c r="O33" s="194"/>
    </row>
    <row r="34" spans="2:18" ht="20.25" thickTop="1" thickBot="1" x14ac:dyDescent="0.25">
      <c r="B34" s="793" t="s">
        <v>16</v>
      </c>
      <c r="C34" s="794"/>
      <c r="D34" s="795"/>
      <c r="E34" s="796">
        <f>SUM(E20:E33)</f>
        <v>188143154.71000001</v>
      </c>
      <c r="F34" s="796">
        <f>SUM(F20:F33)</f>
        <v>188591795.03</v>
      </c>
      <c r="G34" s="796">
        <f>SUM(G20:G33)</f>
        <v>186786341.61999997</v>
      </c>
      <c r="H34" s="796">
        <f>SUM(H20:H33)</f>
        <v>188817108.05953199</v>
      </c>
      <c r="I34" s="797">
        <f>SUM(I20:I33)</f>
        <v>187303733.07056531</v>
      </c>
      <c r="J34" s="798"/>
      <c r="K34" s="799">
        <f>I34/$I$34</f>
        <v>1</v>
      </c>
      <c r="L34" s="792">
        <f>'10. CDM Adjustment V2'!H121</f>
        <v>2500000</v>
      </c>
      <c r="M34" s="800">
        <f>I34-L34</f>
        <v>184803733.07056531</v>
      </c>
      <c r="N34" s="801">
        <f>SUM(N20:N33)</f>
        <v>0</v>
      </c>
      <c r="O34" s="802">
        <f>SUM(O20:O33)</f>
        <v>184803733.07056534</v>
      </c>
      <c r="Q34" s="459">
        <f>+M34-O34</f>
        <v>0</v>
      </c>
      <c r="R34" s="460" t="s">
        <v>233</v>
      </c>
    </row>
    <row r="35" spans="2:18" x14ac:dyDescent="0.2">
      <c r="B35" s="121"/>
      <c r="C35" s="121"/>
      <c r="D35" s="125"/>
      <c r="E35" s="122"/>
      <c r="F35" s="122"/>
      <c r="G35" s="122"/>
      <c r="H35" s="123"/>
      <c r="I35" s="123"/>
      <c r="J35" s="124"/>
      <c r="K35" s="124"/>
      <c r="L35" s="124"/>
      <c r="M35" s="124"/>
    </row>
    <row r="36" spans="2:18" ht="13.5" thickBot="1" x14ac:dyDescent="0.25">
      <c r="B36" s="102"/>
      <c r="C36" s="102"/>
      <c r="D36" s="209"/>
      <c r="E36" s="102"/>
      <c r="F36" s="102"/>
      <c r="G36" s="102"/>
      <c r="H36" s="102"/>
      <c r="I36" s="102"/>
      <c r="J36" s="102"/>
      <c r="K36" s="102"/>
      <c r="L36" s="102"/>
      <c r="M36" s="124"/>
    </row>
    <row r="37" spans="2:18" ht="26.25" thickBot="1" x14ac:dyDescent="0.25">
      <c r="B37" s="111"/>
      <c r="C37" s="228"/>
      <c r="D37" s="112" t="s">
        <v>33</v>
      </c>
      <c r="E37" s="210">
        <f>E19</f>
        <v>2012</v>
      </c>
      <c r="F37" s="210">
        <f>F19</f>
        <v>2013</v>
      </c>
      <c r="G37" s="210">
        <f>G19</f>
        <v>2014</v>
      </c>
      <c r="H37" s="210" t="str">
        <f>H19</f>
        <v>2015</v>
      </c>
      <c r="I37" s="427" t="str">
        <f>I19</f>
        <v>2016</v>
      </c>
      <c r="J37" s="102"/>
      <c r="K37" s="125"/>
      <c r="L37" s="125"/>
      <c r="M37" s="462" t="s">
        <v>230</v>
      </c>
      <c r="N37" s="447" t="s">
        <v>231</v>
      </c>
      <c r="O37" s="453" t="s">
        <v>232</v>
      </c>
    </row>
    <row r="38" spans="2:18" x14ac:dyDescent="0.2">
      <c r="B38" s="428" t="str">
        <f>+B20</f>
        <v>Residential</v>
      </c>
      <c r="C38" s="429"/>
      <c r="D38" s="430" t="s">
        <v>37</v>
      </c>
      <c r="E38" s="432">
        <f>+'9. Weather Adj LF'!L18</f>
        <v>0</v>
      </c>
      <c r="F38" s="432">
        <f>+'9. Weather Adj LF'!M18</f>
        <v>0</v>
      </c>
      <c r="G38" s="432">
        <f>+'9. Weather Adj LF'!N18</f>
        <v>0</v>
      </c>
      <c r="H38" s="432">
        <f>+'9. Weather Adj LF'!O18</f>
        <v>0</v>
      </c>
      <c r="I38" s="433">
        <f>+'9. Weather Adj LF'!P18</f>
        <v>0</v>
      </c>
      <c r="J38" s="102"/>
      <c r="K38" s="126"/>
      <c r="L38" s="127"/>
      <c r="M38" s="454">
        <f>IF(I38&gt;0,+M20/I20*I38,0)</f>
        <v>0</v>
      </c>
      <c r="N38" s="461">
        <f>IF(I38&gt;0,+N20/I20*I38,0)</f>
        <v>0</v>
      </c>
      <c r="O38" s="451">
        <f>+M38-N38</f>
        <v>0</v>
      </c>
    </row>
    <row r="39" spans="2:18" x14ac:dyDescent="0.2">
      <c r="B39" s="113" t="s">
        <v>30</v>
      </c>
      <c r="C39" s="229"/>
      <c r="D39" s="129"/>
      <c r="E39" s="434"/>
      <c r="F39" s="434"/>
      <c r="G39" s="434"/>
      <c r="H39" s="434"/>
      <c r="I39" s="435"/>
      <c r="J39" s="102"/>
      <c r="K39" s="126"/>
      <c r="L39" s="127"/>
      <c r="M39" s="455"/>
      <c r="N39" s="59"/>
      <c r="O39" s="242"/>
    </row>
    <row r="40" spans="2:18" x14ac:dyDescent="0.2">
      <c r="B40" s="424" t="str">
        <f>+B22</f>
        <v>General Service &lt; 50 kW</v>
      </c>
      <c r="C40" s="229"/>
      <c r="D40" s="130" t="s">
        <v>37</v>
      </c>
      <c r="E40" s="434">
        <f>+'9. Weather Adj LF'!L22</f>
        <v>0</v>
      </c>
      <c r="F40" s="434">
        <f>+'9. Weather Adj LF'!M22</f>
        <v>0</v>
      </c>
      <c r="G40" s="434">
        <f>+'9. Weather Adj LF'!N22</f>
        <v>0</v>
      </c>
      <c r="H40" s="434">
        <f>+'9. Weather Adj LF'!O22</f>
        <v>0</v>
      </c>
      <c r="I40" s="435">
        <f>+'9. Weather Adj LF'!P22</f>
        <v>0</v>
      </c>
      <c r="J40" s="102"/>
      <c r="K40" s="126"/>
      <c r="L40" s="127"/>
      <c r="M40" s="455">
        <f>IF(I40&gt;0,+M22/I22*I40,0)</f>
        <v>0</v>
      </c>
      <c r="N40" s="115">
        <f>IF(I40&gt;0,+N22/I22*I40,0)</f>
        <v>0</v>
      </c>
      <c r="O40" s="452">
        <f>+M40-N40</f>
        <v>0</v>
      </c>
    </row>
    <row r="41" spans="2:18" x14ac:dyDescent="0.2">
      <c r="B41" s="113" t="s">
        <v>30</v>
      </c>
      <c r="C41" s="229"/>
      <c r="D41" s="129"/>
      <c r="E41" s="434"/>
      <c r="F41" s="434"/>
      <c r="G41" s="434"/>
      <c r="H41" s="434"/>
      <c r="I41" s="435"/>
      <c r="J41" s="102"/>
      <c r="K41" s="126"/>
      <c r="L41" s="127"/>
      <c r="M41" s="455"/>
      <c r="N41" s="59"/>
      <c r="O41" s="242"/>
    </row>
    <row r="42" spans="2:18" x14ac:dyDescent="0.2">
      <c r="B42" s="424" t="str">
        <f>+B24</f>
        <v>Unmetered Scattered Load</v>
      </c>
      <c r="C42" s="229"/>
      <c r="D42" s="130" t="s">
        <v>37</v>
      </c>
      <c r="E42" s="388">
        <f>+'9. Weather Adj LF'!L26</f>
        <v>0</v>
      </c>
      <c r="F42" s="388">
        <f>+'9. Weather Adj LF'!M26</f>
        <v>0</v>
      </c>
      <c r="G42" s="388">
        <f>+'9. Weather Adj LF'!N26</f>
        <v>0</v>
      </c>
      <c r="H42" s="388">
        <f>+'9. Weather Adj LF'!O26</f>
        <v>0</v>
      </c>
      <c r="I42" s="389">
        <f>+'9. Weather Adj LF'!P26</f>
        <v>0</v>
      </c>
      <c r="J42" s="102"/>
      <c r="K42" s="126"/>
      <c r="L42" s="127"/>
      <c r="M42" s="455">
        <f>IF(I42&gt;0,+M24/I24*I42,0)</f>
        <v>0</v>
      </c>
      <c r="N42" s="115">
        <f>IF(I42&gt;0,+N24/I24*I42,0)</f>
        <v>0</v>
      </c>
      <c r="O42" s="452">
        <f>+M42-N42</f>
        <v>0</v>
      </c>
    </row>
    <row r="43" spans="2:18" x14ac:dyDescent="0.2">
      <c r="B43" s="113" t="s">
        <v>30</v>
      </c>
      <c r="C43" s="229"/>
      <c r="D43" s="129"/>
      <c r="E43" s="390"/>
      <c r="F43" s="390"/>
      <c r="G43" s="390"/>
      <c r="H43" s="390"/>
      <c r="I43" s="391"/>
      <c r="J43" s="102"/>
      <c r="K43" s="126"/>
      <c r="L43" s="127"/>
      <c r="M43" s="455"/>
      <c r="N43" s="59"/>
      <c r="O43" s="242"/>
    </row>
    <row r="44" spans="2:18" x14ac:dyDescent="0.2">
      <c r="B44" s="424" t="str">
        <f>+B26</f>
        <v>General Service &gt; 50 kW - 4999 kW</v>
      </c>
      <c r="C44" s="229"/>
      <c r="D44" s="130" t="s">
        <v>37</v>
      </c>
      <c r="E44" s="390">
        <f>+'9. Weather Adj LF'!L30</f>
        <v>207916</v>
      </c>
      <c r="F44" s="390">
        <f>+'9. Weather Adj LF'!M30</f>
        <v>216501</v>
      </c>
      <c r="G44" s="390">
        <f>+'9. Weather Adj LF'!N30</f>
        <v>206399</v>
      </c>
      <c r="H44" s="390">
        <f>+'9. Weather Adj LF'!O30</f>
        <v>198903.90576628249</v>
      </c>
      <c r="I44" s="391">
        <f>+'9. Weather Adj LF'!P30</f>
        <v>198527.4394499663</v>
      </c>
      <c r="J44" s="102"/>
      <c r="K44" s="126"/>
      <c r="L44" s="127"/>
      <c r="M44" s="455">
        <f>IF(I44&gt;0,+M26/I26*I44,0)</f>
        <v>195877.63322086178</v>
      </c>
      <c r="N44" s="115">
        <f>IF(I44&gt;0,+N26/I26*I44,0)</f>
        <v>0</v>
      </c>
      <c r="O44" s="452">
        <f>+M44-N44</f>
        <v>195877.63322086178</v>
      </c>
    </row>
    <row r="45" spans="2:18" x14ac:dyDescent="0.2">
      <c r="B45" s="113" t="s">
        <v>30</v>
      </c>
      <c r="C45" s="229"/>
      <c r="D45" s="129"/>
      <c r="E45" s="390"/>
      <c r="F45" s="390"/>
      <c r="G45" s="390"/>
      <c r="H45" s="390"/>
      <c r="I45" s="391"/>
      <c r="J45" s="102"/>
      <c r="K45" s="126"/>
      <c r="L45" s="127"/>
      <c r="M45" s="455"/>
      <c r="N45" s="59"/>
      <c r="O45" s="242"/>
    </row>
    <row r="46" spans="2:18" x14ac:dyDescent="0.2">
      <c r="B46" s="424" t="str">
        <f>+B28</f>
        <v>Streetlighting</v>
      </c>
      <c r="C46" s="229"/>
      <c r="D46" s="130" t="s">
        <v>37</v>
      </c>
      <c r="E46" s="390">
        <f>+'9. Weather Adj LF'!L34</f>
        <v>6768.3999999999987</v>
      </c>
      <c r="F46" s="390">
        <f>+'9. Weather Adj LF'!M34</f>
        <v>6765.9000000000005</v>
      </c>
      <c r="G46" s="390">
        <f>+'9. Weather Adj LF'!N34</f>
        <v>6769.9599999999991</v>
      </c>
      <c r="H46" s="390">
        <f>+'9. Weather Adj LF'!O34</f>
        <v>6772.1454156893096</v>
      </c>
      <c r="I46" s="391">
        <f>+'9. Weather Adj LF'!P34</f>
        <v>3540.907392013577</v>
      </c>
      <c r="J46" s="102"/>
      <c r="K46" s="126"/>
      <c r="L46" s="127"/>
      <c r="M46" s="455">
        <f>IF(I46&gt;0,+M28/I28*I46,0)</f>
        <v>3493.6458220762665</v>
      </c>
      <c r="N46" s="115">
        <f>IF(I46&gt;0,+N28/I28*I46,0)</f>
        <v>0</v>
      </c>
      <c r="O46" s="452">
        <f>+M46-N46</f>
        <v>3493.6458220762665</v>
      </c>
    </row>
    <row r="47" spans="2:18" x14ac:dyDescent="0.2">
      <c r="B47" s="113" t="s">
        <v>30</v>
      </c>
      <c r="C47" s="229"/>
      <c r="D47" s="129"/>
      <c r="E47" s="390"/>
      <c r="F47" s="390"/>
      <c r="G47" s="390"/>
      <c r="H47" s="390"/>
      <c r="I47" s="391"/>
      <c r="J47" s="102"/>
      <c r="K47" s="126"/>
      <c r="L47" s="127"/>
      <c r="M47" s="455"/>
      <c r="N47" s="59"/>
      <c r="O47" s="242"/>
    </row>
    <row r="48" spans="2:18" x14ac:dyDescent="0.2">
      <c r="B48" s="424" t="str">
        <f>+B30</f>
        <v>Sentinel Lighting</v>
      </c>
      <c r="C48" s="229"/>
      <c r="D48" s="130" t="s">
        <v>37</v>
      </c>
      <c r="E48" s="390">
        <f>+'9. Weather Adj LF'!L38</f>
        <v>713</v>
      </c>
      <c r="F48" s="390">
        <f>+'9. Weather Adj LF'!M38</f>
        <v>700</v>
      </c>
      <c r="G48" s="390">
        <f>+'9. Weather Adj LF'!N38</f>
        <v>683.5</v>
      </c>
      <c r="H48" s="390">
        <f>+'9. Weather Adj LF'!O38</f>
        <v>697.66573773827554</v>
      </c>
      <c r="I48" s="391">
        <f>+'9. Weather Adj LF'!P38</f>
        <v>696.34526266115472</v>
      </c>
      <c r="J48" s="102"/>
      <c r="K48" s="126"/>
      <c r="L48" s="127"/>
      <c r="M48" s="455">
        <f>IF(I48&gt;0,+M30/I30*I48,0)</f>
        <v>687.05093025189603</v>
      </c>
      <c r="N48" s="115">
        <f>IF(I48&gt;0,+N30/I30*I48,0)</f>
        <v>0</v>
      </c>
      <c r="O48" s="452">
        <f>+M48-N48</f>
        <v>687.05093025189603</v>
      </c>
    </row>
    <row r="49" spans="2:15" x14ac:dyDescent="0.2">
      <c r="B49" s="424"/>
      <c r="C49" s="229"/>
      <c r="D49" s="130"/>
      <c r="E49" s="390"/>
      <c r="F49" s="390"/>
      <c r="G49" s="390"/>
      <c r="H49" s="390"/>
      <c r="I49" s="391"/>
      <c r="J49" s="102"/>
      <c r="K49" s="126"/>
      <c r="L49" s="127"/>
      <c r="M49" s="455"/>
      <c r="N49" s="59"/>
      <c r="O49" s="242"/>
    </row>
    <row r="50" spans="2:15" x14ac:dyDescent="0.2">
      <c r="B50" s="424">
        <f>+B32</f>
        <v>0</v>
      </c>
      <c r="C50" s="229"/>
      <c r="D50" s="130" t="s">
        <v>37</v>
      </c>
      <c r="E50" s="390">
        <f>+'9. Weather Adj LF'!L42</f>
        <v>0</v>
      </c>
      <c r="F50" s="390">
        <f>+'9. Weather Adj LF'!M42</f>
        <v>0</v>
      </c>
      <c r="G50" s="390">
        <f>+'9. Weather Adj LF'!N42</f>
        <v>0</v>
      </c>
      <c r="H50" s="390">
        <f>+'9. Weather Adj LF'!O42</f>
        <v>0</v>
      </c>
      <c r="I50" s="391">
        <f>+'9. Weather Adj LF'!P42</f>
        <v>0</v>
      </c>
      <c r="J50" s="102"/>
      <c r="K50" s="126"/>
      <c r="L50" s="127"/>
      <c r="M50" s="455">
        <f>IF(I50&gt;0,+M32/I32*I50,0)</f>
        <v>0</v>
      </c>
      <c r="N50" s="115">
        <f>IF(I50&gt;0,+N32/I32*I50,0)</f>
        <v>0</v>
      </c>
      <c r="O50" s="452">
        <f>+M50-N50</f>
        <v>0</v>
      </c>
    </row>
    <row r="51" spans="2:15" ht="13.5" thickBot="1" x14ac:dyDescent="0.25">
      <c r="B51" s="119" t="s">
        <v>30</v>
      </c>
      <c r="C51" s="233"/>
      <c r="D51" s="208"/>
      <c r="E51" s="296"/>
      <c r="F51" s="296"/>
      <c r="G51" s="296"/>
      <c r="H51" s="296"/>
      <c r="I51" s="436"/>
      <c r="J51" s="102"/>
      <c r="K51" s="126"/>
      <c r="L51" s="127"/>
      <c r="M51" s="456"/>
      <c r="N51" s="91"/>
      <c r="O51" s="194"/>
    </row>
    <row r="52" spans="2:15" ht="13.5" thickBot="1" x14ac:dyDescent="0.25">
      <c r="B52" s="465" t="s">
        <v>16</v>
      </c>
      <c r="C52" s="468"/>
      <c r="D52" s="469" t="s">
        <v>30</v>
      </c>
      <c r="E52" s="466">
        <f>SUM(E38:E51)</f>
        <v>215397.4</v>
      </c>
      <c r="F52" s="466">
        <f>SUM(F38:F51)</f>
        <v>223966.9</v>
      </c>
      <c r="G52" s="466">
        <f>SUM(G38:G51)</f>
        <v>213852.46</v>
      </c>
      <c r="H52" s="466">
        <f>SUM(H38:H51)</f>
        <v>206373.71691971007</v>
      </c>
      <c r="I52" s="467">
        <f>SUM(I38:I51)</f>
        <v>202764.69210464106</v>
      </c>
      <c r="J52" s="102"/>
      <c r="K52" s="126"/>
      <c r="L52" s="127"/>
      <c r="M52" s="471">
        <f>SUM(M38:M51)</f>
        <v>200058.32997318995</v>
      </c>
      <c r="N52" s="469">
        <f>SUM(N38:N51)</f>
        <v>0</v>
      </c>
      <c r="O52" s="472">
        <f>SUM(O38:O51)</f>
        <v>200058.32997318995</v>
      </c>
    </row>
    <row r="53" spans="2:15" x14ac:dyDescent="0.2">
      <c r="B53" s="105"/>
      <c r="C53" s="105"/>
      <c r="D53" s="105"/>
      <c r="E53" s="105"/>
      <c r="F53" s="105"/>
      <c r="G53" s="105"/>
      <c r="H53" s="105"/>
      <c r="I53" s="105"/>
      <c r="J53" s="105"/>
      <c r="K53" s="105"/>
      <c r="L53" s="105"/>
      <c r="M53" s="105"/>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O61"/>
  <sheetViews>
    <sheetView showGridLines="0" tabSelected="1" zoomScaleNormal="100" workbookViewId="0">
      <selection activeCell="O58" sqref="O58"/>
    </sheetView>
  </sheetViews>
  <sheetFormatPr defaultColWidth="10.5" defaultRowHeight="12.75" x14ac:dyDescent="0.2"/>
  <cols>
    <col min="1" max="1" width="13.6640625" style="1" customWidth="1"/>
    <col min="2" max="2" width="35.83203125" style="1" customWidth="1"/>
    <col min="3" max="14" width="17.1640625" style="1" customWidth="1"/>
    <col min="15" max="15" width="17.1640625" style="206" customWidth="1"/>
    <col min="16" max="17" width="10.5" style="1"/>
    <col min="18" max="19" width="1.83203125" style="1" bestFit="1" customWidth="1"/>
    <col min="20" max="16384" width="10.5" style="1"/>
  </cols>
  <sheetData>
    <row r="1" spans="1:15" s="536" customFormat="1" x14ac:dyDescent="0.2">
      <c r="A1" s="758" t="s">
        <v>272</v>
      </c>
      <c r="O1" s="206"/>
    </row>
    <row r="2" spans="1:15" s="536" customFormat="1" x14ac:dyDescent="0.2">
      <c r="O2" s="206"/>
    </row>
    <row r="3" spans="1:15" s="536" customFormat="1" x14ac:dyDescent="0.2">
      <c r="O3" s="206"/>
    </row>
    <row r="4" spans="1:15" s="536" customFormat="1" x14ac:dyDescent="0.2">
      <c r="O4" s="206"/>
    </row>
    <row r="5" spans="1:15" s="536" customFormat="1" x14ac:dyDescent="0.2">
      <c r="O5" s="206"/>
    </row>
    <row r="6" spans="1:15" s="536" customFormat="1" x14ac:dyDescent="0.2">
      <c r="O6" s="206"/>
    </row>
    <row r="7" spans="1:15" s="536" customFormat="1" x14ac:dyDescent="0.2">
      <c r="O7" s="206"/>
    </row>
    <row r="8" spans="1:15" s="536" customFormat="1" x14ac:dyDescent="0.2">
      <c r="O8" s="206"/>
    </row>
    <row r="9" spans="1:15" s="536" customFormat="1" x14ac:dyDescent="0.2">
      <c r="O9" s="206"/>
    </row>
    <row r="11" spans="1:15" ht="23.25" x14ac:dyDescent="0.2">
      <c r="B11" s="133" t="s">
        <v>234</v>
      </c>
      <c r="O11" s="317"/>
    </row>
    <row r="12" spans="1:15" ht="13.5" thickBot="1" x14ac:dyDescent="0.25">
      <c r="F12" s="783"/>
      <c r="G12" s="783"/>
      <c r="H12" s="783"/>
      <c r="I12" s="783"/>
      <c r="J12" s="783"/>
      <c r="K12" s="783"/>
      <c r="L12" s="783"/>
      <c r="M12" s="783"/>
      <c r="N12" s="783"/>
      <c r="O12" s="783"/>
    </row>
    <row r="13" spans="1:15" ht="13.5" thickBot="1" x14ac:dyDescent="0.25">
      <c r="B13" s="87"/>
      <c r="C13" s="307" t="s">
        <v>33</v>
      </c>
      <c r="D13" s="196">
        <f>'4. Customer Growth'!B17</f>
        <v>2005</v>
      </c>
      <c r="E13" s="196">
        <f>'4. Customer Growth'!B18</f>
        <v>2006</v>
      </c>
      <c r="F13" s="196">
        <f>'4. Customer Growth'!B19</f>
        <v>2007</v>
      </c>
      <c r="G13" s="196">
        <f>'4. Customer Growth'!B20</f>
        <v>2008</v>
      </c>
      <c r="H13" s="196">
        <f>'4. Customer Growth'!B21</f>
        <v>2009</v>
      </c>
      <c r="I13" s="196">
        <f>'4. Customer Growth'!B22</f>
        <v>2010</v>
      </c>
      <c r="J13" s="196">
        <f>'4. Customer Growth'!B23</f>
        <v>2011</v>
      </c>
      <c r="K13" s="196">
        <f>'4. Customer Growth'!B24</f>
        <v>2012</v>
      </c>
      <c r="L13" s="196">
        <f>'4. Customer Growth'!B25</f>
        <v>2013</v>
      </c>
      <c r="M13" s="196">
        <f>'4. Customer Growth'!B26</f>
        <v>2014</v>
      </c>
      <c r="N13" s="196" t="str">
        <f>'4. Customer Growth'!B30</f>
        <v>2015</v>
      </c>
      <c r="O13" s="195" t="str">
        <f>'4. Customer Growth'!B31</f>
        <v>2016</v>
      </c>
    </row>
    <row r="14" spans="1:15" x14ac:dyDescent="0.2">
      <c r="B14" s="421" t="str">
        <f>+'9. Weather Adj LF'!C16</f>
        <v>Residential</v>
      </c>
      <c r="C14" s="88" t="s">
        <v>131</v>
      </c>
      <c r="D14" s="388">
        <f>+'9. Weather Adj LF'!E16</f>
        <v>8625</v>
      </c>
      <c r="E14" s="388">
        <f>+'9. Weather Adj LF'!F16</f>
        <v>8696</v>
      </c>
      <c r="F14" s="388">
        <f>+'9. Weather Adj LF'!G16</f>
        <v>8809</v>
      </c>
      <c r="G14" s="388">
        <f>+'9. Weather Adj LF'!H16</f>
        <v>8809</v>
      </c>
      <c r="H14" s="388">
        <f>+'9. Weather Adj LF'!I16</f>
        <v>8941</v>
      </c>
      <c r="I14" s="388">
        <f>+'9. Weather Adj LF'!J16</f>
        <v>8955</v>
      </c>
      <c r="J14" s="388">
        <f>+'9. Weather Adj LF'!K16</f>
        <v>9030</v>
      </c>
      <c r="K14" s="388">
        <f>+'9. Weather Adj LF'!L16</f>
        <v>9086.5</v>
      </c>
      <c r="L14" s="388">
        <f>+'9. Weather Adj LF'!M16</f>
        <v>9195</v>
      </c>
      <c r="M14" s="388">
        <f>+'9. Weather Adj LF'!N16</f>
        <v>9305</v>
      </c>
      <c r="N14" s="388">
        <f>+'9. Weather Adj LF'!O16</f>
        <v>9383.7903594694271</v>
      </c>
      <c r="O14" s="389">
        <f>+'9. Weather Adj LF'!P16</f>
        <v>9463.2478786105712</v>
      </c>
    </row>
    <row r="15" spans="1:15" x14ac:dyDescent="0.2">
      <c r="B15" s="89"/>
      <c r="C15" s="59" t="s">
        <v>36</v>
      </c>
      <c r="D15" s="388">
        <f>+'9. Weather Adj LF'!E17</f>
        <v>76867401</v>
      </c>
      <c r="E15" s="388">
        <f>+'9. Weather Adj LF'!F17</f>
        <v>80301785</v>
      </c>
      <c r="F15" s="388">
        <f>+'9. Weather Adj LF'!G17</f>
        <v>78894594</v>
      </c>
      <c r="G15" s="388">
        <f>+'9. Weather Adj LF'!H17</f>
        <v>78894594</v>
      </c>
      <c r="H15" s="388">
        <f>+'9. Weather Adj LF'!I17</f>
        <v>76058961.349999994</v>
      </c>
      <c r="I15" s="388">
        <f>+'9. Weather Adj LF'!J17</f>
        <v>75301012.150000006</v>
      </c>
      <c r="J15" s="388">
        <f>+'9. Weather Adj LF'!K17</f>
        <v>79270519.859999999</v>
      </c>
      <c r="K15" s="388">
        <f>+'9. Weather Adj LF'!L17</f>
        <v>78553743.920000002</v>
      </c>
      <c r="L15" s="388">
        <f>+'9. Weather Adj LF'!M17</f>
        <v>80138213.859999999</v>
      </c>
      <c r="M15" s="388">
        <f>+'9. Weather Adj LF'!N17</f>
        <v>79483998.230000004</v>
      </c>
      <c r="N15" s="388">
        <f>+'9. Weather Adj LF'!O17</f>
        <v>78438793.189758629</v>
      </c>
      <c r="O15" s="389">
        <f>+'10.1 CDM Allocation'!O20</f>
        <v>77245366.819313049</v>
      </c>
    </row>
    <row r="16" spans="1:15" x14ac:dyDescent="0.2">
      <c r="B16" s="89"/>
      <c r="C16" s="59" t="s">
        <v>37</v>
      </c>
      <c r="D16" s="390">
        <f>+'9. Weather Adj LF'!E18</f>
        <v>0</v>
      </c>
      <c r="E16" s="390">
        <f>+'9. Weather Adj LF'!F18</f>
        <v>0</v>
      </c>
      <c r="F16" s="390">
        <f>+'9. Weather Adj LF'!G18</f>
        <v>0</v>
      </c>
      <c r="G16" s="390">
        <f>+'9. Weather Adj LF'!H18</f>
        <v>0</v>
      </c>
      <c r="H16" s="390">
        <f>+'9. Weather Adj LF'!I18</f>
        <v>0</v>
      </c>
      <c r="I16" s="390">
        <f>+'9. Weather Adj LF'!J18</f>
        <v>0</v>
      </c>
      <c r="J16" s="390">
        <f>+'9. Weather Adj LF'!K18</f>
        <v>0</v>
      </c>
      <c r="K16" s="390">
        <f>+'9. Weather Adj LF'!L18</f>
        <v>0</v>
      </c>
      <c r="L16" s="390">
        <f>+'9. Weather Adj LF'!M18</f>
        <v>0</v>
      </c>
      <c r="M16" s="390">
        <f>+'9. Weather Adj LF'!N18</f>
        <v>0</v>
      </c>
      <c r="N16" s="390">
        <f>+'9. Weather Adj LF'!O18</f>
        <v>0</v>
      </c>
      <c r="O16" s="391">
        <f>+'10.1 CDM Allocation'!O38</f>
        <v>0</v>
      </c>
    </row>
    <row r="17" spans="2:15" x14ac:dyDescent="0.2">
      <c r="B17" s="89"/>
      <c r="C17" s="59"/>
      <c r="D17" s="390"/>
      <c r="E17" s="390"/>
      <c r="F17" s="390"/>
      <c r="G17" s="390"/>
      <c r="H17" s="390"/>
      <c r="I17" s="390"/>
      <c r="J17" s="390"/>
      <c r="K17" s="390"/>
      <c r="L17" s="390"/>
      <c r="M17" s="390"/>
      <c r="N17" s="390"/>
      <c r="O17" s="391"/>
    </row>
    <row r="18" spans="2:15" x14ac:dyDescent="0.2">
      <c r="B18" s="422" t="str">
        <f>+'9. Weather Adj LF'!C20</f>
        <v>General Service &lt; 50 kW</v>
      </c>
      <c r="C18" s="88" t="s">
        <v>131</v>
      </c>
      <c r="D18" s="388">
        <f>+'9. Weather Adj LF'!E20</f>
        <v>1496</v>
      </c>
      <c r="E18" s="388">
        <f>+'9. Weather Adj LF'!F20</f>
        <v>1449</v>
      </c>
      <c r="F18" s="388">
        <f>+'9. Weather Adj LF'!G20</f>
        <v>1442</v>
      </c>
      <c r="G18" s="388">
        <f>+'9. Weather Adj LF'!H20</f>
        <v>1409</v>
      </c>
      <c r="H18" s="388">
        <f>+'9. Weather Adj LF'!I20</f>
        <v>1394</v>
      </c>
      <c r="I18" s="388">
        <f>+'9. Weather Adj LF'!J20</f>
        <v>1372</v>
      </c>
      <c r="J18" s="388">
        <f>+'9. Weather Adj LF'!K20</f>
        <v>1370</v>
      </c>
      <c r="K18" s="388">
        <f>+'9. Weather Adj LF'!L20</f>
        <v>1361.5</v>
      </c>
      <c r="L18" s="388">
        <f>+'9. Weather Adj LF'!M20</f>
        <v>1332.5</v>
      </c>
      <c r="M18" s="388">
        <f>+'9. Weather Adj LF'!N20</f>
        <v>1318</v>
      </c>
      <c r="N18" s="388">
        <f>+'9. Weather Adj LF'!O20</f>
        <v>1299.5784496245794</v>
      </c>
      <c r="O18" s="389">
        <f>+'9. Weather Adj LF'!P20</f>
        <v>1281.4143753631454</v>
      </c>
    </row>
    <row r="19" spans="2:15" x14ac:dyDescent="0.2">
      <c r="B19" s="89"/>
      <c r="C19" s="59" t="s">
        <v>36</v>
      </c>
      <c r="D19" s="388">
        <f>+'9. Weather Adj LF'!E21</f>
        <v>43814909</v>
      </c>
      <c r="E19" s="388">
        <f>+'9. Weather Adj LF'!F21</f>
        <v>39580098</v>
      </c>
      <c r="F19" s="388">
        <f>+'9. Weather Adj LF'!G21</f>
        <v>35721757</v>
      </c>
      <c r="G19" s="388">
        <f>+'9. Weather Adj LF'!H21</f>
        <v>35801702</v>
      </c>
      <c r="H19" s="388">
        <f>+'9. Weather Adj LF'!I21</f>
        <v>34198078.359999999</v>
      </c>
      <c r="I19" s="388">
        <f>+'9. Weather Adj LF'!J21</f>
        <v>33358216.629999999</v>
      </c>
      <c r="J19" s="388">
        <f>+'9. Weather Adj LF'!K21</f>
        <v>32279016.170000002</v>
      </c>
      <c r="K19" s="388">
        <f>+'9. Weather Adj LF'!L21</f>
        <v>31948521.120000001</v>
      </c>
      <c r="L19" s="388">
        <f>+'9. Weather Adj LF'!M21</f>
        <v>31708039.23</v>
      </c>
      <c r="M19" s="388">
        <f>+'9. Weather Adj LF'!N21</f>
        <v>31649726.120000001</v>
      </c>
      <c r="N19" s="388">
        <f>+'9. Weather Adj LF'!O21</f>
        <v>34953791.572912797</v>
      </c>
      <c r="O19" s="389">
        <f>+'10.1 CDM Allocation'!O22</f>
        <v>34421978.487654641</v>
      </c>
    </row>
    <row r="20" spans="2:15" x14ac:dyDescent="0.2">
      <c r="B20" s="89"/>
      <c r="C20" s="59" t="s">
        <v>37</v>
      </c>
      <c r="D20" s="390">
        <f>+'9. Weather Adj LF'!E22</f>
        <v>0</v>
      </c>
      <c r="E20" s="390">
        <f>+'9. Weather Adj LF'!F22</f>
        <v>0</v>
      </c>
      <c r="F20" s="390">
        <f>+'9. Weather Adj LF'!G22</f>
        <v>0</v>
      </c>
      <c r="G20" s="390">
        <f>+'9. Weather Adj LF'!H22</f>
        <v>0</v>
      </c>
      <c r="H20" s="390">
        <f>+'9. Weather Adj LF'!I22</f>
        <v>0</v>
      </c>
      <c r="I20" s="390">
        <f>+'9. Weather Adj LF'!J22</f>
        <v>0</v>
      </c>
      <c r="J20" s="390">
        <f>+'9. Weather Adj LF'!K22</f>
        <v>0</v>
      </c>
      <c r="K20" s="390">
        <f>+'9. Weather Adj LF'!L22</f>
        <v>0</v>
      </c>
      <c r="L20" s="390">
        <f>+'9. Weather Adj LF'!M22</f>
        <v>0</v>
      </c>
      <c r="M20" s="390">
        <f>+'9. Weather Adj LF'!N22</f>
        <v>0</v>
      </c>
      <c r="N20" s="390">
        <f>+'9. Weather Adj LF'!O22</f>
        <v>0</v>
      </c>
      <c r="O20" s="391">
        <f>+'10.1 CDM Allocation'!O40</f>
        <v>0</v>
      </c>
    </row>
    <row r="21" spans="2:15" x14ac:dyDescent="0.2">
      <c r="B21" s="89"/>
      <c r="C21" s="59"/>
      <c r="D21" s="390"/>
      <c r="E21" s="390"/>
      <c r="F21" s="390"/>
      <c r="G21" s="390"/>
      <c r="H21" s="390"/>
      <c r="I21" s="390"/>
      <c r="J21" s="390"/>
      <c r="K21" s="390"/>
      <c r="L21" s="390"/>
      <c r="M21" s="390"/>
      <c r="N21" s="390"/>
      <c r="O21" s="391"/>
    </row>
    <row r="22" spans="2:15" x14ac:dyDescent="0.2">
      <c r="B22" s="422" t="str">
        <f>+'9. Weather Adj LF'!C24</f>
        <v>Unmetered Scattered Load</v>
      </c>
      <c r="C22" s="88" t="s">
        <v>131</v>
      </c>
      <c r="D22" s="388">
        <f>+'9. Weather Adj LF'!E24</f>
        <v>17</v>
      </c>
      <c r="E22" s="388">
        <f>+'9. Weather Adj LF'!F24</f>
        <v>20</v>
      </c>
      <c r="F22" s="388">
        <f>+'9. Weather Adj LF'!G24</f>
        <v>20</v>
      </c>
      <c r="G22" s="388">
        <f>+'9. Weather Adj LF'!H24</f>
        <v>20</v>
      </c>
      <c r="H22" s="388">
        <f>+'9. Weather Adj LF'!I24</f>
        <v>20</v>
      </c>
      <c r="I22" s="388">
        <f>+'9. Weather Adj LF'!J24</f>
        <v>20</v>
      </c>
      <c r="J22" s="388">
        <f>+'9. Weather Adj LF'!K24</f>
        <v>20</v>
      </c>
      <c r="K22" s="388">
        <f>+'9. Weather Adj LF'!L24</f>
        <v>20</v>
      </c>
      <c r="L22" s="388">
        <f>+'9. Weather Adj LF'!M24</f>
        <v>20</v>
      </c>
      <c r="M22" s="388">
        <f>+'9. Weather Adj LF'!N24</f>
        <v>20</v>
      </c>
      <c r="N22" s="388">
        <f>+'9. Weather Adj LF'!O24</f>
        <v>20</v>
      </c>
      <c r="O22" s="389">
        <f>+'9. Weather Adj LF'!P24</f>
        <v>20</v>
      </c>
    </row>
    <row r="23" spans="2:15" x14ac:dyDescent="0.2">
      <c r="B23" s="89"/>
      <c r="C23" s="59" t="s">
        <v>36</v>
      </c>
      <c r="D23" s="388">
        <f>+'9. Weather Adj LF'!E25</f>
        <v>593390</v>
      </c>
      <c r="E23" s="388">
        <f>+'9. Weather Adj LF'!F25</f>
        <v>364006</v>
      </c>
      <c r="F23" s="388">
        <f>+'9. Weather Adj LF'!G25</f>
        <v>348199</v>
      </c>
      <c r="G23" s="388">
        <f>+'9. Weather Adj LF'!H25</f>
        <v>386944</v>
      </c>
      <c r="H23" s="388">
        <f>+'9. Weather Adj LF'!I25</f>
        <v>437952.27</v>
      </c>
      <c r="I23" s="388">
        <f>+'9. Weather Adj LF'!J25</f>
        <v>458526.4</v>
      </c>
      <c r="J23" s="388">
        <f>+'9. Weather Adj LF'!K25</f>
        <v>469307.04</v>
      </c>
      <c r="K23" s="388">
        <f>+'9. Weather Adj LF'!L25</f>
        <v>448159.09</v>
      </c>
      <c r="L23" s="388">
        <f>+'9. Weather Adj LF'!M25</f>
        <v>453470.7</v>
      </c>
      <c r="M23" s="388">
        <f>+'9. Weather Adj LF'!N25</f>
        <v>454406.25</v>
      </c>
      <c r="N23" s="388">
        <f>+'9. Weather Adj LF'!O25</f>
        <v>453036.20715519035</v>
      </c>
      <c r="O23" s="389">
        <f>+'10.1 CDM Allocation'!O24</f>
        <v>446143.37601387396</v>
      </c>
    </row>
    <row r="24" spans="2:15" x14ac:dyDescent="0.2">
      <c r="B24" s="89"/>
      <c r="C24" s="59" t="s">
        <v>37</v>
      </c>
      <c r="D24" s="390">
        <f>+'9. Weather Adj LF'!E26</f>
        <v>0</v>
      </c>
      <c r="E24" s="390">
        <f>+'9. Weather Adj LF'!F26</f>
        <v>0</v>
      </c>
      <c r="F24" s="390">
        <f>+'9. Weather Adj LF'!G26</f>
        <v>0</v>
      </c>
      <c r="G24" s="390">
        <f>+'9. Weather Adj LF'!H26</f>
        <v>0</v>
      </c>
      <c r="H24" s="390">
        <f>+'9. Weather Adj LF'!I26</f>
        <v>0</v>
      </c>
      <c r="I24" s="390">
        <f>+'9. Weather Adj LF'!J26</f>
        <v>0</v>
      </c>
      <c r="J24" s="390">
        <f>+'9. Weather Adj LF'!K26</f>
        <v>0</v>
      </c>
      <c r="K24" s="390">
        <f>+'9. Weather Adj LF'!L26</f>
        <v>0</v>
      </c>
      <c r="L24" s="390">
        <f>+'9. Weather Adj LF'!M26</f>
        <v>0</v>
      </c>
      <c r="M24" s="390">
        <f>+'9. Weather Adj LF'!N26</f>
        <v>0</v>
      </c>
      <c r="N24" s="390">
        <f>+'9. Weather Adj LF'!O26</f>
        <v>0</v>
      </c>
      <c r="O24" s="391">
        <f>+'10.1 CDM Allocation'!O42</f>
        <v>0</v>
      </c>
    </row>
    <row r="25" spans="2:15" x14ac:dyDescent="0.2">
      <c r="B25" s="89"/>
      <c r="C25" s="59"/>
      <c r="D25" s="390"/>
      <c r="E25" s="390"/>
      <c r="F25" s="390"/>
      <c r="G25" s="390"/>
      <c r="H25" s="390"/>
      <c r="I25" s="390"/>
      <c r="J25" s="390"/>
      <c r="K25" s="390"/>
      <c r="L25" s="390"/>
      <c r="M25" s="390"/>
      <c r="N25" s="390"/>
      <c r="O25" s="391"/>
    </row>
    <row r="26" spans="2:15" x14ac:dyDescent="0.2">
      <c r="B26" s="422" t="str">
        <f>+'9. Weather Adj LF'!C28</f>
        <v>General Service &gt; 50 kW - 4999 kW</v>
      </c>
      <c r="C26" s="88" t="s">
        <v>131</v>
      </c>
      <c r="D26" s="388">
        <f>+'9. Weather Adj LF'!E28</f>
        <v>134</v>
      </c>
      <c r="E26" s="388">
        <f>+'9. Weather Adj LF'!F28</f>
        <v>136</v>
      </c>
      <c r="F26" s="388">
        <f>+'9. Weather Adj LF'!G28</f>
        <v>136</v>
      </c>
      <c r="G26" s="388">
        <f>+'9. Weather Adj LF'!H28</f>
        <v>143</v>
      </c>
      <c r="H26" s="388">
        <f>+'9. Weather Adj LF'!I28</f>
        <v>144</v>
      </c>
      <c r="I26" s="388">
        <f>+'9. Weather Adj LF'!J28</f>
        <v>148</v>
      </c>
      <c r="J26" s="388">
        <f>+'9. Weather Adj LF'!K28</f>
        <v>145</v>
      </c>
      <c r="K26" s="388">
        <f>+'9. Weather Adj LF'!L28</f>
        <v>145</v>
      </c>
      <c r="L26" s="388">
        <f>+'9. Weather Adj LF'!M28</f>
        <v>145.5</v>
      </c>
      <c r="M26" s="388">
        <f>+'9. Weather Adj LF'!N28</f>
        <v>146.5</v>
      </c>
      <c r="N26" s="388">
        <f>+'9. Weather Adj LF'!O28</f>
        <v>146</v>
      </c>
      <c r="O26" s="389">
        <f>+'9. Weather Adj LF'!P28</f>
        <v>148</v>
      </c>
    </row>
    <row r="27" spans="2:15" x14ac:dyDescent="0.2">
      <c r="B27" s="89"/>
      <c r="C27" s="59" t="s">
        <v>36</v>
      </c>
      <c r="D27" s="388">
        <f>+'9. Weather Adj LF'!E29</f>
        <v>74429057</v>
      </c>
      <c r="E27" s="388">
        <f>+'9. Weather Adj LF'!F29</f>
        <v>75435895</v>
      </c>
      <c r="F27" s="388">
        <f>+'9. Weather Adj LF'!G29</f>
        <v>78527667</v>
      </c>
      <c r="G27" s="388">
        <f>+'9. Weather Adj LF'!H29</f>
        <v>78693630</v>
      </c>
      <c r="H27" s="388">
        <f>+'9. Weather Adj LF'!I29</f>
        <v>78622635.780000001</v>
      </c>
      <c r="I27" s="388">
        <f>+'9. Weather Adj LF'!J29</f>
        <v>76510234.719999999</v>
      </c>
      <c r="J27" s="388">
        <f>+'9. Weather Adj LF'!K29</f>
        <v>74853997.430000007</v>
      </c>
      <c r="K27" s="388">
        <f>+'9. Weather Adj LF'!L29</f>
        <v>74516293.329999998</v>
      </c>
      <c r="L27" s="388">
        <f>+'9. Weather Adj LF'!M29</f>
        <v>73596923.409999996</v>
      </c>
      <c r="M27" s="388">
        <f>+'9. Weather Adj LF'!N29</f>
        <v>72512848.979999989</v>
      </c>
      <c r="N27" s="388">
        <f>+'9. Weather Adj LF'!O29</f>
        <v>72294221.463539079</v>
      </c>
      <c r="O27" s="389">
        <f>+'10.1 CDM Allocation'!O26</f>
        <v>71194283.19553569</v>
      </c>
    </row>
    <row r="28" spans="2:15" x14ac:dyDescent="0.2">
      <c r="B28" s="89"/>
      <c r="C28" s="59" t="s">
        <v>37</v>
      </c>
      <c r="D28" s="390">
        <f>+'9. Weather Adj LF'!E30</f>
        <v>212943</v>
      </c>
      <c r="E28" s="390">
        <f>+'9. Weather Adj LF'!F30</f>
        <v>207000</v>
      </c>
      <c r="F28" s="390">
        <f>+'9. Weather Adj LF'!G30</f>
        <v>213039</v>
      </c>
      <c r="G28" s="390">
        <f>+'9. Weather Adj LF'!H30</f>
        <v>202855</v>
      </c>
      <c r="H28" s="390">
        <f>+'9. Weather Adj LF'!I30</f>
        <v>209853</v>
      </c>
      <c r="I28" s="390">
        <f>+'9. Weather Adj LF'!J30</f>
        <v>202775</v>
      </c>
      <c r="J28" s="390">
        <f>+'9. Weather Adj LF'!K30</f>
        <v>203575</v>
      </c>
      <c r="K28" s="390">
        <f>+'9. Weather Adj LF'!L30</f>
        <v>207916</v>
      </c>
      <c r="L28" s="390">
        <f>+'9. Weather Adj LF'!M30</f>
        <v>216501</v>
      </c>
      <c r="M28" s="390">
        <f>+'9. Weather Adj LF'!N30</f>
        <v>206399</v>
      </c>
      <c r="N28" s="390">
        <f>+'9. Weather Adj LF'!O30</f>
        <v>198903.90576628249</v>
      </c>
      <c r="O28" s="391">
        <f>+'10.1 CDM Allocation'!O44</f>
        <v>195877.63322086178</v>
      </c>
    </row>
    <row r="29" spans="2:15" x14ac:dyDescent="0.2">
      <c r="B29" s="89"/>
      <c r="C29" s="59"/>
      <c r="D29" s="390"/>
      <c r="E29" s="390"/>
      <c r="F29" s="390"/>
      <c r="G29" s="390"/>
      <c r="H29" s="390"/>
      <c r="I29" s="390"/>
      <c r="J29" s="390"/>
      <c r="K29" s="390"/>
      <c r="L29" s="390"/>
      <c r="M29" s="390"/>
      <c r="N29" s="390"/>
      <c r="O29" s="391"/>
    </row>
    <row r="30" spans="2:15" x14ac:dyDescent="0.2">
      <c r="B30" s="422" t="str">
        <f>+'9. Weather Adj LF'!C32</f>
        <v>Streetlighting</v>
      </c>
      <c r="C30" s="88" t="s">
        <v>131</v>
      </c>
      <c r="D30" s="388">
        <f>+'9. Weather Adj LF'!E32</f>
        <v>2604</v>
      </c>
      <c r="E30" s="388">
        <f>+'9. Weather Adj LF'!F32</f>
        <v>2635</v>
      </c>
      <c r="F30" s="388">
        <f>+'9. Weather Adj LF'!G32</f>
        <v>2648</v>
      </c>
      <c r="G30" s="388">
        <f>+'9. Weather Adj LF'!H32</f>
        <v>2653</v>
      </c>
      <c r="H30" s="388">
        <f>+'9. Weather Adj LF'!I32</f>
        <v>2701</v>
      </c>
      <c r="I30" s="388">
        <f>+'9. Weather Adj LF'!J32</f>
        <v>2713</v>
      </c>
      <c r="J30" s="388">
        <f>+'9. Weather Adj LF'!K32</f>
        <v>2769</v>
      </c>
      <c r="K30" s="388">
        <f>+'9. Weather Adj LF'!L32</f>
        <v>2774.5</v>
      </c>
      <c r="L30" s="388">
        <f>+'9. Weather Adj LF'!M32</f>
        <v>2787</v>
      </c>
      <c r="M30" s="388">
        <f>+'9. Weather Adj LF'!N32</f>
        <v>2802.5</v>
      </c>
      <c r="N30" s="388">
        <f>+'9. Weather Adj LF'!O32</f>
        <v>2825.4692256082153</v>
      </c>
      <c r="O30" s="389">
        <f>+'9. Weather Adj LF'!P32</f>
        <v>2848.6267064617618</v>
      </c>
    </row>
    <row r="31" spans="2:15" x14ac:dyDescent="0.2">
      <c r="B31" s="89"/>
      <c r="C31" s="59" t="s">
        <v>36</v>
      </c>
      <c r="D31" s="388">
        <f>+'9. Weather Adj LF'!E33</f>
        <v>2426613</v>
      </c>
      <c r="E31" s="388">
        <f>+'9. Weather Adj LF'!F33</f>
        <v>2517491</v>
      </c>
      <c r="F31" s="388">
        <f>+'9. Weather Adj LF'!G33</f>
        <v>2426477</v>
      </c>
      <c r="G31" s="388">
        <f>+'9. Weather Adj LF'!H33</f>
        <v>2370504</v>
      </c>
      <c r="H31" s="388">
        <f>+'9. Weather Adj LF'!I33</f>
        <v>2414486.62</v>
      </c>
      <c r="I31" s="388">
        <f>+'9. Weather Adj LF'!J33</f>
        <v>2383707.0499999998</v>
      </c>
      <c r="J31" s="388">
        <f>+'9. Weather Adj LF'!K33</f>
        <v>2458955</v>
      </c>
      <c r="K31" s="388">
        <f>+'9. Weather Adj LF'!L33</f>
        <v>2432689.94</v>
      </c>
      <c r="L31" s="388">
        <f>+'9. Weather Adj LF'!M33</f>
        <v>2424248.81</v>
      </c>
      <c r="M31" s="388">
        <f>+'9. Weather Adj LF'!N33</f>
        <v>2439791.5699999998</v>
      </c>
      <c r="N31" s="388">
        <f>+'9. Weather Adj LF'!O33</f>
        <v>2432435.555457274</v>
      </c>
      <c r="O31" s="389">
        <f>+'10.1 CDM Allocation'!O28</f>
        <v>1254856.1488513288</v>
      </c>
    </row>
    <row r="32" spans="2:15" x14ac:dyDescent="0.2">
      <c r="B32" s="89"/>
      <c r="C32" s="59" t="s">
        <v>37</v>
      </c>
      <c r="D32" s="390">
        <f>+'9. Weather Adj LF'!E34</f>
        <v>6774</v>
      </c>
      <c r="E32" s="390">
        <f>+'9. Weather Adj LF'!F34</f>
        <v>6784</v>
      </c>
      <c r="F32" s="390">
        <f>+'9. Weather Adj LF'!G34</f>
        <v>6778</v>
      </c>
      <c r="G32" s="390">
        <f>+'9. Weather Adj LF'!H34</f>
        <v>6728</v>
      </c>
      <c r="H32" s="390">
        <f>+'9. Weather Adj LF'!I34</f>
        <v>6652</v>
      </c>
      <c r="I32" s="390">
        <f>+'9. Weather Adj LF'!J34</f>
        <v>6766</v>
      </c>
      <c r="J32" s="390">
        <f>+'9. Weather Adj LF'!K34</f>
        <v>6840</v>
      </c>
      <c r="K32" s="390">
        <f>+'9. Weather Adj LF'!L34</f>
        <v>6768.3999999999987</v>
      </c>
      <c r="L32" s="390">
        <f>+'9. Weather Adj LF'!M34</f>
        <v>6765.9000000000005</v>
      </c>
      <c r="M32" s="390">
        <f>+'9. Weather Adj LF'!N34</f>
        <v>6769.9599999999991</v>
      </c>
      <c r="N32" s="390">
        <f>+'9. Weather Adj LF'!O34</f>
        <v>6772.1454156893096</v>
      </c>
      <c r="O32" s="391">
        <f>+'10.1 CDM Allocation'!O46</f>
        <v>3493.6458220762665</v>
      </c>
    </row>
    <row r="33" spans="2:15" x14ac:dyDescent="0.2">
      <c r="B33" s="89"/>
      <c r="C33" s="59"/>
      <c r="D33" s="390"/>
      <c r="E33" s="390"/>
      <c r="F33" s="390"/>
      <c r="G33" s="390"/>
      <c r="H33" s="390"/>
      <c r="I33" s="390"/>
      <c r="J33" s="390"/>
      <c r="K33" s="390"/>
      <c r="L33" s="390"/>
      <c r="M33" s="390"/>
      <c r="N33" s="390"/>
      <c r="O33" s="391"/>
    </row>
    <row r="34" spans="2:15" x14ac:dyDescent="0.2">
      <c r="B34" s="422" t="str">
        <f>+'9. Weather Adj LF'!C36</f>
        <v>Sentinel Lighting</v>
      </c>
      <c r="C34" s="88" t="s">
        <v>131</v>
      </c>
      <c r="D34" s="390">
        <f>+'9. Weather Adj LF'!E36</f>
        <v>250</v>
      </c>
      <c r="E34" s="390">
        <f>+'9. Weather Adj LF'!F36</f>
        <v>225</v>
      </c>
      <c r="F34" s="390">
        <f>+'9. Weather Adj LF'!G36</f>
        <v>225</v>
      </c>
      <c r="G34" s="390">
        <f>+'9. Weather Adj LF'!H36</f>
        <v>226</v>
      </c>
      <c r="H34" s="390">
        <f>+'9. Weather Adj LF'!I36</f>
        <v>226</v>
      </c>
      <c r="I34" s="390">
        <f>+'9. Weather Adj LF'!J36</f>
        <v>216</v>
      </c>
      <c r="J34" s="390">
        <f>+'9. Weather Adj LF'!K36</f>
        <v>209</v>
      </c>
      <c r="K34" s="390">
        <f>+'9. Weather Adj LF'!L36</f>
        <v>208.5</v>
      </c>
      <c r="L34" s="390">
        <f>+'9. Weather Adj LF'!M36</f>
        <v>206.5</v>
      </c>
      <c r="M34" s="390">
        <f>+'9. Weather Adj LF'!N36</f>
        <v>204</v>
      </c>
      <c r="N34" s="390">
        <f>+'9. Weather Adj LF'!O36</f>
        <v>199.44261639611278</v>
      </c>
      <c r="O34" s="391">
        <f>+'9. Weather Adj LF'!P36</f>
        <v>194.98704526924996</v>
      </c>
    </row>
    <row r="35" spans="2:15" x14ac:dyDescent="0.2">
      <c r="B35" s="197"/>
      <c r="C35" s="59" t="s">
        <v>36</v>
      </c>
      <c r="D35" s="388">
        <f>+'9. Weather Adj LF'!E37</f>
        <v>284178</v>
      </c>
      <c r="E35" s="388">
        <f>+'9. Weather Adj LF'!F37</f>
        <v>267504</v>
      </c>
      <c r="F35" s="388">
        <f>+'9. Weather Adj LF'!G37</f>
        <v>266011</v>
      </c>
      <c r="G35" s="388">
        <f>+'9. Weather Adj LF'!H37</f>
        <v>262124</v>
      </c>
      <c r="H35" s="388">
        <f>+'9. Weather Adj LF'!I37</f>
        <v>265370.21000000002</v>
      </c>
      <c r="I35" s="388">
        <f>+'9. Weather Adj LF'!J37</f>
        <v>233685.69</v>
      </c>
      <c r="J35" s="388">
        <f>+'9. Weather Adj LF'!K37</f>
        <v>270899.02</v>
      </c>
      <c r="K35" s="388">
        <f>+'9. Weather Adj LF'!L37</f>
        <v>243747.31</v>
      </c>
      <c r="L35" s="388">
        <f>+'9. Weather Adj LF'!M37</f>
        <v>270899.02</v>
      </c>
      <c r="M35" s="388">
        <f>+'9. Weather Adj LF'!N37</f>
        <v>245570.47</v>
      </c>
      <c r="N35" s="388">
        <f>+'9. Weather Adj LF'!O37</f>
        <v>244830.07070901303</v>
      </c>
      <c r="O35" s="389">
        <f>+'10.1 CDM Allocation'!O30</f>
        <v>241105.04319672924</v>
      </c>
    </row>
    <row r="36" spans="2:15" x14ac:dyDescent="0.2">
      <c r="B36" s="197"/>
      <c r="C36" s="59" t="s">
        <v>37</v>
      </c>
      <c r="D36" s="392">
        <f>+'9. Weather Adj LF'!E38</f>
        <v>783</v>
      </c>
      <c r="E36" s="392">
        <f>+'9. Weather Adj LF'!F38</f>
        <v>767</v>
      </c>
      <c r="F36" s="392">
        <f>+'9. Weather Adj LF'!G38</f>
        <v>766</v>
      </c>
      <c r="G36" s="392">
        <f>+'9. Weather Adj LF'!H38</f>
        <v>751</v>
      </c>
      <c r="H36" s="392">
        <f>+'9. Weather Adj LF'!I38</f>
        <v>756</v>
      </c>
      <c r="I36" s="392">
        <f>+'9. Weather Adj LF'!J38</f>
        <v>766</v>
      </c>
      <c r="J36" s="392">
        <f>+'9. Weather Adj LF'!K38</f>
        <v>734</v>
      </c>
      <c r="K36" s="392">
        <f>+'9. Weather Adj LF'!L38</f>
        <v>713</v>
      </c>
      <c r="L36" s="392">
        <f>+'9. Weather Adj LF'!M38</f>
        <v>700</v>
      </c>
      <c r="M36" s="392">
        <f>+'9. Weather Adj LF'!N38</f>
        <v>683.5</v>
      </c>
      <c r="N36" s="392">
        <f>+'9. Weather Adj LF'!O38</f>
        <v>697.66573773827554</v>
      </c>
      <c r="O36" s="489">
        <f>+'10.1 CDM Allocation'!O48</f>
        <v>687.05093025189603</v>
      </c>
    </row>
    <row r="37" spans="2:15" x14ac:dyDescent="0.2">
      <c r="B37" s="197"/>
      <c r="C37" s="59"/>
      <c r="D37" s="393"/>
      <c r="E37" s="393"/>
      <c r="F37" s="393"/>
      <c r="G37" s="393"/>
      <c r="H37" s="393"/>
      <c r="I37" s="393"/>
      <c r="J37" s="393"/>
      <c r="K37" s="393"/>
      <c r="L37" s="393"/>
      <c r="M37" s="393"/>
      <c r="N37" s="393"/>
      <c r="O37" s="431"/>
    </row>
    <row r="38" spans="2:15" x14ac:dyDescent="0.2">
      <c r="B38" s="488"/>
      <c r="C38" s="59" t="s">
        <v>131</v>
      </c>
      <c r="D38" s="393">
        <f>+'9. Weather Adj LF'!E40</f>
        <v>0</v>
      </c>
      <c r="E38" s="393">
        <f>+'9. Weather Adj LF'!F40</f>
        <v>0</v>
      </c>
      <c r="F38" s="393">
        <f>+'9. Weather Adj LF'!G40</f>
        <v>0</v>
      </c>
      <c r="G38" s="393">
        <f>+'9. Weather Adj LF'!H40</f>
        <v>0</v>
      </c>
      <c r="H38" s="393">
        <f>+'9. Weather Adj LF'!I40</f>
        <v>0</v>
      </c>
      <c r="I38" s="393">
        <f>+'9. Weather Adj LF'!J40</f>
        <v>0</v>
      </c>
      <c r="J38" s="393">
        <f>+'9. Weather Adj LF'!K40</f>
        <v>0</v>
      </c>
      <c r="K38" s="393">
        <f>+'9. Weather Adj LF'!L40</f>
        <v>0</v>
      </c>
      <c r="L38" s="393">
        <f>+'9. Weather Adj LF'!M40</f>
        <v>0</v>
      </c>
      <c r="M38" s="393">
        <f>+'9. Weather Adj LF'!N40</f>
        <v>0</v>
      </c>
      <c r="N38" s="393">
        <f>+'9. Weather Adj LF'!O40</f>
        <v>0</v>
      </c>
      <c r="O38" s="431">
        <f>+'9. Weather Adj LF'!P40</f>
        <v>0</v>
      </c>
    </row>
    <row r="39" spans="2:15" x14ac:dyDescent="0.2">
      <c r="B39" s="197"/>
      <c r="C39" s="59" t="s">
        <v>36</v>
      </c>
      <c r="D39" s="393">
        <f>+'9. Weather Adj LF'!E41</f>
        <v>0</v>
      </c>
      <c r="E39" s="393">
        <f>+'9. Weather Adj LF'!F41</f>
        <v>0</v>
      </c>
      <c r="F39" s="393">
        <f>+'9. Weather Adj LF'!G41</f>
        <v>0</v>
      </c>
      <c r="G39" s="393">
        <f>+'9. Weather Adj LF'!H41</f>
        <v>0</v>
      </c>
      <c r="H39" s="393">
        <f>+'9. Weather Adj LF'!I41</f>
        <v>0</v>
      </c>
      <c r="I39" s="393">
        <f>+'9. Weather Adj LF'!J41</f>
        <v>0</v>
      </c>
      <c r="J39" s="393">
        <f>+'9. Weather Adj LF'!K41</f>
        <v>0</v>
      </c>
      <c r="K39" s="393">
        <f>+'9. Weather Adj LF'!L41</f>
        <v>0</v>
      </c>
      <c r="L39" s="393">
        <f>+'9. Weather Adj LF'!M41</f>
        <v>0</v>
      </c>
      <c r="M39" s="393">
        <f>+'9. Weather Adj LF'!N41</f>
        <v>0</v>
      </c>
      <c r="N39" s="393">
        <f>+'9. Weather Adj LF'!O41</f>
        <v>0</v>
      </c>
      <c r="O39" s="431">
        <f>+'10.1 CDM Allocation'!O32</f>
        <v>0</v>
      </c>
    </row>
    <row r="40" spans="2:15" x14ac:dyDescent="0.2">
      <c r="B40" s="197"/>
      <c r="C40" s="59" t="s">
        <v>37</v>
      </c>
      <c r="D40" s="393">
        <f>+'9. Weather Adj LF'!E42</f>
        <v>0</v>
      </c>
      <c r="E40" s="393">
        <f>+'9. Weather Adj LF'!F42</f>
        <v>0</v>
      </c>
      <c r="F40" s="393">
        <f>+'9. Weather Adj LF'!G42</f>
        <v>0</v>
      </c>
      <c r="G40" s="393">
        <f>+'9. Weather Adj LF'!H42</f>
        <v>0</v>
      </c>
      <c r="H40" s="393">
        <f>+'9. Weather Adj LF'!I42</f>
        <v>0</v>
      </c>
      <c r="I40" s="393">
        <f>+'9. Weather Adj LF'!J42</f>
        <v>0</v>
      </c>
      <c r="J40" s="393">
        <f>+'9. Weather Adj LF'!K42</f>
        <v>0</v>
      </c>
      <c r="K40" s="393">
        <f>+'9. Weather Adj LF'!L42</f>
        <v>0</v>
      </c>
      <c r="L40" s="393">
        <f>+'9. Weather Adj LF'!M42</f>
        <v>0</v>
      </c>
      <c r="M40" s="393">
        <f>+'9. Weather Adj LF'!N42</f>
        <v>0</v>
      </c>
      <c r="N40" s="393">
        <f>+'9. Weather Adj LF'!O42</f>
        <v>0</v>
      </c>
      <c r="O40" s="431">
        <f>+'10.1 CDM Allocation'!O50</f>
        <v>0</v>
      </c>
    </row>
    <row r="41" spans="2:15" ht="13.5" thickBot="1" x14ac:dyDescent="0.25">
      <c r="B41" s="90"/>
      <c r="C41" s="91"/>
      <c r="D41" s="296"/>
      <c r="E41" s="296"/>
      <c r="F41" s="296"/>
      <c r="G41" s="296"/>
      <c r="H41" s="296"/>
      <c r="I41" s="296"/>
      <c r="J41" s="296"/>
      <c r="K41" s="296"/>
      <c r="L41" s="296"/>
      <c r="M41" s="296"/>
      <c r="N41" s="487"/>
      <c r="O41" s="436"/>
    </row>
    <row r="42" spans="2:15" hidden="1" x14ac:dyDescent="0.2">
      <c r="B42" s="484">
        <f>'2. Customer Classes'!B21</f>
        <v>0</v>
      </c>
      <c r="C42" s="485"/>
      <c r="D42" s="392"/>
      <c r="E42" s="392"/>
      <c r="F42" s="392"/>
      <c r="G42" s="392"/>
      <c r="H42" s="392"/>
      <c r="I42" s="392"/>
      <c r="J42" s="392"/>
      <c r="K42" s="392"/>
      <c r="L42" s="392"/>
      <c r="M42" s="392"/>
      <c r="N42" s="486"/>
      <c r="O42" s="489"/>
    </row>
    <row r="43" spans="2:15" hidden="1" x14ac:dyDescent="0.2">
      <c r="B43" s="197"/>
      <c r="C43" s="198"/>
      <c r="D43" s="393"/>
      <c r="E43" s="393"/>
      <c r="F43" s="393"/>
      <c r="G43" s="393"/>
      <c r="H43" s="393"/>
      <c r="I43" s="393"/>
      <c r="J43" s="393"/>
      <c r="K43" s="393"/>
      <c r="L43" s="393"/>
      <c r="M43" s="393"/>
      <c r="N43" s="394"/>
      <c r="O43" s="431"/>
    </row>
    <row r="44" spans="2:15" hidden="1" x14ac:dyDescent="0.2">
      <c r="B44" s="197"/>
      <c r="C44" s="198"/>
      <c r="D44" s="393"/>
      <c r="E44" s="393"/>
      <c r="F44" s="393"/>
      <c r="G44" s="393"/>
      <c r="H44" s="393"/>
      <c r="I44" s="393"/>
      <c r="J44" s="393"/>
      <c r="K44" s="393"/>
      <c r="L44" s="393"/>
      <c r="M44" s="393"/>
      <c r="N44" s="394"/>
      <c r="O44" s="431"/>
    </row>
    <row r="45" spans="2:15" hidden="1" x14ac:dyDescent="0.2">
      <c r="B45" s="197"/>
      <c r="C45" s="198"/>
      <c r="D45" s="393"/>
      <c r="E45" s="393"/>
      <c r="F45" s="393"/>
      <c r="G45" s="393"/>
      <c r="H45" s="393"/>
      <c r="I45" s="393"/>
      <c r="J45" s="393"/>
      <c r="K45" s="393"/>
      <c r="L45" s="393"/>
      <c r="M45" s="393"/>
      <c r="N45" s="394"/>
      <c r="O45" s="431"/>
    </row>
    <row r="46" spans="2:15" hidden="1" x14ac:dyDescent="0.2">
      <c r="B46" s="199" t="str">
        <f>'2. Customer Classes'!B22</f>
        <v>other</v>
      </c>
      <c r="C46" s="198"/>
      <c r="D46" s="393"/>
      <c r="E46" s="393"/>
      <c r="F46" s="393"/>
      <c r="G46" s="393"/>
      <c r="H46" s="393"/>
      <c r="I46" s="393"/>
      <c r="J46" s="393"/>
      <c r="K46" s="393"/>
      <c r="L46" s="393"/>
      <c r="M46" s="393"/>
      <c r="N46" s="394"/>
      <c r="O46" s="431"/>
    </row>
    <row r="47" spans="2:15" hidden="1" x14ac:dyDescent="0.2">
      <c r="B47" s="197"/>
      <c r="C47" s="198"/>
      <c r="D47" s="393"/>
      <c r="E47" s="393"/>
      <c r="F47" s="393"/>
      <c r="G47" s="393"/>
      <c r="H47" s="393"/>
      <c r="I47" s="393"/>
      <c r="J47" s="393"/>
      <c r="K47" s="393"/>
      <c r="L47" s="393"/>
      <c r="M47" s="393"/>
      <c r="N47" s="394"/>
      <c r="O47" s="431"/>
    </row>
    <row r="48" spans="2:15" hidden="1" x14ac:dyDescent="0.2">
      <c r="B48" s="197"/>
      <c r="C48" s="198"/>
      <c r="D48" s="393"/>
      <c r="E48" s="393"/>
      <c r="F48" s="393"/>
      <c r="G48" s="393"/>
      <c r="H48" s="393"/>
      <c r="I48" s="393"/>
      <c r="J48" s="393"/>
      <c r="K48" s="393"/>
      <c r="L48" s="393"/>
      <c r="M48" s="393"/>
      <c r="N48" s="394"/>
      <c r="O48" s="431"/>
    </row>
    <row r="49" spans="2:15" hidden="1" x14ac:dyDescent="0.2">
      <c r="B49" s="197"/>
      <c r="C49" s="198"/>
      <c r="D49" s="393"/>
      <c r="E49" s="393"/>
      <c r="F49" s="393"/>
      <c r="G49" s="393"/>
      <c r="H49" s="393"/>
      <c r="I49" s="393"/>
      <c r="J49" s="393"/>
      <c r="K49" s="393"/>
      <c r="L49" s="393"/>
      <c r="M49" s="393"/>
      <c r="N49" s="394"/>
      <c r="O49" s="431"/>
    </row>
    <row r="50" spans="2:15" hidden="1" x14ac:dyDescent="0.2">
      <c r="B50" s="199" t="str">
        <f>'2. Customer Classes'!B23</f>
        <v>other</v>
      </c>
      <c r="C50" s="198"/>
      <c r="D50" s="393"/>
      <c r="E50" s="393"/>
      <c r="F50" s="393"/>
      <c r="G50" s="393"/>
      <c r="H50" s="393"/>
      <c r="I50" s="393"/>
      <c r="J50" s="393"/>
      <c r="K50" s="393"/>
      <c r="L50" s="393"/>
      <c r="M50" s="393"/>
      <c r="N50" s="394"/>
      <c r="O50" s="431"/>
    </row>
    <row r="51" spans="2:15" hidden="1" x14ac:dyDescent="0.2">
      <c r="B51" s="199"/>
      <c r="C51" s="198"/>
      <c r="D51" s="393"/>
      <c r="E51" s="393"/>
      <c r="F51" s="393"/>
      <c r="G51" s="393"/>
      <c r="H51" s="393"/>
      <c r="I51" s="393"/>
      <c r="J51" s="393"/>
      <c r="K51" s="393"/>
      <c r="L51" s="393"/>
      <c r="M51" s="393"/>
      <c r="N51" s="394"/>
      <c r="O51" s="431"/>
    </row>
    <row r="52" spans="2:15" hidden="1" x14ac:dyDescent="0.2">
      <c r="B52" s="199"/>
      <c r="C52" s="198"/>
      <c r="D52" s="393"/>
      <c r="E52" s="393"/>
      <c r="F52" s="393"/>
      <c r="G52" s="393"/>
      <c r="H52" s="393"/>
      <c r="I52" s="393"/>
      <c r="J52" s="393"/>
      <c r="K52" s="393"/>
      <c r="L52" s="393"/>
      <c r="M52" s="393"/>
      <c r="N52" s="394"/>
      <c r="O52" s="431"/>
    </row>
    <row r="53" spans="2:15" hidden="1" x14ac:dyDescent="0.2">
      <c r="B53" s="199"/>
      <c r="C53" s="198"/>
      <c r="D53" s="393"/>
      <c r="E53" s="393"/>
      <c r="F53" s="393"/>
      <c r="G53" s="393"/>
      <c r="H53" s="393"/>
      <c r="I53" s="393"/>
      <c r="J53" s="393"/>
      <c r="K53" s="393"/>
      <c r="L53" s="393"/>
      <c r="M53" s="393"/>
      <c r="N53" s="394"/>
      <c r="O53" s="431"/>
    </row>
    <row r="54" spans="2:15" x14ac:dyDescent="0.2">
      <c r="B54" s="214" t="s">
        <v>16</v>
      </c>
      <c r="C54" s="215" t="s">
        <v>131</v>
      </c>
      <c r="D54" s="395">
        <f>D14+D18+D22+D26+D30+D34+D38+D42+D46+D50</f>
        <v>13126</v>
      </c>
      <c r="E54" s="395">
        <f t="shared" ref="E54:O56" si="0">E14+E18+E22+E26+E30+E34+E38+E42+E46+E50</f>
        <v>13161</v>
      </c>
      <c r="F54" s="395">
        <f t="shared" si="0"/>
        <v>13280</v>
      </c>
      <c r="G54" s="395">
        <f t="shared" si="0"/>
        <v>13260</v>
      </c>
      <c r="H54" s="395">
        <f t="shared" si="0"/>
        <v>13426</v>
      </c>
      <c r="I54" s="395">
        <f t="shared" si="0"/>
        <v>13424</v>
      </c>
      <c r="J54" s="395">
        <f t="shared" si="0"/>
        <v>13543</v>
      </c>
      <c r="K54" s="395">
        <f t="shared" si="0"/>
        <v>13596</v>
      </c>
      <c r="L54" s="395">
        <f t="shared" si="0"/>
        <v>13686.5</v>
      </c>
      <c r="M54" s="395">
        <f t="shared" si="0"/>
        <v>13796</v>
      </c>
      <c r="N54" s="395">
        <f t="shared" si="0"/>
        <v>13874.280651098334</v>
      </c>
      <c r="O54" s="396">
        <f t="shared" si="0"/>
        <v>13956.276005704729</v>
      </c>
    </row>
    <row r="55" spans="2:15" x14ac:dyDescent="0.2">
      <c r="B55" s="214"/>
      <c r="C55" s="215" t="s">
        <v>36</v>
      </c>
      <c r="D55" s="395">
        <f>D15+D19+D23+D27+D31+D35+D39+D43+D47+D51</f>
        <v>198415548</v>
      </c>
      <c r="E55" s="395">
        <f t="shared" si="0"/>
        <v>198466779</v>
      </c>
      <c r="F55" s="395">
        <f t="shared" si="0"/>
        <v>196184705</v>
      </c>
      <c r="G55" s="395">
        <f t="shared" si="0"/>
        <v>196409498</v>
      </c>
      <c r="H55" s="395">
        <f t="shared" si="0"/>
        <v>191997484.59</v>
      </c>
      <c r="I55" s="395">
        <f t="shared" si="0"/>
        <v>188245382.64000002</v>
      </c>
      <c r="J55" s="395">
        <f t="shared" si="0"/>
        <v>189602694.52000001</v>
      </c>
      <c r="K55" s="395">
        <f t="shared" si="0"/>
        <v>188143154.71000001</v>
      </c>
      <c r="L55" s="395">
        <f t="shared" si="0"/>
        <v>188591795.03</v>
      </c>
      <c r="M55" s="395">
        <f t="shared" si="0"/>
        <v>186786341.61999997</v>
      </c>
      <c r="N55" s="395">
        <f t="shared" si="0"/>
        <v>188817108.05953199</v>
      </c>
      <c r="O55" s="396">
        <f t="shared" si="0"/>
        <v>184803733.07056534</v>
      </c>
    </row>
    <row r="56" spans="2:15" ht="13.5" thickBot="1" x14ac:dyDescent="0.25">
      <c r="B56" s="216"/>
      <c r="C56" s="217" t="s">
        <v>37</v>
      </c>
      <c r="D56" s="397">
        <f>D16+D20+D24+D28+D32+D36+D40+D44+D48+D52</f>
        <v>220500</v>
      </c>
      <c r="E56" s="397">
        <f t="shared" si="0"/>
        <v>214551</v>
      </c>
      <c r="F56" s="397">
        <f t="shared" si="0"/>
        <v>220583</v>
      </c>
      <c r="G56" s="397">
        <f t="shared" si="0"/>
        <v>210334</v>
      </c>
      <c r="H56" s="397">
        <f t="shared" si="0"/>
        <v>217261</v>
      </c>
      <c r="I56" s="397">
        <f t="shared" si="0"/>
        <v>210307</v>
      </c>
      <c r="J56" s="397">
        <f t="shared" si="0"/>
        <v>211149</v>
      </c>
      <c r="K56" s="397">
        <f t="shared" si="0"/>
        <v>215397.4</v>
      </c>
      <c r="L56" s="397">
        <f t="shared" si="0"/>
        <v>223966.9</v>
      </c>
      <c r="M56" s="397">
        <f t="shared" si="0"/>
        <v>213852.46</v>
      </c>
      <c r="N56" s="397">
        <f t="shared" si="0"/>
        <v>206373.71691971007</v>
      </c>
      <c r="O56" s="398">
        <f t="shared" si="0"/>
        <v>200058.32997318995</v>
      </c>
    </row>
    <row r="57" spans="2:15" x14ac:dyDescent="0.2">
      <c r="O57" s="1"/>
    </row>
    <row r="60" spans="2:15" x14ac:dyDescent="0.2">
      <c r="O60" s="1"/>
    </row>
    <row r="61" spans="2:15" x14ac:dyDescent="0.2">
      <c r="O61" s="1"/>
    </row>
  </sheetData>
  <pageMargins left="0.70866141732283472" right="0.70866141732283472" top="0.74803149606299213" bottom="0.74803149606299213" header="0.31496062992125984" footer="0.31496062992125984"/>
  <pageSetup scale="58"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showGridLines="0" zoomScaleNormal="100" workbookViewId="0">
      <selection activeCell="E13" sqref="E13:F13"/>
    </sheetView>
  </sheetViews>
  <sheetFormatPr defaultColWidth="10.5" defaultRowHeight="12.75" x14ac:dyDescent="0.2"/>
  <cols>
    <col min="1" max="1" width="13.6640625" style="62" customWidth="1"/>
    <col min="2" max="2" width="24.5" style="62" customWidth="1"/>
    <col min="3" max="16" width="14.1640625" style="62" customWidth="1"/>
    <col min="17" max="17" width="10.83203125" style="62" customWidth="1"/>
    <col min="18" max="18" width="8.5" style="62" bestFit="1" customWidth="1"/>
    <col min="19" max="19" width="10.6640625" style="62" bestFit="1" customWidth="1"/>
    <col min="20" max="20" width="8.33203125" style="62" bestFit="1" customWidth="1"/>
    <col min="21" max="22" width="9" style="62" bestFit="1" customWidth="1"/>
    <col min="23" max="23" width="10.83203125" style="62" customWidth="1"/>
    <col min="24" max="24" width="9.6640625" style="62" bestFit="1" customWidth="1"/>
    <col min="25" max="25" width="8.5" style="62" bestFit="1" customWidth="1"/>
    <col min="26" max="26" width="9.5" style="62" bestFit="1" customWidth="1"/>
    <col min="27" max="27" width="8.33203125" style="62" bestFit="1" customWidth="1"/>
    <col min="28" max="29" width="9" style="62" bestFit="1" customWidth="1"/>
    <col min="30" max="30" width="10.83203125" style="62" bestFit="1" customWidth="1"/>
    <col min="31" max="31" width="8" style="62" bestFit="1" customWidth="1"/>
    <col min="32" max="32" width="9" style="62" bestFit="1" customWidth="1"/>
    <col min="33" max="16384" width="10.5" style="62"/>
  </cols>
  <sheetData>
    <row r="1" spans="1:16" x14ac:dyDescent="0.2">
      <c r="A1" s="758" t="s">
        <v>272</v>
      </c>
    </row>
    <row r="11" spans="1:16" ht="23.25" x14ac:dyDescent="0.2">
      <c r="B11" s="154" t="s">
        <v>59</v>
      </c>
    </row>
    <row r="12" spans="1:16" ht="13.5" thickBot="1" x14ac:dyDescent="0.25"/>
    <row r="13" spans="1:16" ht="40.5" customHeight="1" x14ac:dyDescent="0.2">
      <c r="B13" s="202"/>
      <c r="C13" s="1120" t="str">
        <f>+'11. Final Load Forecast'!B14</f>
        <v>Residential</v>
      </c>
      <c r="D13" s="1121"/>
      <c r="E13" s="1120" t="str">
        <f>+'11. Final Load Forecast'!B18</f>
        <v>General Service &lt; 50 kW</v>
      </c>
      <c r="F13" s="1121"/>
      <c r="G13" s="1123" t="str">
        <f>+'11. Final Load Forecast'!B22</f>
        <v>Unmetered Scattered Load</v>
      </c>
      <c r="H13" s="1124"/>
      <c r="I13" s="1123" t="str">
        <f>+'11. Final Load Forecast'!B26</f>
        <v>General Service &gt; 50 kW - 4999 kW</v>
      </c>
      <c r="J13" s="1124"/>
      <c r="K13" s="1123" t="str">
        <f>+'11. Final Load Forecast'!B30</f>
        <v>Streetlighting</v>
      </c>
      <c r="L13" s="1124"/>
      <c r="M13" s="1120" t="str">
        <f>+'11. Final Load Forecast'!B34</f>
        <v>Sentinel Lighting</v>
      </c>
      <c r="N13" s="1121"/>
      <c r="O13" s="1120">
        <f>+'11. Final Load Forecast'!B38</f>
        <v>0</v>
      </c>
      <c r="P13" s="1122"/>
    </row>
    <row r="14" spans="1:16" ht="25.5" x14ac:dyDescent="0.2">
      <c r="B14" s="92" t="s">
        <v>33</v>
      </c>
      <c r="C14" s="93" t="s">
        <v>48</v>
      </c>
      <c r="D14" s="93" t="s">
        <v>132</v>
      </c>
      <c r="E14" s="93" t="s">
        <v>48</v>
      </c>
      <c r="F14" s="93" t="s">
        <v>132</v>
      </c>
      <c r="G14" s="93" t="s">
        <v>48</v>
      </c>
      <c r="H14" s="93" t="s">
        <v>132</v>
      </c>
      <c r="I14" s="93" t="s">
        <v>48</v>
      </c>
      <c r="J14" s="93" t="s">
        <v>132</v>
      </c>
      <c r="K14" s="93" t="s">
        <v>48</v>
      </c>
      <c r="L14" s="93" t="s">
        <v>132</v>
      </c>
      <c r="M14" s="93" t="s">
        <v>48</v>
      </c>
      <c r="N14" s="93" t="s">
        <v>132</v>
      </c>
      <c r="O14" s="93" t="s">
        <v>48</v>
      </c>
      <c r="P14" s="94" t="s">
        <v>132</v>
      </c>
    </row>
    <row r="15" spans="1:16" x14ac:dyDescent="0.2">
      <c r="B15" s="203">
        <f>'4. Customer Growth'!B17</f>
        <v>2005</v>
      </c>
      <c r="C15" s="95">
        <f>+'11. Final Load Forecast'!$D$15/'11. Final Load Forecast'!$D$14</f>
        <v>8912.1624347826091</v>
      </c>
      <c r="D15" s="95">
        <f>+'11. Final Load Forecast'!$D$16/'11. Final Load Forecast'!$D$14</f>
        <v>0</v>
      </c>
      <c r="E15" s="95">
        <f>+'11. Final Load Forecast'!$D$19/'11. Final Load Forecast'!$D$18</f>
        <v>29288.04077540107</v>
      </c>
      <c r="F15" s="95">
        <f>+'11. Final Load Forecast'!$D$20/'11. Final Load Forecast'!$D$18</f>
        <v>0</v>
      </c>
      <c r="G15" s="95">
        <f>+'11. Final Load Forecast'!$D$23/'11. Final Load Forecast'!$D$22</f>
        <v>34905.294117647056</v>
      </c>
      <c r="H15" s="95">
        <f>+'11. Final Load Forecast'!$D$24/'11. Final Load Forecast'!$D$22</f>
        <v>0</v>
      </c>
      <c r="I15" s="95">
        <f>+'11. Final Load Forecast'!$D$27/'11. Final Load Forecast'!$D$26</f>
        <v>555440.72388059704</v>
      </c>
      <c r="J15" s="95">
        <f>+'11. Final Load Forecast'!$D$28/'11. Final Load Forecast'!$D$26</f>
        <v>1589.1268656716418</v>
      </c>
      <c r="K15" s="95">
        <f>+'11. Final Load Forecast'!$D$31/'11. Final Load Forecast'!$D$30</f>
        <v>931.87903225806451</v>
      </c>
      <c r="L15" s="95">
        <f>+'11. Final Load Forecast'!$D$32/'11. Final Load Forecast'!$D$30</f>
        <v>2.6013824884792625</v>
      </c>
      <c r="M15" s="95">
        <f>+'11. Final Load Forecast'!$D$35/'11. Final Load Forecast'!$D$34</f>
        <v>1136.712</v>
      </c>
      <c r="N15" s="95">
        <f>+'11. Final Load Forecast'!$D$36/'11. Final Load Forecast'!$D$34</f>
        <v>3.1320000000000001</v>
      </c>
      <c r="O15" s="95" t="e">
        <f>+'11. Final Load Forecast'!$D$39/'11. Final Load Forecast'!$D$39</f>
        <v>#DIV/0!</v>
      </c>
      <c r="P15" s="96" t="e">
        <f>+'11. Final Load Forecast'!$D$40/'11. Final Load Forecast'!$D$39</f>
        <v>#DIV/0!</v>
      </c>
    </row>
    <row r="16" spans="1:16" x14ac:dyDescent="0.2">
      <c r="B16" s="203">
        <f>'4. Customer Growth'!B18</f>
        <v>2006</v>
      </c>
      <c r="C16" s="95">
        <f>+'11. Final Load Forecast'!$E$15/'11. Final Load Forecast'!$E$14</f>
        <v>9234.335901563938</v>
      </c>
      <c r="D16" s="95">
        <f>+'11. Final Load Forecast'!$E$16/'11. Final Load Forecast'!$E$14</f>
        <v>0</v>
      </c>
      <c r="E16" s="95">
        <f>+'11. Final Load Forecast'!$E$19/'11. Final Load Forecast'!$E$18</f>
        <v>27315.457556935817</v>
      </c>
      <c r="F16" s="95">
        <f>+'11. Final Load Forecast'!$E$20/'11. Final Load Forecast'!$E$18</f>
        <v>0</v>
      </c>
      <c r="G16" s="95">
        <f>+'11. Final Load Forecast'!$E$23/'11. Final Load Forecast'!$E$22</f>
        <v>18200.3</v>
      </c>
      <c r="H16" s="95">
        <f>+'11. Final Load Forecast'!$E$24/'11. Final Load Forecast'!$E$22</f>
        <v>0</v>
      </c>
      <c r="I16" s="95">
        <f>+'11. Final Load Forecast'!$E$27/'11. Final Load Forecast'!$E$26</f>
        <v>554675.69852941181</v>
      </c>
      <c r="J16" s="95">
        <f>+'11. Final Load Forecast'!$E$28/'11. Final Load Forecast'!$E$26</f>
        <v>1522.0588235294117</v>
      </c>
      <c r="K16" s="95">
        <f>+'11. Final Load Forecast'!$E$31/'11. Final Load Forecast'!$E$30</f>
        <v>955.40455407969637</v>
      </c>
      <c r="L16" s="95">
        <f>+'11. Final Load Forecast'!$E$32/'11. Final Load Forecast'!$E$30</f>
        <v>2.5745730550284631</v>
      </c>
      <c r="M16" s="95">
        <f>+'11. Final Load Forecast'!$E$35/'11. Final Load Forecast'!$E$34</f>
        <v>1188.9066666666668</v>
      </c>
      <c r="N16" s="95">
        <f>+'11. Final Load Forecast'!$E$36/'11. Final Load Forecast'!$E$34</f>
        <v>3.4088888888888889</v>
      </c>
      <c r="O16" s="95" t="e">
        <f>+'11. Final Load Forecast'!$E$39/'11. Final Load Forecast'!$E$38</f>
        <v>#DIV/0!</v>
      </c>
      <c r="P16" s="96" t="e">
        <f>+'11. Final Load Forecast'!$E$40/'11. Final Load Forecast'!$E$38</f>
        <v>#DIV/0!</v>
      </c>
    </row>
    <row r="17" spans="2:16" x14ac:dyDescent="0.2">
      <c r="B17" s="203">
        <f>'4. Customer Growth'!B19</f>
        <v>2007</v>
      </c>
      <c r="C17" s="95">
        <f>+'11. Final Load Forecast'!$F$15/'11. Final Load Forecast'!$F$14</f>
        <v>8956.1350891134061</v>
      </c>
      <c r="D17" s="95">
        <f>+'11. Final Load Forecast'!$F$16/'11. Final Load Forecast'!$F$14</f>
        <v>0</v>
      </c>
      <c r="E17" s="95">
        <f>+'11. Final Load Forecast'!$F$19/'11. Final Load Forecast'!$F$18</f>
        <v>24772.36962552011</v>
      </c>
      <c r="F17" s="95">
        <f>+'11. Final Load Forecast'!$F$20/'11. Final Load Forecast'!$F$18</f>
        <v>0</v>
      </c>
      <c r="G17" s="95">
        <f>+'11. Final Load Forecast'!$F$23/'11. Final Load Forecast'!$F$22</f>
        <v>17409.95</v>
      </c>
      <c r="H17" s="95">
        <f>+'11. Final Load Forecast'!$F$24/'11. Final Load Forecast'!$F$22</f>
        <v>0</v>
      </c>
      <c r="I17" s="95">
        <f>+'11. Final Load Forecast'!$F$27/'11. Final Load Forecast'!$F$26</f>
        <v>577409.3161764706</v>
      </c>
      <c r="J17" s="95">
        <f>+'11. Final Load Forecast'!$F$28/'11. Final Load Forecast'!$F$26</f>
        <v>1566.4632352941176</v>
      </c>
      <c r="K17" s="95">
        <f>+'11. Final Load Forecast'!$F$31/'11. Final Load Forecast'!$F$30</f>
        <v>916.34327794561932</v>
      </c>
      <c r="L17" s="95">
        <f>+'11. Final Load Forecast'!$F$32/'11. Final Load Forecast'!$F$30</f>
        <v>2.559667673716012</v>
      </c>
      <c r="M17" s="95">
        <f>+'11. Final Load Forecast'!$F$35/'11. Final Load Forecast'!$F$34</f>
        <v>1182.2711111111112</v>
      </c>
      <c r="N17" s="95">
        <f>+'11. Final Load Forecast'!$F$36/'11. Final Load Forecast'!$F$34</f>
        <v>3.4044444444444446</v>
      </c>
      <c r="O17" s="95" t="e">
        <f>+'11. Final Load Forecast'!$F$39/'11. Final Load Forecast'!$F$38</f>
        <v>#DIV/0!</v>
      </c>
      <c r="P17" s="96" t="e">
        <f>+'11. Final Load Forecast'!$F$40/'11. Final Load Forecast'!$F$38</f>
        <v>#DIV/0!</v>
      </c>
    </row>
    <row r="18" spans="2:16" x14ac:dyDescent="0.2">
      <c r="B18" s="203">
        <f>'4. Customer Growth'!B20</f>
        <v>2008</v>
      </c>
      <c r="C18" s="95">
        <f>+'11. Final Load Forecast'!$G$15/'11. Final Load Forecast'!$G$14</f>
        <v>8956.1350891134061</v>
      </c>
      <c r="D18" s="95">
        <f>+'11. Final Load Forecast'!$G$16/'11. Final Load Forecast'!$G$14</f>
        <v>0</v>
      </c>
      <c r="E18" s="95">
        <f>+'11. Final Load Forecast'!$G$19/'11. Final Load Forecast'!$G$18</f>
        <v>25409.298793470545</v>
      </c>
      <c r="F18" s="95">
        <f>+'11. Final Load Forecast'!$G$20/'11. Final Load Forecast'!$G$18</f>
        <v>0</v>
      </c>
      <c r="G18" s="95">
        <f>+'11. Final Load Forecast'!$G$23/'11. Final Load Forecast'!$G$22</f>
        <v>19347.2</v>
      </c>
      <c r="H18" s="95">
        <f>+'11. Final Load Forecast'!$G$24/'11. Final Load Forecast'!$G$22</f>
        <v>0</v>
      </c>
      <c r="I18" s="95">
        <f>+'11. Final Load Forecast'!$G$27/'11. Final Load Forecast'!$G$26</f>
        <v>550305.10489510489</v>
      </c>
      <c r="J18" s="95">
        <f>+'11. Final Load Forecast'!$G$28/'11. Final Load Forecast'!$G$26</f>
        <v>1418.5664335664335</v>
      </c>
      <c r="K18" s="95">
        <f>+'11. Final Load Forecast'!$G$31/'11. Final Load Forecast'!$G$30</f>
        <v>893.51828119110439</v>
      </c>
      <c r="L18" s="95">
        <f>+'11. Final Load Forecast'!$G$32/'11. Final Load Forecast'!$G$30</f>
        <v>2.5359969845457973</v>
      </c>
      <c r="M18" s="95">
        <f>+'11. Final Load Forecast'!$G$35/'11. Final Load Forecast'!$G$34</f>
        <v>1159.8407079646017</v>
      </c>
      <c r="N18" s="95">
        <f>+'11. Final Load Forecast'!$G$36/'11. Final Load Forecast'!$G$34</f>
        <v>3.3230088495575223</v>
      </c>
      <c r="O18" s="95" t="e">
        <f>+'11. Final Load Forecast'!$G$39/'11. Final Load Forecast'!$G$38</f>
        <v>#DIV/0!</v>
      </c>
      <c r="P18" s="96" t="e">
        <f>+'11. Final Load Forecast'!$G$40/'11. Final Load Forecast'!$G$38</f>
        <v>#DIV/0!</v>
      </c>
    </row>
    <row r="19" spans="2:16" x14ac:dyDescent="0.2">
      <c r="B19" s="203">
        <f>'4. Customer Growth'!B21</f>
        <v>2009</v>
      </c>
      <c r="C19" s="95">
        <f>+'11. Final Load Forecast'!$H$15/'11. Final Load Forecast'!$H$14</f>
        <v>8506.7622581366722</v>
      </c>
      <c r="D19" s="95">
        <f>+'11. Final Load Forecast'!$H$16/'11. Final Load Forecast'!$H$14</f>
        <v>0</v>
      </c>
      <c r="E19" s="95">
        <f>+'11. Final Load Forecast'!$H$19/'11. Final Load Forecast'!$H$18</f>
        <v>24532.337417503586</v>
      </c>
      <c r="F19" s="95">
        <f>+'11. Final Load Forecast'!$H$20/'11. Final Load Forecast'!$H$18</f>
        <v>0</v>
      </c>
      <c r="G19" s="95">
        <f>+'11. Final Load Forecast'!$H$23/'11. Final Load Forecast'!$H$22</f>
        <v>21897.613499999999</v>
      </c>
      <c r="H19" s="95">
        <f>+'11. Final Load Forecast'!$H$24/'11. Final Load Forecast'!$H$22</f>
        <v>0</v>
      </c>
      <c r="I19" s="95">
        <f>+'11. Final Load Forecast'!$H$27/'11. Final Load Forecast'!$H$26</f>
        <v>545990.52625</v>
      </c>
      <c r="J19" s="95">
        <f>+'11. Final Load Forecast'!$H$28/'11. Final Load Forecast'!$H$26</f>
        <v>1457.3125</v>
      </c>
      <c r="K19" s="95">
        <f>+'11. Final Load Forecast'!$H$31/'11. Final Load Forecast'!$H$30</f>
        <v>893.92322102924845</v>
      </c>
      <c r="L19" s="95">
        <f>+'11. Final Load Forecast'!$H$32/'11. Final Load Forecast'!$H$30</f>
        <v>2.4627915586819698</v>
      </c>
      <c r="M19" s="95">
        <f>+'11. Final Load Forecast'!$H$35/'11. Final Load Forecast'!$H$34</f>
        <v>1174.2044690265488</v>
      </c>
      <c r="N19" s="95">
        <f>+'11. Final Load Forecast'!$H$36/'11. Final Load Forecast'!$H$34</f>
        <v>3.3451327433628317</v>
      </c>
      <c r="O19" s="95" t="e">
        <f>+'11. Final Load Forecast'!$H$39/'11. Final Load Forecast'!$H$38</f>
        <v>#DIV/0!</v>
      </c>
      <c r="P19" s="96" t="e">
        <f>+'11. Final Load Forecast'!$H$40/'11. Final Load Forecast'!$H$38</f>
        <v>#DIV/0!</v>
      </c>
    </row>
    <row r="20" spans="2:16" x14ac:dyDescent="0.2">
      <c r="B20" s="203">
        <f>'4. Customer Growth'!B22</f>
        <v>2010</v>
      </c>
      <c r="C20" s="95">
        <f>+'11. Final Load Forecast'!$I$15/'11. Final Load Forecast'!$I$14</f>
        <v>8408.8232439977673</v>
      </c>
      <c r="D20" s="95">
        <f>+'11. Final Load Forecast'!$I$16/'11. Final Load Forecast'!$I$14</f>
        <v>0</v>
      </c>
      <c r="E20" s="95">
        <f>+'11. Final Load Forecast'!$I$19/'11. Final Load Forecast'!$I$18</f>
        <v>24313.568972303205</v>
      </c>
      <c r="F20" s="95">
        <f>+'11. Final Load Forecast'!$I$20/'11. Final Load Forecast'!$I$18</f>
        <v>0</v>
      </c>
      <c r="G20" s="95">
        <f>+'11. Final Load Forecast'!$I$23/'11. Final Load Forecast'!$I$22</f>
        <v>22926.32</v>
      </c>
      <c r="H20" s="95">
        <f>+'11. Final Load Forecast'!$I$24/'11. Final Load Forecast'!$I$22</f>
        <v>0</v>
      </c>
      <c r="I20" s="95">
        <f>+'11. Final Load Forecast'!$I$27/'11. Final Load Forecast'!$I$26</f>
        <v>516961.0454054054</v>
      </c>
      <c r="J20" s="95">
        <f>+'11. Final Load Forecast'!$I$28/'11. Final Load Forecast'!$I$26</f>
        <v>1370.1013513513512</v>
      </c>
      <c r="K20" s="95">
        <f>+'11. Final Load Forecast'!$I$31/'11. Final Load Forecast'!$I$30</f>
        <v>878.6240508661997</v>
      </c>
      <c r="L20" s="95">
        <f>+'11. Final Load Forecast'!$I$32/'11. Final Load Forecast'!$I$30</f>
        <v>2.4939181717655732</v>
      </c>
      <c r="M20" s="95">
        <f>+'11. Final Load Forecast'!$I$35/'11. Final Load Forecast'!$I$34</f>
        <v>1081.8781944444445</v>
      </c>
      <c r="N20" s="95">
        <f>+'11. Final Load Forecast'!$I$36/'11. Final Load Forecast'!$I$34</f>
        <v>3.5462962962962963</v>
      </c>
      <c r="O20" s="95" t="e">
        <f>+'11. Final Load Forecast'!$I$39/'11. Final Load Forecast'!$I$38</f>
        <v>#DIV/0!</v>
      </c>
      <c r="P20" s="96" t="e">
        <f>+'11. Final Load Forecast'!$I$40/'11. Final Load Forecast'!$I$38</f>
        <v>#DIV/0!</v>
      </c>
    </row>
    <row r="21" spans="2:16" x14ac:dyDescent="0.2">
      <c r="B21" s="203">
        <f>'4. Customer Growth'!B23</f>
        <v>2011</v>
      </c>
      <c r="C21" s="95">
        <f>+'11. Final Load Forecast'!$J$15/'11. Final Load Forecast'!$J$14</f>
        <v>8778.573627906977</v>
      </c>
      <c r="D21" s="95">
        <f>+'11. Final Load Forecast'!$J$16/'11. Final Load Forecast'!$J$14</f>
        <v>0</v>
      </c>
      <c r="E21" s="95">
        <f>+'11. Final Load Forecast'!$J$19/'11. Final Load Forecast'!$J$18</f>
        <v>23561.32567153285</v>
      </c>
      <c r="F21" s="95">
        <f>+'11. Final Load Forecast'!$J$20/'11. Final Load Forecast'!$J$18</f>
        <v>0</v>
      </c>
      <c r="G21" s="95">
        <f>+'11. Final Load Forecast'!$J$23/'11. Final Load Forecast'!$J$22</f>
        <v>23465.351999999999</v>
      </c>
      <c r="H21" s="95">
        <f>+'11. Final Load Forecast'!$J$24/'11. Final Load Forecast'!$J$22</f>
        <v>0</v>
      </c>
      <c r="I21" s="95">
        <f>+'11. Final Load Forecast'!$J$27/'11. Final Load Forecast'!$J$26</f>
        <v>516234.46503448283</v>
      </c>
      <c r="J21" s="95">
        <f>+'11. Final Load Forecast'!$J$28/'11. Final Load Forecast'!$J$26</f>
        <v>1403.9655172413793</v>
      </c>
      <c r="K21" s="95">
        <f>+'11. Final Load Forecast'!$J$31/'11. Final Load Forecast'!$J$30</f>
        <v>888.02997472011555</v>
      </c>
      <c r="L21" s="95">
        <f>+'11. Final Load Forecast'!$J$32/'11. Final Load Forecast'!$J$30</f>
        <v>2.4702058504875408</v>
      </c>
      <c r="M21" s="95">
        <f>+'11. Final Load Forecast'!$J$35/'11. Final Load Forecast'!$J$34</f>
        <v>1296.1675598086126</v>
      </c>
      <c r="N21" s="95">
        <f>+'11. Final Load Forecast'!$J$36/'11. Final Load Forecast'!$J$34</f>
        <v>3.5119617224880382</v>
      </c>
      <c r="O21" s="95" t="e">
        <f>+'11. Final Load Forecast'!$J$39/'11. Final Load Forecast'!$J$38</f>
        <v>#DIV/0!</v>
      </c>
      <c r="P21" s="96" t="e">
        <f>+'11. Final Load Forecast'!$J$40/'11. Final Load Forecast'!$J$38</f>
        <v>#DIV/0!</v>
      </c>
    </row>
    <row r="22" spans="2:16" x14ac:dyDescent="0.2">
      <c r="B22" s="203">
        <f>'4. Customer Growth'!B24</f>
        <v>2012</v>
      </c>
      <c r="C22" s="95">
        <f>+'11. Final Load Forecast'!$K$15/'11. Final Load Forecast'!$K$14</f>
        <v>8645.1047069828874</v>
      </c>
      <c r="D22" s="95">
        <f>+'11. Final Load Forecast'!$K$16/'11. Final Load Forecast'!$K$14</f>
        <v>0</v>
      </c>
      <c r="E22" s="95">
        <f>+'11. Final Load Forecast'!$K$19/'11. Final Load Forecast'!$K$18</f>
        <v>23465.678384135146</v>
      </c>
      <c r="F22" s="95">
        <f>+'11. Final Load Forecast'!$K$20/'11. Final Load Forecast'!$K$18</f>
        <v>0</v>
      </c>
      <c r="G22" s="95">
        <f>+'11. Final Load Forecast'!$K$23/'11. Final Load Forecast'!$K$22</f>
        <v>22407.9545</v>
      </c>
      <c r="H22" s="95">
        <f>+'11. Final Load Forecast'!$K$24/'11. Final Load Forecast'!$K$22</f>
        <v>0</v>
      </c>
      <c r="I22" s="95">
        <f>+'11. Final Load Forecast'!$K$27/'11. Final Load Forecast'!$K$26</f>
        <v>513905.47124137927</v>
      </c>
      <c r="J22" s="95">
        <f>+'11. Final Load Forecast'!$K$28/'11. Final Load Forecast'!$K$26</f>
        <v>1433.903448275862</v>
      </c>
      <c r="K22" s="95">
        <f>+'11. Final Load Forecast'!$K$31/'11. Final Load Forecast'!$K$30</f>
        <v>876.80300594701748</v>
      </c>
      <c r="L22" s="95">
        <f>+'11. Final Load Forecast'!$K$32/'11. Final Load Forecast'!$K$30</f>
        <v>2.4395026130834379</v>
      </c>
      <c r="M22" s="95">
        <f>+'11. Final Load Forecast'!$K$35/'11. Final Load Forecast'!$K$34</f>
        <v>1169.0518465227817</v>
      </c>
      <c r="N22" s="95">
        <f>+'11. Final Load Forecast'!$K$36/'11. Final Load Forecast'!$K$34</f>
        <v>3.4196642685851319</v>
      </c>
      <c r="O22" s="95" t="e">
        <f>+'11. Final Load Forecast'!$K$39/'11. Final Load Forecast'!$K$38</f>
        <v>#DIV/0!</v>
      </c>
      <c r="P22" s="96" t="e">
        <f>+'11. Final Load Forecast'!$K$40/'11. Final Load Forecast'!$K$38</f>
        <v>#DIV/0!</v>
      </c>
    </row>
    <row r="23" spans="2:16" x14ac:dyDescent="0.2">
      <c r="B23" s="203">
        <f>'4. Customer Growth'!B25</f>
        <v>2013</v>
      </c>
      <c r="C23" s="95">
        <f>+'11. Final Load Forecast'!$L$15/'11. Final Load Forecast'!$L$14</f>
        <v>8715.4120565524736</v>
      </c>
      <c r="D23" s="95">
        <f>+'11. Final Load Forecast'!$L$16/'11. Final Load Forecast'!$L$14</f>
        <v>0</v>
      </c>
      <c r="E23" s="95">
        <f>+'11. Final Load Forecast'!$L$19/'11. Final Load Forecast'!$L$18</f>
        <v>23795.901861163227</v>
      </c>
      <c r="F23" s="95">
        <f>+'11. Final Load Forecast'!$L$20/'11. Final Load Forecast'!$L$18</f>
        <v>0</v>
      </c>
      <c r="G23" s="95">
        <f>+'11. Final Load Forecast'!$L$23/'11. Final Load Forecast'!$L$22</f>
        <v>22673.535</v>
      </c>
      <c r="H23" s="95">
        <f>+'11. Final Load Forecast'!$L$24/'11. Final Load Forecast'!$L$22</f>
        <v>0</v>
      </c>
      <c r="I23" s="95">
        <f>+'11. Final Load Forecast'!$L$27/'11. Final Load Forecast'!$L$26</f>
        <v>505820.7794501718</v>
      </c>
      <c r="J23" s="95">
        <f>+'11. Final Load Forecast'!$L$28/'11. Final Load Forecast'!$L$26</f>
        <v>1487.979381443299</v>
      </c>
      <c r="K23" s="95">
        <f>+'11. Final Load Forecast'!$L$31/'11. Final Load Forecast'!$L$30</f>
        <v>869.84169716541089</v>
      </c>
      <c r="L23" s="95">
        <f>+'11. Final Load Forecast'!$L$32/'11. Final Load Forecast'!$L$30</f>
        <v>2.4276641550053824</v>
      </c>
      <c r="M23" s="95">
        <f>+'11. Final Load Forecast'!$L$35/'11. Final Load Forecast'!$L$34</f>
        <v>1311.8596610169493</v>
      </c>
      <c r="N23" s="95">
        <f>+'11. Final Load Forecast'!$L$36/'11. Final Load Forecast'!$L$34</f>
        <v>3.3898305084745761</v>
      </c>
      <c r="O23" s="95" t="e">
        <f>+'11. Final Load Forecast'!$L$39/'11. Final Load Forecast'!$L$38</f>
        <v>#DIV/0!</v>
      </c>
      <c r="P23" s="96" t="e">
        <f>+'11. Final Load Forecast'!$L$40/'11. Final Load Forecast'!$L$38</f>
        <v>#DIV/0!</v>
      </c>
    </row>
    <row r="24" spans="2:16" x14ac:dyDescent="0.2">
      <c r="B24" s="203">
        <f>'4. Customer Growth'!B26</f>
        <v>2014</v>
      </c>
      <c r="C24" s="95">
        <f>+'11. Final Load Forecast'!$M$15/'11. Final Load Forecast'!$M$14</f>
        <v>8542.0739634605052</v>
      </c>
      <c r="D24" s="95">
        <f>+'11. Final Load Forecast'!$M$16/'11. Final Load Forecast'!$M$14</f>
        <v>0</v>
      </c>
      <c r="E24" s="95">
        <f>+'11. Final Load Forecast'!$M$19/'11. Final Load Forecast'!$M$18</f>
        <v>24013.449256449167</v>
      </c>
      <c r="F24" s="95">
        <f>+'11. Final Load Forecast'!$M$20/'11. Final Load Forecast'!$M$18</f>
        <v>0</v>
      </c>
      <c r="G24" s="95">
        <f>+'11. Final Load Forecast'!$M$23/'11. Final Load Forecast'!$M$22</f>
        <v>22720.3125</v>
      </c>
      <c r="H24" s="95">
        <f>+'11. Final Load Forecast'!$M$24/'11. Final Load Forecast'!$M$22</f>
        <v>0</v>
      </c>
      <c r="I24" s="95">
        <f>+'11. Final Load Forecast'!$M$27/'11. Final Load Forecast'!$M$26</f>
        <v>494968.25242320809</v>
      </c>
      <c r="J24" s="95">
        <f>+'11. Final Load Forecast'!$M$28/'11. Final Load Forecast'!$M$26</f>
        <v>1408.8668941979522</v>
      </c>
      <c r="K24" s="95">
        <f>+'11. Final Load Forecast'!$M$31/'11. Final Load Forecast'!$M$30</f>
        <v>870.57683140053518</v>
      </c>
      <c r="L24" s="95">
        <f>+'11. Final Load Forecast'!$M$32/'11. Final Load Forecast'!$M$30</f>
        <v>2.4156859946476357</v>
      </c>
      <c r="M24" s="95">
        <f>+'11. Final Load Forecast'!$M$35/'11. Final Load Forecast'!$M$34</f>
        <v>1203.7768137254902</v>
      </c>
      <c r="N24" s="95">
        <f>+'11. Final Load Forecast'!$M$36/'11. Final Load Forecast'!$M$34</f>
        <v>3.3504901960784315</v>
      </c>
      <c r="O24" s="95" t="e">
        <f>+'11. Final Load Forecast'!$M$39/'11. Final Load Forecast'!$M$38</f>
        <v>#DIV/0!</v>
      </c>
      <c r="P24" s="96" t="e">
        <f>+'11. Final Load Forecast'!$M$40/'11. Final Load Forecast'!$M$38</f>
        <v>#DIV/0!</v>
      </c>
    </row>
    <row r="25" spans="2:16" x14ac:dyDescent="0.2">
      <c r="B25" s="204" t="str">
        <f>'4. Customer Growth'!B30</f>
        <v>2015</v>
      </c>
      <c r="C25" s="95">
        <f>+'11. Final Load Forecast'!$N$15/'11. Final Load Forecast'!$N$14</f>
        <v>8358.9669190130626</v>
      </c>
      <c r="D25" s="95">
        <f>+'11. Final Load Forecast'!$N$16/'11. Final Load Forecast'!$N$14</f>
        <v>0</v>
      </c>
      <c r="E25" s="95">
        <f>+'11. Final Load Forecast'!$N$19/'11. Final Load Forecast'!$N$18</f>
        <v>26896.253614401041</v>
      </c>
      <c r="F25" s="95">
        <f>+'11. Final Load Forecast'!$N$20/'11. Final Load Forecast'!$N$18</f>
        <v>0</v>
      </c>
      <c r="G25" s="95">
        <f>+'11. Final Load Forecast'!$N$23/'11. Final Load Forecast'!$N$22</f>
        <v>22651.810357759518</v>
      </c>
      <c r="H25" s="95">
        <f>+'11. Final Load Forecast'!$N$24/'11. Final Load Forecast'!$N$22</f>
        <v>0</v>
      </c>
      <c r="I25" s="95">
        <f>+'11. Final Load Forecast'!$N$27/'11. Final Load Forecast'!$N$26</f>
        <v>495165.90043519915</v>
      </c>
      <c r="J25" s="95">
        <f>+'11. Final Load Forecast'!$N$28/'11. Final Load Forecast'!$N$26</f>
        <v>1362.3555189471404</v>
      </c>
      <c r="K25" s="95">
        <f>+'11. Final Load Forecast'!$N$31/'11. Final Load Forecast'!$N$30</f>
        <v>860.89614192618353</v>
      </c>
      <c r="L25" s="95">
        <f>+'11. Final Load Forecast'!$N$32/'11. Final Load Forecast'!$N$30</f>
        <v>2.3968215099676149</v>
      </c>
      <c r="M25" s="95">
        <f>+'11. Final Load Forecast'!$N$35/'11. Final Load Forecast'!$N$34</f>
        <v>1227.5714946636895</v>
      </c>
      <c r="N25" s="95">
        <f>+'11. Final Load Forecast'!$N$36/'11. Final Load Forecast'!$N$34</f>
        <v>3.4980775440322258</v>
      </c>
      <c r="O25" s="95" t="e">
        <f>+'11. Final Load Forecast'!$N$39/'11. Final Load Forecast'!$N$38</f>
        <v>#DIV/0!</v>
      </c>
      <c r="P25" s="96" t="e">
        <f>+'11. Final Load Forecast'!$N$40/'11. Final Load Forecast'!$N$38</f>
        <v>#DIV/0!</v>
      </c>
    </row>
    <row r="26" spans="2:16" ht="13.5" thickBot="1" x14ac:dyDescent="0.25">
      <c r="B26" s="205" t="str">
        <f>'4. Customer Growth'!B31</f>
        <v>2016</v>
      </c>
      <c r="C26" s="97">
        <f>+'11. Final Load Forecast'!$O$15/'11. Final Load Forecast'!$O$14</f>
        <v>8162.6697102490461</v>
      </c>
      <c r="D26" s="97">
        <f>+'11. Final Load Forecast'!$O$16/'11. Final Load Forecast'!$O$14</f>
        <v>0</v>
      </c>
      <c r="E26" s="97">
        <f>+'11. Final Load Forecast'!$O$19/'11. Final Load Forecast'!$O$18</f>
        <v>26862.48816109906</v>
      </c>
      <c r="F26" s="97">
        <f>+'11. Final Load Forecast'!$O$20/'11. Final Load Forecast'!$O$18</f>
        <v>0</v>
      </c>
      <c r="G26" s="97">
        <f>+'11. Final Load Forecast'!$O$23/'11. Final Load Forecast'!$O$22</f>
        <v>22307.168800693697</v>
      </c>
      <c r="H26" s="97">
        <f>+'11. Final Load Forecast'!$O$24/'11. Final Load Forecast'!$O$22</f>
        <v>0</v>
      </c>
      <c r="I26" s="97">
        <f>+'11. Final Load Forecast'!$O$27/'11. Final Load Forecast'!$O$26</f>
        <v>481042.45402388979</v>
      </c>
      <c r="J26" s="97">
        <f>+'11. Final Load Forecast'!$O$28/'11. Final Load Forecast'!$O$26</f>
        <v>1323.4975217625797</v>
      </c>
      <c r="K26" s="97">
        <f>+'11. Final Load Forecast'!$O$31/'11. Final Load Forecast'!$O$30</f>
        <v>440.51266738630261</v>
      </c>
      <c r="L26" s="97">
        <f>+'11. Final Load Forecast'!$O$32/'11. Final Load Forecast'!$O$30</f>
        <v>1.2264316044469279</v>
      </c>
      <c r="M26" s="97">
        <f>+'11. Final Load Forecast'!$O$35/'11. Final Load Forecast'!$O$34</f>
        <v>1236.5182664509673</v>
      </c>
      <c r="N26" s="97">
        <f>+'11. Final Load Forecast'!$O$36/'11. Final Load Forecast'!$O$34</f>
        <v>3.5235721906713051</v>
      </c>
      <c r="O26" s="97" t="e">
        <f>+'11. Final Load Forecast'!$O$39/'11. Final Load Forecast'!$O$38</f>
        <v>#DIV/0!</v>
      </c>
      <c r="P26" s="98" t="e">
        <f>+'11. Final Load Forecast'!$O$40/'11. Final Load Forecast'!$O$38</f>
        <v>#DIV/0!</v>
      </c>
    </row>
  </sheetData>
  <mergeCells count="7">
    <mergeCell ref="C13:D13"/>
    <mergeCell ref="E13:F13"/>
    <mergeCell ref="O13:P13"/>
    <mergeCell ref="M13:N13"/>
    <mergeCell ref="G13:H13"/>
    <mergeCell ref="K13:L13"/>
    <mergeCell ref="I13:J13"/>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showGridLines="0" topLeftCell="A10" workbookViewId="0">
      <selection activeCell="S54" sqref="S54"/>
    </sheetView>
  </sheetViews>
  <sheetFormatPr defaultRowHeight="12.75" x14ac:dyDescent="0.2"/>
  <cols>
    <col min="1" max="1" width="13.1640625" customWidth="1"/>
    <col min="2" max="2" width="23.1640625" customWidth="1"/>
    <col min="3" max="3" width="18.83203125" bestFit="1" customWidth="1"/>
    <col min="4" max="4" width="19.83203125" bestFit="1" customWidth="1"/>
    <col min="5" max="5" width="18.83203125" bestFit="1" customWidth="1"/>
    <col min="6" max="6" width="19.83203125" bestFit="1" customWidth="1"/>
    <col min="7" max="7" width="18.83203125" bestFit="1" customWidth="1"/>
    <col min="8" max="8" width="19.83203125" bestFit="1" customWidth="1"/>
    <col min="9" max="9" width="18.83203125" bestFit="1" customWidth="1"/>
  </cols>
  <sheetData>
    <row r="1" spans="1:10" s="536" customFormat="1" x14ac:dyDescent="0.2">
      <c r="A1" s="758" t="s">
        <v>272</v>
      </c>
    </row>
    <row r="2" spans="1:10" s="536" customFormat="1" x14ac:dyDescent="0.2"/>
    <row r="3" spans="1:10" s="536" customFormat="1" x14ac:dyDescent="0.2"/>
    <row r="4" spans="1:10" s="536" customFormat="1" x14ac:dyDescent="0.2"/>
    <row r="5" spans="1:10" s="536" customFormat="1" x14ac:dyDescent="0.2"/>
    <row r="6" spans="1:10" s="536" customFormat="1" x14ac:dyDescent="0.2"/>
    <row r="7" spans="1:10" s="536" customFormat="1" x14ac:dyDescent="0.2"/>
    <row r="8" spans="1:10" s="536" customFormat="1" x14ac:dyDescent="0.2"/>
    <row r="9" spans="1:10" s="536" customFormat="1" x14ac:dyDescent="0.2"/>
    <row r="10" spans="1:10" s="536" customFormat="1" x14ac:dyDescent="0.2"/>
    <row r="11" spans="1:10" s="536" customFormat="1" ht="23.25" x14ac:dyDescent="0.2">
      <c r="B11" s="133" t="s">
        <v>103</v>
      </c>
    </row>
    <row r="12" spans="1:10" s="536" customFormat="1" ht="12.75" customHeight="1" x14ac:dyDescent="0.2">
      <c r="B12" s="133"/>
    </row>
    <row r="13" spans="1:10" s="536" customFormat="1" x14ac:dyDescent="0.2">
      <c r="B13" s="784" t="s">
        <v>282</v>
      </c>
      <c r="C13" s="785" t="s">
        <v>283</v>
      </c>
      <c r="D13" s="784" t="s">
        <v>282</v>
      </c>
      <c r="E13" s="785" t="s">
        <v>283</v>
      </c>
      <c r="F13" s="784" t="s">
        <v>282</v>
      </c>
      <c r="G13" s="785" t="s">
        <v>283</v>
      </c>
      <c r="H13" s="784" t="s">
        <v>282</v>
      </c>
      <c r="I13" s="785" t="s">
        <v>283</v>
      </c>
    </row>
    <row r="14" spans="1:10" s="536" customFormat="1" x14ac:dyDescent="0.2">
      <c r="B14" s="786" t="s">
        <v>284</v>
      </c>
      <c r="C14" s="787">
        <v>13142570.375399999</v>
      </c>
      <c r="D14" s="786" t="s">
        <v>285</v>
      </c>
      <c r="E14" s="787">
        <v>14771571.713964712</v>
      </c>
      <c r="F14" s="786" t="s">
        <v>286</v>
      </c>
      <c r="G14" s="787">
        <v>16076421.379999999</v>
      </c>
      <c r="H14" s="788" t="s">
        <v>287</v>
      </c>
      <c r="I14" s="787">
        <v>18286019</v>
      </c>
    </row>
    <row r="15" spans="1:10" x14ac:dyDescent="0.2">
      <c r="B15" s="786" t="s">
        <v>288</v>
      </c>
      <c r="C15" s="787">
        <v>13197164.210000001</v>
      </c>
      <c r="D15" s="789" t="s">
        <v>289</v>
      </c>
      <c r="E15" s="787">
        <v>14773248.220000001</v>
      </c>
      <c r="F15" s="786" t="s">
        <v>290</v>
      </c>
      <c r="G15" s="787">
        <v>16145185.029999999</v>
      </c>
      <c r="H15" s="790" t="s">
        <v>291</v>
      </c>
      <c r="I15" s="787">
        <v>18353283.109999999</v>
      </c>
      <c r="J15" s="515"/>
    </row>
    <row r="16" spans="1:10" x14ac:dyDescent="0.2">
      <c r="B16" s="790" t="s">
        <v>292</v>
      </c>
      <c r="C16" s="787">
        <v>13231223.890000001</v>
      </c>
      <c r="D16" s="786" t="s">
        <v>293</v>
      </c>
      <c r="E16" s="787">
        <v>14838362.260899998</v>
      </c>
      <c r="F16" s="789" t="s">
        <v>294</v>
      </c>
      <c r="G16" s="787">
        <v>16259992.859999999</v>
      </c>
      <c r="H16" s="788" t="s">
        <v>295</v>
      </c>
      <c r="I16" s="787">
        <v>18549948.033</v>
      </c>
      <c r="J16" s="515"/>
    </row>
    <row r="17" spans="2:10" x14ac:dyDescent="0.2">
      <c r="B17" s="786" t="s">
        <v>296</v>
      </c>
      <c r="C17" s="787">
        <v>13562494.850000001</v>
      </c>
      <c r="D17" s="790" t="s">
        <v>297</v>
      </c>
      <c r="E17" s="787">
        <v>14896602.02</v>
      </c>
      <c r="F17" s="790" t="s">
        <v>298</v>
      </c>
      <c r="G17" s="787">
        <v>16320059.470000001</v>
      </c>
      <c r="H17" s="790" t="s">
        <v>299</v>
      </c>
      <c r="I17" s="787">
        <v>18569676.210000001</v>
      </c>
      <c r="J17" s="515"/>
    </row>
    <row r="18" spans="2:10" x14ac:dyDescent="0.2">
      <c r="B18" s="786" t="s">
        <v>300</v>
      </c>
      <c r="C18" s="787">
        <v>13562663.460000001</v>
      </c>
      <c r="D18" s="789" t="s">
        <v>301</v>
      </c>
      <c r="E18" s="787">
        <v>14962494.51</v>
      </c>
      <c r="F18" s="790" t="s">
        <v>302</v>
      </c>
      <c r="G18" s="787">
        <v>16336448.780000001</v>
      </c>
      <c r="H18" s="790" t="s">
        <v>303</v>
      </c>
      <c r="I18" s="787">
        <v>18576054.222617</v>
      </c>
      <c r="J18" s="515"/>
    </row>
    <row r="19" spans="2:10" x14ac:dyDescent="0.2">
      <c r="B19" s="790" t="s">
        <v>304</v>
      </c>
      <c r="C19" s="787">
        <v>13621301.949999999</v>
      </c>
      <c r="D19" s="786" t="s">
        <v>305</v>
      </c>
      <c r="E19" s="787">
        <v>14969028.680756001</v>
      </c>
      <c r="F19" s="789" t="s">
        <v>306</v>
      </c>
      <c r="G19" s="787">
        <v>16379523.159999998</v>
      </c>
      <c r="H19" s="788" t="s">
        <v>307</v>
      </c>
      <c r="I19" s="787">
        <v>18577263.48</v>
      </c>
      <c r="J19" s="515"/>
    </row>
    <row r="20" spans="2:10" x14ac:dyDescent="0.2">
      <c r="B20" s="790" t="s">
        <v>308</v>
      </c>
      <c r="C20" s="787">
        <v>13925725.6516</v>
      </c>
      <c r="D20" s="786" t="s">
        <v>309</v>
      </c>
      <c r="E20" s="787">
        <v>15016413.851820258</v>
      </c>
      <c r="F20" s="789" t="s">
        <v>310</v>
      </c>
      <c r="G20" s="787">
        <v>16553181.857891716</v>
      </c>
      <c r="H20" s="790" t="s">
        <v>311</v>
      </c>
      <c r="I20" s="787">
        <v>18728375.258694019</v>
      </c>
      <c r="J20" s="515"/>
    </row>
    <row r="21" spans="2:10" x14ac:dyDescent="0.2">
      <c r="B21" s="789" t="s">
        <v>312</v>
      </c>
      <c r="C21" s="787">
        <v>14032949.92</v>
      </c>
      <c r="D21" s="789" t="s">
        <v>313</v>
      </c>
      <c r="E21" s="787">
        <v>15077804.041620001</v>
      </c>
      <c r="F21" s="790" t="s">
        <v>314</v>
      </c>
      <c r="G21" s="787">
        <v>16590760.577996613</v>
      </c>
      <c r="H21" s="788" t="s">
        <v>315</v>
      </c>
      <c r="I21" s="787">
        <v>19353299.849999998</v>
      </c>
      <c r="J21" s="515"/>
    </row>
    <row r="22" spans="2:10" x14ac:dyDescent="0.2">
      <c r="B22" s="789" t="s">
        <v>316</v>
      </c>
      <c r="C22" s="787">
        <v>14189419.83</v>
      </c>
      <c r="D22" s="789" t="s">
        <v>317</v>
      </c>
      <c r="E22" s="787">
        <v>15176419.100000001</v>
      </c>
      <c r="F22" s="786" t="s">
        <v>318</v>
      </c>
      <c r="G22" s="787">
        <v>16686329.729999999</v>
      </c>
      <c r="H22" s="788" t="s">
        <v>319</v>
      </c>
      <c r="I22" s="787">
        <v>19481450.321269371</v>
      </c>
      <c r="J22" s="515"/>
    </row>
    <row r="23" spans="2:10" x14ac:dyDescent="0.2">
      <c r="B23" s="786" t="s">
        <v>320</v>
      </c>
      <c r="C23" s="787">
        <v>14231044.66</v>
      </c>
      <c r="D23" s="786" t="s">
        <v>321</v>
      </c>
      <c r="E23" s="787">
        <v>15187168.289077807</v>
      </c>
      <c r="F23" s="790" t="s">
        <v>322</v>
      </c>
      <c r="G23" s="787">
        <v>16701386.796254</v>
      </c>
      <c r="H23" s="788" t="s">
        <v>323</v>
      </c>
      <c r="I23" s="787">
        <v>19661405.159099996</v>
      </c>
      <c r="J23" s="515"/>
    </row>
    <row r="24" spans="2:10" x14ac:dyDescent="0.2">
      <c r="B24" s="789" t="s">
        <v>324</v>
      </c>
      <c r="C24" s="787">
        <v>14261991.7149</v>
      </c>
      <c r="D24" s="790" t="s">
        <v>325</v>
      </c>
      <c r="E24" s="787">
        <v>15269362.011053002</v>
      </c>
      <c r="F24" s="786" t="s">
        <v>326</v>
      </c>
      <c r="G24" s="787">
        <v>16708052.818849999</v>
      </c>
      <c r="H24" s="788" t="s">
        <v>327</v>
      </c>
      <c r="I24" s="787">
        <v>19664058.609999999</v>
      </c>
      <c r="J24" s="515"/>
    </row>
    <row r="25" spans="2:10" x14ac:dyDescent="0.2">
      <c r="B25" s="786" t="s">
        <v>328</v>
      </c>
      <c r="C25" s="787">
        <v>14275293.41</v>
      </c>
      <c r="D25" s="790" t="s">
        <v>329</v>
      </c>
      <c r="E25" s="787">
        <v>15285765.959005743</v>
      </c>
      <c r="F25" s="786" t="s">
        <v>330</v>
      </c>
      <c r="G25" s="787">
        <v>16708349.158282166</v>
      </c>
      <c r="H25" s="788" t="s">
        <v>331</v>
      </c>
      <c r="I25" s="787">
        <v>19667098.419999998</v>
      </c>
      <c r="J25" s="515"/>
    </row>
    <row r="26" spans="2:10" x14ac:dyDescent="0.2">
      <c r="B26" s="786" t="s">
        <v>332</v>
      </c>
      <c r="C26" s="787">
        <v>14315020.859999999</v>
      </c>
      <c r="D26" s="789" t="s">
        <v>333</v>
      </c>
      <c r="E26" s="787">
        <v>15301048.23</v>
      </c>
      <c r="F26" s="786" t="s">
        <v>334</v>
      </c>
      <c r="G26" s="787">
        <v>16710915.369999999</v>
      </c>
      <c r="H26" s="788" t="s">
        <v>335</v>
      </c>
      <c r="I26" s="787">
        <v>19878921.599999998</v>
      </c>
      <c r="J26" s="515"/>
    </row>
    <row r="27" spans="2:10" x14ac:dyDescent="0.2">
      <c r="B27" s="789" t="s">
        <v>336</v>
      </c>
      <c r="C27" s="787">
        <v>14325029.304391</v>
      </c>
      <c r="D27" s="789" t="s">
        <v>337</v>
      </c>
      <c r="E27" s="787">
        <v>15381044.64521</v>
      </c>
      <c r="F27" s="789" t="s">
        <v>338</v>
      </c>
      <c r="G27" s="787">
        <v>16774606.08</v>
      </c>
      <c r="H27" s="788" t="s">
        <v>339</v>
      </c>
      <c r="I27" s="787">
        <v>20050342.48</v>
      </c>
      <c r="J27" s="515"/>
    </row>
    <row r="28" spans="2:10" x14ac:dyDescent="0.2">
      <c r="B28" s="786" t="s">
        <v>340</v>
      </c>
      <c r="C28" s="787">
        <v>14379977.777999999</v>
      </c>
      <c r="D28" s="789" t="s">
        <v>341</v>
      </c>
      <c r="E28" s="787">
        <v>15401820.369999999</v>
      </c>
      <c r="F28" s="786" t="s">
        <v>342</v>
      </c>
      <c r="G28" s="787">
        <v>16804953.34</v>
      </c>
      <c r="H28" s="788" t="s">
        <v>343</v>
      </c>
      <c r="I28" s="787">
        <v>20077998.356498003</v>
      </c>
      <c r="J28" s="515"/>
    </row>
    <row r="29" spans="2:10" x14ac:dyDescent="0.2">
      <c r="B29" s="789" t="s">
        <v>344</v>
      </c>
      <c r="C29" s="787">
        <v>14397153.609999999</v>
      </c>
      <c r="D29" s="786" t="s">
        <v>345</v>
      </c>
      <c r="E29" s="787">
        <v>15412186.68</v>
      </c>
      <c r="F29" s="789" t="s">
        <v>346</v>
      </c>
      <c r="G29" s="787">
        <v>17264814.59</v>
      </c>
      <c r="H29" s="788" t="s">
        <v>347</v>
      </c>
      <c r="I29" s="787">
        <v>20103852.542633999</v>
      </c>
      <c r="J29" s="515"/>
    </row>
    <row r="30" spans="2:10" x14ac:dyDescent="0.2">
      <c r="B30" s="789" t="s">
        <v>348</v>
      </c>
      <c r="C30" s="787">
        <v>14401253.280000001</v>
      </c>
      <c r="D30" s="786" t="s">
        <v>349</v>
      </c>
      <c r="E30" s="787">
        <v>15495250.050000001</v>
      </c>
      <c r="F30" s="790" t="s">
        <v>350</v>
      </c>
      <c r="G30" s="787">
        <v>17309380.59</v>
      </c>
      <c r="H30" s="788" t="s">
        <v>351</v>
      </c>
      <c r="I30" s="787">
        <v>20156456.619999997</v>
      </c>
      <c r="J30" s="515"/>
    </row>
    <row r="31" spans="2:10" x14ac:dyDescent="0.2">
      <c r="B31" s="789" t="s">
        <v>352</v>
      </c>
      <c r="C31" s="787">
        <v>14452668.02</v>
      </c>
      <c r="D31" s="789" t="s">
        <v>353</v>
      </c>
      <c r="E31" s="787">
        <v>15547543.850000001</v>
      </c>
      <c r="F31" s="789" t="s">
        <v>354</v>
      </c>
      <c r="G31" s="787">
        <v>17326611.672388487</v>
      </c>
      <c r="H31" s="788" t="s">
        <v>355</v>
      </c>
      <c r="I31" s="787">
        <v>20219113.609999999</v>
      </c>
      <c r="J31" s="515"/>
    </row>
    <row r="32" spans="2:10" x14ac:dyDescent="0.2">
      <c r="B32" s="790" t="s">
        <v>356</v>
      </c>
      <c r="C32" s="787">
        <v>14463639.93</v>
      </c>
      <c r="D32" s="786" t="s">
        <v>357</v>
      </c>
      <c r="E32" s="787">
        <v>15622868.66</v>
      </c>
      <c r="F32" s="790" t="s">
        <v>358</v>
      </c>
      <c r="G32" s="787">
        <v>17502908.710000001</v>
      </c>
      <c r="H32" s="788" t="s">
        <v>359</v>
      </c>
      <c r="I32" s="787">
        <v>20238954.513</v>
      </c>
      <c r="J32" s="515"/>
    </row>
    <row r="33" spans="2:10" x14ac:dyDescent="0.2">
      <c r="B33" s="790" t="s">
        <v>360</v>
      </c>
      <c r="C33" s="787">
        <v>14470448.540000001</v>
      </c>
      <c r="D33" s="789" t="s">
        <v>361</v>
      </c>
      <c r="E33" s="787">
        <v>15636274.029739005</v>
      </c>
      <c r="F33" s="786" t="s">
        <v>362</v>
      </c>
      <c r="G33" s="787">
        <v>17567835.690000001</v>
      </c>
      <c r="H33" s="788" t="s">
        <v>363</v>
      </c>
      <c r="I33" s="787">
        <v>20437551.590970002</v>
      </c>
      <c r="J33" s="515"/>
    </row>
    <row r="34" spans="2:10" x14ac:dyDescent="0.2">
      <c r="B34" s="790" t="s">
        <v>364</v>
      </c>
      <c r="C34" s="787">
        <v>14497262.369999999</v>
      </c>
      <c r="D34" s="789" t="s">
        <v>365</v>
      </c>
      <c r="E34" s="787">
        <v>15683038.34</v>
      </c>
      <c r="F34" s="789" t="s">
        <v>366</v>
      </c>
      <c r="G34" s="787">
        <v>17609345.43</v>
      </c>
      <c r="H34" s="788" t="s">
        <v>367</v>
      </c>
      <c r="I34" s="787">
        <v>20524877.23</v>
      </c>
      <c r="J34" s="515"/>
    </row>
    <row r="35" spans="2:10" x14ac:dyDescent="0.2">
      <c r="B35" s="786" t="s">
        <v>368</v>
      </c>
      <c r="C35" s="787">
        <v>14550142.923020002</v>
      </c>
      <c r="D35" s="789" t="s">
        <v>369</v>
      </c>
      <c r="E35" s="787">
        <v>15748089.349450001</v>
      </c>
      <c r="F35" s="790" t="s">
        <v>370</v>
      </c>
      <c r="G35" s="787">
        <v>17633486.812399998</v>
      </c>
      <c r="H35" s="788" t="s">
        <v>371</v>
      </c>
      <c r="I35" s="787">
        <v>20811741.748199999</v>
      </c>
      <c r="J35" s="515"/>
    </row>
    <row r="36" spans="2:10" x14ac:dyDescent="0.2">
      <c r="B36" s="790" t="s">
        <v>372</v>
      </c>
      <c r="C36" s="787">
        <v>14561831.641099997</v>
      </c>
      <c r="D36" s="789" t="s">
        <v>373</v>
      </c>
      <c r="E36" s="787">
        <v>15758011.33</v>
      </c>
      <c r="F36" s="790" t="s">
        <v>374</v>
      </c>
      <c r="G36" s="787">
        <v>17771679.620000001</v>
      </c>
      <c r="H36" s="788" t="s">
        <v>375</v>
      </c>
      <c r="I36" s="787">
        <v>21239545.866999999</v>
      </c>
      <c r="J36" s="515"/>
    </row>
    <row r="37" spans="2:10" x14ac:dyDescent="0.2">
      <c r="B37" s="789" t="s">
        <v>376</v>
      </c>
      <c r="C37" s="787">
        <v>14607590.370000001</v>
      </c>
      <c r="D37" s="790" t="s">
        <v>377</v>
      </c>
      <c r="E37" s="787">
        <v>15774969.868452001</v>
      </c>
      <c r="F37" s="788" t="s">
        <v>378</v>
      </c>
      <c r="G37" s="787">
        <v>17805492.899999999</v>
      </c>
      <c r="H37" s="788" t="s">
        <v>379</v>
      </c>
      <c r="I37" s="787">
        <v>21744464.640000001</v>
      </c>
      <c r="J37" s="515"/>
    </row>
    <row r="38" spans="2:10" x14ac:dyDescent="0.2">
      <c r="B38" s="790" t="s">
        <v>380</v>
      </c>
      <c r="C38" s="787">
        <v>14608518.360000001</v>
      </c>
      <c r="D38" s="789" t="s">
        <v>381</v>
      </c>
      <c r="E38" s="787">
        <v>15810906.49</v>
      </c>
      <c r="F38" s="790" t="s">
        <v>382</v>
      </c>
      <c r="G38" s="787">
        <v>17959423.102491997</v>
      </c>
      <c r="H38" s="788" t="s">
        <v>383</v>
      </c>
      <c r="I38" s="787">
        <v>21764978.050000001</v>
      </c>
      <c r="J38" s="515"/>
    </row>
    <row r="39" spans="2:10" x14ac:dyDescent="0.2">
      <c r="B39" s="790" t="s">
        <v>384</v>
      </c>
      <c r="C39" s="787">
        <v>14621069.789999999</v>
      </c>
      <c r="D39" s="786" t="s">
        <v>385</v>
      </c>
      <c r="E39" s="787">
        <v>15831167.129999999</v>
      </c>
      <c r="F39" s="788" t="s">
        <v>386</v>
      </c>
      <c r="G39" s="787">
        <v>18046844.399999999</v>
      </c>
      <c r="H39" s="788" t="s">
        <v>387</v>
      </c>
      <c r="I39" s="787">
        <v>21851520.649999999</v>
      </c>
      <c r="J39" s="515"/>
    </row>
    <row r="40" spans="2:10" x14ac:dyDescent="0.2">
      <c r="B40" s="786" t="s">
        <v>388</v>
      </c>
      <c r="C40" s="787">
        <v>14622897.859999999</v>
      </c>
      <c r="D40" s="789" t="s">
        <v>389</v>
      </c>
      <c r="E40" s="787">
        <v>15840370.5626</v>
      </c>
      <c r="F40" s="790" t="s">
        <v>390</v>
      </c>
      <c r="G40" s="787">
        <v>18117945.16894</v>
      </c>
      <c r="H40" s="788" t="s">
        <v>391</v>
      </c>
      <c r="I40" s="787">
        <v>21962594.901799999</v>
      </c>
      <c r="J40" s="515"/>
    </row>
    <row r="41" spans="2:10" x14ac:dyDescent="0.2">
      <c r="B41" s="790" t="s">
        <v>392</v>
      </c>
      <c r="C41" s="787">
        <v>14660940.24</v>
      </c>
      <c r="D41" s="790" t="s">
        <v>393</v>
      </c>
      <c r="E41" s="787">
        <v>15890996.970000001</v>
      </c>
      <c r="F41" s="790" t="s">
        <v>394</v>
      </c>
      <c r="G41" s="787">
        <v>18155599.109999999</v>
      </c>
      <c r="H41" s="788" t="s">
        <v>395</v>
      </c>
      <c r="I41" s="787">
        <v>22597983.941599999</v>
      </c>
      <c r="J41" s="515"/>
    </row>
    <row r="42" spans="2:10" x14ac:dyDescent="0.2">
      <c r="B42" s="789" t="s">
        <v>396</v>
      </c>
      <c r="C42" s="787">
        <v>14663820.33</v>
      </c>
      <c r="D42" s="790" t="s">
        <v>397</v>
      </c>
      <c r="E42" s="787">
        <v>15902024.119999999</v>
      </c>
      <c r="F42" s="788" t="s">
        <v>398</v>
      </c>
      <c r="G42" s="787">
        <v>18157595.420000002</v>
      </c>
      <c r="H42" s="788" t="s">
        <v>399</v>
      </c>
      <c r="I42" s="787">
        <v>22616689.791279998</v>
      </c>
      <c r="J42" s="515"/>
    </row>
    <row r="43" spans="2:10" x14ac:dyDescent="0.2">
      <c r="B43" s="790" t="s">
        <v>400</v>
      </c>
      <c r="C43" s="787">
        <v>14737358.42</v>
      </c>
      <c r="D43" s="789" t="s">
        <v>401</v>
      </c>
      <c r="E43" s="787">
        <v>16044093.470000001</v>
      </c>
      <c r="F43" s="788" t="s">
        <v>402</v>
      </c>
      <c r="G43" s="787">
        <v>18188849.137899999</v>
      </c>
      <c r="H43" s="788" t="s">
        <v>403</v>
      </c>
      <c r="I43" s="787">
        <v>23335022.759390123</v>
      </c>
      <c r="J43" s="515"/>
    </row>
    <row r="44" spans="2:10" x14ac:dyDescent="0.2">
      <c r="B44" s="723"/>
      <c r="C44" s="791"/>
      <c r="D44" s="723"/>
      <c r="E44" s="723"/>
      <c r="F44" s="723"/>
      <c r="G44" s="723"/>
      <c r="H44" s="723"/>
      <c r="I44" s="723"/>
      <c r="J44" s="515"/>
    </row>
    <row r="45" spans="2:10" x14ac:dyDescent="0.2">
      <c r="B45" s="788" t="s">
        <v>404</v>
      </c>
      <c r="C45" s="791"/>
      <c r="D45" s="723"/>
      <c r="E45" s="723"/>
      <c r="F45" s="723"/>
      <c r="G45" s="723"/>
      <c r="H45" s="723"/>
      <c r="I45" s="723"/>
      <c r="J45" s="515"/>
    </row>
    <row r="46" spans="2:10" x14ac:dyDescent="0.2">
      <c r="B46" s="789" t="s">
        <v>405</v>
      </c>
      <c r="C46" s="791"/>
      <c r="D46" s="723"/>
      <c r="E46" s="723"/>
      <c r="F46" s="723"/>
      <c r="G46" s="723"/>
      <c r="H46" s="723"/>
      <c r="I46" s="723"/>
      <c r="J46" s="515"/>
    </row>
    <row r="47" spans="2:10" x14ac:dyDescent="0.2">
      <c r="B47" s="790" t="s">
        <v>406</v>
      </c>
      <c r="C47" s="791"/>
      <c r="D47" s="723"/>
      <c r="E47" s="723"/>
      <c r="F47" s="723"/>
      <c r="G47" s="723"/>
      <c r="H47" s="723"/>
      <c r="I47" s="723"/>
      <c r="J47" s="515"/>
    </row>
    <row r="48" spans="2:10" x14ac:dyDescent="0.2">
      <c r="B48" s="786" t="s">
        <v>407</v>
      </c>
      <c r="C48" s="791"/>
      <c r="D48" s="723"/>
      <c r="E48" s="723"/>
      <c r="F48" s="723"/>
      <c r="G48" s="723"/>
      <c r="H48" s="723"/>
      <c r="I48" s="723"/>
      <c r="J48" s="515"/>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2"/>
  <sheetViews>
    <sheetView showGridLines="0" topLeftCell="A4" workbookViewId="0">
      <selection activeCell="Q36" sqref="Q36"/>
    </sheetView>
  </sheetViews>
  <sheetFormatPr defaultColWidth="10.5" defaultRowHeight="12.75" x14ac:dyDescent="0.2"/>
  <cols>
    <col min="1" max="1" width="13.6640625" style="1" customWidth="1"/>
    <col min="2" max="2" width="14" style="1" customWidth="1"/>
    <col min="3" max="3" width="13.33203125" style="1" customWidth="1"/>
    <col min="4" max="4" width="13.33203125" style="536" customWidth="1"/>
    <col min="5" max="9" width="13.33203125" style="1" customWidth="1"/>
    <col min="10" max="10" width="11.33203125" style="1" bestFit="1" customWidth="1"/>
    <col min="11" max="11" width="6.6640625" style="1" customWidth="1"/>
    <col min="12" max="12" width="11.33203125" style="1" bestFit="1" customWidth="1"/>
    <col min="13" max="13" width="5.5" style="1" bestFit="1" customWidth="1"/>
    <col min="14" max="14" width="11.33203125" style="1" bestFit="1" customWidth="1"/>
    <col min="15" max="15" width="7.83203125" style="1" customWidth="1"/>
    <col min="16" max="16" width="11.33203125" style="1" bestFit="1" customWidth="1"/>
    <col min="17" max="17" width="5.5" style="1" bestFit="1" customWidth="1"/>
    <col min="18" max="18" width="11.33203125" style="1" bestFit="1" customWidth="1"/>
    <col min="19" max="19" width="5.5" style="1" bestFit="1" customWidth="1"/>
    <col min="20" max="20" width="11.33203125" style="1" bestFit="1" customWidth="1"/>
    <col min="21" max="21" width="8.1640625" style="1" customWidth="1"/>
    <col min="22" max="22" width="11.33203125" style="1" bestFit="1" customWidth="1"/>
    <col min="23" max="23" width="4.5" style="1" bestFit="1" customWidth="1"/>
    <col min="24" max="24" width="11.33203125" style="1" bestFit="1" customWidth="1"/>
    <col min="25" max="25" width="6.5" style="1" bestFit="1" customWidth="1"/>
    <col min="26" max="27" width="11.33203125" style="1" bestFit="1" customWidth="1"/>
    <col min="28" max="29" width="10.5" style="1"/>
    <col min="30" max="31" width="1.83203125" style="1" bestFit="1" customWidth="1"/>
    <col min="32" max="16384" width="10.5" style="1"/>
  </cols>
  <sheetData>
    <row r="1" spans="1:9" s="536" customFormat="1" x14ac:dyDescent="0.2">
      <c r="A1" s="758" t="s">
        <v>272</v>
      </c>
    </row>
    <row r="2" spans="1:9" s="536" customFormat="1" x14ac:dyDescent="0.2"/>
    <row r="3" spans="1:9" s="536" customFormat="1" x14ac:dyDescent="0.2"/>
    <row r="4" spans="1:9" s="536" customFormat="1" x14ac:dyDescent="0.2"/>
    <row r="5" spans="1:9" s="536" customFormat="1" x14ac:dyDescent="0.2"/>
    <row r="6" spans="1:9" s="536" customFormat="1" x14ac:dyDescent="0.2"/>
    <row r="7" spans="1:9" s="536" customFormat="1" x14ac:dyDescent="0.2"/>
    <row r="8" spans="1:9" s="536" customFormat="1" x14ac:dyDescent="0.2"/>
    <row r="9" spans="1:9" s="536" customFormat="1" x14ac:dyDescent="0.2"/>
    <row r="11" spans="1:9" ht="23.25" x14ac:dyDescent="0.2">
      <c r="B11" s="133" t="s">
        <v>103</v>
      </c>
    </row>
    <row r="12" spans="1:9" x14ac:dyDescent="0.2">
      <c r="B12" s="64"/>
      <c r="C12" s="145" t="s">
        <v>30</v>
      </c>
      <c r="D12" s="145"/>
      <c r="E12" s="145"/>
      <c r="F12" s="145"/>
      <c r="G12" s="145"/>
    </row>
    <row r="13" spans="1:9" x14ac:dyDescent="0.2">
      <c r="B13" s="1125" t="str">
        <f>+'11. Final Load Forecast'!B14</f>
        <v>Residential</v>
      </c>
      <c r="C13" s="1126"/>
      <c r="D13" s="1126"/>
      <c r="E13" s="1126"/>
      <c r="F13" s="1126"/>
      <c r="G13" s="1126"/>
      <c r="H13" s="1126"/>
      <c r="I13" s="1126"/>
    </row>
    <row r="14" spans="1:9" x14ac:dyDescent="0.2">
      <c r="B14" s="805" t="s">
        <v>33</v>
      </c>
      <c r="C14" s="805" t="s">
        <v>49</v>
      </c>
      <c r="D14" s="805" t="s">
        <v>281</v>
      </c>
      <c r="E14" s="805" t="s">
        <v>62</v>
      </c>
      <c r="F14" s="93" t="s">
        <v>36</v>
      </c>
      <c r="G14" s="805" t="s">
        <v>62</v>
      </c>
      <c r="H14" s="93" t="s">
        <v>37</v>
      </c>
      <c r="I14" s="805" t="s">
        <v>62</v>
      </c>
    </row>
    <row r="15" spans="1:9" x14ac:dyDescent="0.2">
      <c r="B15" s="805">
        <v>2005</v>
      </c>
      <c r="C15" s="95">
        <f>'11. Final Load Forecast'!$D$14</f>
        <v>8625</v>
      </c>
      <c r="D15" s="95"/>
      <c r="E15" s="95"/>
      <c r="F15" s="95">
        <f>+'11. Final Load Forecast'!$D$15</f>
        <v>76867401</v>
      </c>
      <c r="G15" s="95"/>
      <c r="H15" s="95">
        <f>+'11. Final Load Forecast'!$D$16</f>
        <v>0</v>
      </c>
      <c r="I15" s="95"/>
    </row>
    <row r="16" spans="1:9" x14ac:dyDescent="0.2">
      <c r="B16" s="805">
        <v>2006</v>
      </c>
      <c r="C16" s="95">
        <f>'11. Final Load Forecast'!$E$14</f>
        <v>8696</v>
      </c>
      <c r="D16" s="95">
        <f t="shared" ref="D16:D25" si="0">C16-C15</f>
        <v>71</v>
      </c>
      <c r="E16" s="187">
        <f t="shared" ref="E16:E26" si="1">(C16-C15)/C15</f>
        <v>8.2318840579710152E-3</v>
      </c>
      <c r="F16" s="95">
        <f>+'11. Final Load Forecast'!$E$15</f>
        <v>80301785</v>
      </c>
      <c r="G16" s="187">
        <f t="shared" ref="G16:G26" si="2">(F16-F15)/F15</f>
        <v>4.4679330318453205E-2</v>
      </c>
      <c r="H16" s="95">
        <f>+'11. Final Load Forecast'!$E$16</f>
        <v>0</v>
      </c>
      <c r="I16" s="187" t="e">
        <f t="shared" ref="I16:I26" si="3">(H16-H15)/H15</f>
        <v>#DIV/0!</v>
      </c>
    </row>
    <row r="17" spans="2:31" x14ac:dyDescent="0.2">
      <c r="B17" s="805">
        <v>2007</v>
      </c>
      <c r="C17" s="95">
        <f>'11. Final Load Forecast'!$F$14</f>
        <v>8809</v>
      </c>
      <c r="D17" s="95">
        <f t="shared" si="0"/>
        <v>113</v>
      </c>
      <c r="E17" s="187">
        <f t="shared" si="1"/>
        <v>1.2994480220791168E-2</v>
      </c>
      <c r="F17" s="95">
        <f>+'11. Final Load Forecast'!$F$15</f>
        <v>78894594</v>
      </c>
      <c r="G17" s="187">
        <f t="shared" si="2"/>
        <v>-1.7523782316918608E-2</v>
      </c>
      <c r="H17" s="95">
        <f>+'11. Final Load Forecast'!$F$16</f>
        <v>0</v>
      </c>
      <c r="I17" s="187" t="e">
        <f t="shared" si="3"/>
        <v>#DIV/0!</v>
      </c>
    </row>
    <row r="18" spans="2:31" x14ac:dyDescent="0.2">
      <c r="B18" s="805">
        <v>2008</v>
      </c>
      <c r="C18" s="95">
        <f>'11. Final Load Forecast'!$G$14</f>
        <v>8809</v>
      </c>
      <c r="D18" s="95">
        <f t="shared" si="0"/>
        <v>0</v>
      </c>
      <c r="E18" s="187">
        <f t="shared" si="1"/>
        <v>0</v>
      </c>
      <c r="F18" s="95">
        <f>+'11. Final Load Forecast'!$G$15</f>
        <v>78894594</v>
      </c>
      <c r="G18" s="187">
        <f t="shared" si="2"/>
        <v>0</v>
      </c>
      <c r="H18" s="95">
        <f>+'11. Final Load Forecast'!$G$16</f>
        <v>0</v>
      </c>
      <c r="I18" s="187" t="e">
        <f t="shared" si="3"/>
        <v>#DIV/0!</v>
      </c>
    </row>
    <row r="19" spans="2:31" x14ac:dyDescent="0.2">
      <c r="B19" s="805">
        <v>2009</v>
      </c>
      <c r="C19" s="95">
        <f>'11. Final Load Forecast'!$H$14</f>
        <v>8941</v>
      </c>
      <c r="D19" s="95">
        <f t="shared" si="0"/>
        <v>132</v>
      </c>
      <c r="E19" s="187">
        <f t="shared" si="1"/>
        <v>1.4984674764445453E-2</v>
      </c>
      <c r="F19" s="95">
        <f>+'11. Final Load Forecast'!$H$15</f>
        <v>76058961.349999994</v>
      </c>
      <c r="G19" s="187">
        <f t="shared" si="2"/>
        <v>-3.5942039957769553E-2</v>
      </c>
      <c r="H19" s="95">
        <f>+'11. Final Load Forecast'!$H$16</f>
        <v>0</v>
      </c>
      <c r="I19" s="187" t="e">
        <f t="shared" si="3"/>
        <v>#DIV/0!</v>
      </c>
    </row>
    <row r="20" spans="2:31" x14ac:dyDescent="0.2">
      <c r="B20" s="805">
        <v>2010</v>
      </c>
      <c r="C20" s="95">
        <f>'11. Final Load Forecast'!$I$14</f>
        <v>8955</v>
      </c>
      <c r="D20" s="95">
        <f t="shared" si="0"/>
        <v>14</v>
      </c>
      <c r="E20" s="187">
        <f t="shared" si="1"/>
        <v>1.5658203780337769E-3</v>
      </c>
      <c r="F20" s="95">
        <f>+'11. Final Load Forecast'!$I$15</f>
        <v>75301012.150000006</v>
      </c>
      <c r="G20" s="187">
        <f t="shared" si="2"/>
        <v>-9.9652846495252353E-3</v>
      </c>
      <c r="H20" s="95">
        <f>+'11. Final Load Forecast'!$I$16</f>
        <v>0</v>
      </c>
      <c r="I20" s="187" t="e">
        <f t="shared" si="3"/>
        <v>#DIV/0!</v>
      </c>
    </row>
    <row r="21" spans="2:31" x14ac:dyDescent="0.2">
      <c r="B21" s="805">
        <v>2011</v>
      </c>
      <c r="C21" s="95">
        <f>'11. Final Load Forecast'!$J$14</f>
        <v>9030</v>
      </c>
      <c r="D21" s="95">
        <f t="shared" si="0"/>
        <v>75</v>
      </c>
      <c r="E21" s="187">
        <f t="shared" si="1"/>
        <v>8.3752093802345051E-3</v>
      </c>
      <c r="F21" s="95">
        <f>+'11. Final Load Forecast'!$J$15</f>
        <v>79270519.859999999</v>
      </c>
      <c r="G21" s="187">
        <f t="shared" si="2"/>
        <v>5.2715197268433968E-2</v>
      </c>
      <c r="H21" s="95">
        <f>+'11. Final Load Forecast'!$J$16</f>
        <v>0</v>
      </c>
      <c r="I21" s="187" t="e">
        <f t="shared" si="3"/>
        <v>#DIV/0!</v>
      </c>
    </row>
    <row r="22" spans="2:31" x14ac:dyDescent="0.2">
      <c r="B22" s="805">
        <v>2012</v>
      </c>
      <c r="C22" s="95">
        <f>'11. Final Load Forecast'!$K$14</f>
        <v>9086.5</v>
      </c>
      <c r="D22" s="95">
        <f t="shared" si="0"/>
        <v>56.5</v>
      </c>
      <c r="E22" s="187">
        <f t="shared" si="1"/>
        <v>6.2569213732004431E-3</v>
      </c>
      <c r="F22" s="95">
        <f>+'11. Final Load Forecast'!$K$15</f>
        <v>78553743.920000002</v>
      </c>
      <c r="G22" s="187">
        <f t="shared" si="2"/>
        <v>-9.0421501116165082E-3</v>
      </c>
      <c r="H22" s="95">
        <f>+'11. Final Load Forecast'!$K$16</f>
        <v>0</v>
      </c>
      <c r="I22" s="187" t="e">
        <f t="shared" si="3"/>
        <v>#DIV/0!</v>
      </c>
    </row>
    <row r="23" spans="2:31" x14ac:dyDescent="0.2">
      <c r="B23" s="805">
        <v>2013</v>
      </c>
      <c r="C23" s="95">
        <f>'11. Final Load Forecast'!$L$14</f>
        <v>9195</v>
      </c>
      <c r="D23" s="95">
        <f t="shared" si="0"/>
        <v>108.5</v>
      </c>
      <c r="E23" s="187">
        <f t="shared" si="1"/>
        <v>1.194079128377263E-2</v>
      </c>
      <c r="F23" s="95">
        <f>+'11. Final Load Forecast'!$L$15</f>
        <v>80138213.859999999</v>
      </c>
      <c r="G23" s="187">
        <f t="shared" si="2"/>
        <v>2.0170520982598094E-2</v>
      </c>
      <c r="H23" s="95">
        <f>+'11. Final Load Forecast'!$L$16</f>
        <v>0</v>
      </c>
      <c r="I23" s="187" t="e">
        <f t="shared" si="3"/>
        <v>#DIV/0!</v>
      </c>
    </row>
    <row r="24" spans="2:31" x14ac:dyDescent="0.2">
      <c r="B24" s="805">
        <v>2014</v>
      </c>
      <c r="C24" s="95">
        <f>'11. Final Load Forecast'!$M$14</f>
        <v>9305</v>
      </c>
      <c r="D24" s="95">
        <f t="shared" si="0"/>
        <v>110</v>
      </c>
      <c r="E24" s="187">
        <f t="shared" si="1"/>
        <v>1.1963023382272975E-2</v>
      </c>
      <c r="F24" s="95">
        <f>+'11. Final Load Forecast'!$M$15</f>
        <v>79483998.230000004</v>
      </c>
      <c r="G24" s="187">
        <f t="shared" si="2"/>
        <v>-8.1635913565892299E-3</v>
      </c>
      <c r="H24" s="95">
        <f>+'11. Final Load Forecast'!$M$16</f>
        <v>0</v>
      </c>
      <c r="I24" s="187" t="e">
        <f t="shared" si="3"/>
        <v>#DIV/0!</v>
      </c>
    </row>
    <row r="25" spans="2:31" x14ac:dyDescent="0.2">
      <c r="B25" s="805">
        <v>2015</v>
      </c>
      <c r="C25" s="95">
        <f>'11. Final Load Forecast'!$N$14</f>
        <v>9383.7903594694271</v>
      </c>
      <c r="D25" s="95">
        <f t="shared" si="0"/>
        <v>78.790359469427131</v>
      </c>
      <c r="E25" s="188">
        <f t="shared" si="1"/>
        <v>8.4675292283102766E-3</v>
      </c>
      <c r="F25" s="95">
        <f>+'11. Final Load Forecast'!$N$15</f>
        <v>78438793.189758629</v>
      </c>
      <c r="G25" s="188">
        <f t="shared" si="2"/>
        <v>-1.3149880020087856E-2</v>
      </c>
      <c r="H25" s="95">
        <f>+'11. Final Load Forecast'!$N$16</f>
        <v>0</v>
      </c>
      <c r="I25" s="188" t="e">
        <f t="shared" si="3"/>
        <v>#DIV/0!</v>
      </c>
      <c r="AD25" s="1" t="s">
        <v>30</v>
      </c>
      <c r="AE25" s="1" t="s">
        <v>30</v>
      </c>
    </row>
    <row r="26" spans="2:31" x14ac:dyDescent="0.2">
      <c r="B26" s="805">
        <v>2016</v>
      </c>
      <c r="C26" s="95">
        <f>'11. Final Load Forecast'!$O$14</f>
        <v>9463.2478786105712</v>
      </c>
      <c r="D26" s="95">
        <f>C26-C25</f>
        <v>79.457519141144076</v>
      </c>
      <c r="E26" s="188">
        <f t="shared" si="1"/>
        <v>8.4675292283103304E-3</v>
      </c>
      <c r="F26" s="95">
        <f>+'11. Final Load Forecast'!$O$15</f>
        <v>77245366.819313049</v>
      </c>
      <c r="G26" s="188">
        <f t="shared" si="2"/>
        <v>-1.5214746707773152E-2</v>
      </c>
      <c r="H26" s="95">
        <f>+'11. Final Load Forecast'!$O$16</f>
        <v>0</v>
      </c>
      <c r="I26" s="188" t="e">
        <f t="shared" si="3"/>
        <v>#DIV/0!</v>
      </c>
    </row>
    <row r="28" spans="2:31" x14ac:dyDescent="0.2">
      <c r="C28" s="145"/>
      <c r="D28" s="145"/>
      <c r="E28" s="145"/>
      <c r="F28" s="145"/>
      <c r="G28" s="145"/>
    </row>
    <row r="29" spans="2:31" x14ac:dyDescent="0.2">
      <c r="B29" s="1125" t="str">
        <f>+'11. Final Load Forecast'!B18</f>
        <v>General Service &lt; 50 kW</v>
      </c>
      <c r="C29" s="1126"/>
      <c r="D29" s="1126"/>
      <c r="E29" s="1126"/>
      <c r="F29" s="1126"/>
      <c r="G29" s="1126"/>
      <c r="H29" s="1126"/>
      <c r="I29" s="1126"/>
    </row>
    <row r="30" spans="2:31" x14ac:dyDescent="0.2">
      <c r="B30" s="805" t="s">
        <v>33</v>
      </c>
      <c r="C30" s="805" t="s">
        <v>49</v>
      </c>
      <c r="D30" s="805" t="s">
        <v>281</v>
      </c>
      <c r="E30" s="805" t="s">
        <v>62</v>
      </c>
      <c r="F30" s="93" t="s">
        <v>36</v>
      </c>
      <c r="G30" s="805" t="s">
        <v>62</v>
      </c>
      <c r="H30" s="93" t="s">
        <v>37</v>
      </c>
      <c r="I30" s="805" t="s">
        <v>62</v>
      </c>
    </row>
    <row r="31" spans="2:31" x14ac:dyDescent="0.2">
      <c r="B31" s="805">
        <v>2005</v>
      </c>
      <c r="C31" s="95">
        <f>'11. Final Load Forecast'!$D$18</f>
        <v>1496</v>
      </c>
      <c r="D31" s="95"/>
      <c r="E31" s="95"/>
      <c r="F31" s="95">
        <f>+'11. Final Load Forecast'!$D$19</f>
        <v>43814909</v>
      </c>
      <c r="G31" s="95"/>
      <c r="H31" s="95">
        <f>+'11. Final Load Forecast'!$D$20</f>
        <v>0</v>
      </c>
      <c r="I31" s="95"/>
    </row>
    <row r="32" spans="2:31" x14ac:dyDescent="0.2">
      <c r="B32" s="805">
        <v>2006</v>
      </c>
      <c r="C32" s="95">
        <f>'11. Final Load Forecast'!$E$18</f>
        <v>1449</v>
      </c>
      <c r="D32" s="95">
        <f t="shared" ref="D32:D41" si="4">C32-C31</f>
        <v>-47</v>
      </c>
      <c r="E32" s="187">
        <f t="shared" ref="E32:E42" si="5">(C32-C31)/C31</f>
        <v>-3.1417112299465241E-2</v>
      </c>
      <c r="F32" s="95">
        <f>+'11. Final Load Forecast'!$E$19</f>
        <v>39580098</v>
      </c>
      <c r="G32" s="187">
        <f t="shared" ref="G32:G42" si="6">(F32-F31)/F31</f>
        <v>-9.6652283358616586E-2</v>
      </c>
      <c r="H32" s="95">
        <f>+'11. Final Load Forecast'!$E$20</f>
        <v>0</v>
      </c>
      <c r="I32" s="187" t="e">
        <f t="shared" ref="I32:I42" si="7">(H32-H31)/H31</f>
        <v>#DIV/0!</v>
      </c>
    </row>
    <row r="33" spans="2:10" x14ac:dyDescent="0.2">
      <c r="B33" s="805">
        <v>2007</v>
      </c>
      <c r="C33" s="95">
        <f>'11. Final Load Forecast'!$F$18</f>
        <v>1442</v>
      </c>
      <c r="D33" s="95">
        <f t="shared" si="4"/>
        <v>-7</v>
      </c>
      <c r="E33" s="187">
        <f t="shared" si="5"/>
        <v>-4.830917874396135E-3</v>
      </c>
      <c r="F33" s="95">
        <f>+'11. Final Load Forecast'!$F$19</f>
        <v>35721757</v>
      </c>
      <c r="G33" s="187">
        <f t="shared" si="6"/>
        <v>-9.7481845547729568E-2</v>
      </c>
      <c r="H33" s="95">
        <f>+'11. Final Load Forecast'!$F$20</f>
        <v>0</v>
      </c>
      <c r="I33" s="187" t="e">
        <f t="shared" si="7"/>
        <v>#DIV/0!</v>
      </c>
    </row>
    <row r="34" spans="2:10" x14ac:dyDescent="0.2">
      <c r="B34" s="805">
        <v>2008</v>
      </c>
      <c r="C34" s="95">
        <f>'11. Final Load Forecast'!$G$18</f>
        <v>1409</v>
      </c>
      <c r="D34" s="95">
        <f t="shared" si="4"/>
        <v>-33</v>
      </c>
      <c r="E34" s="187">
        <f t="shared" si="5"/>
        <v>-2.2884882108183079E-2</v>
      </c>
      <c r="F34" s="95">
        <f>+'11. Final Load Forecast'!$G$19</f>
        <v>35801702</v>
      </c>
      <c r="G34" s="187">
        <f t="shared" si="6"/>
        <v>2.2379918210630009E-3</v>
      </c>
      <c r="H34" s="95">
        <f>+'11. Final Load Forecast'!$G$20</f>
        <v>0</v>
      </c>
      <c r="I34" s="187" t="e">
        <f t="shared" si="7"/>
        <v>#DIV/0!</v>
      </c>
    </row>
    <row r="35" spans="2:10" x14ac:dyDescent="0.2">
      <c r="B35" s="805">
        <v>2009</v>
      </c>
      <c r="C35" s="95">
        <f>'11. Final Load Forecast'!$H$18</f>
        <v>1394</v>
      </c>
      <c r="D35" s="95">
        <f t="shared" si="4"/>
        <v>-15</v>
      </c>
      <c r="E35" s="187">
        <f t="shared" si="5"/>
        <v>-1.0645848119233499E-2</v>
      </c>
      <c r="F35" s="95">
        <f>+'11. Final Load Forecast'!$H$19</f>
        <v>34198078.359999999</v>
      </c>
      <c r="G35" s="187">
        <f t="shared" si="6"/>
        <v>-4.4791826936049037E-2</v>
      </c>
      <c r="H35" s="95">
        <f>+'11. Final Load Forecast'!$H$20</f>
        <v>0</v>
      </c>
      <c r="I35" s="187" t="e">
        <f t="shared" si="7"/>
        <v>#DIV/0!</v>
      </c>
    </row>
    <row r="36" spans="2:10" x14ac:dyDescent="0.2">
      <c r="B36" s="805">
        <v>2010</v>
      </c>
      <c r="C36" s="95">
        <f>'11. Final Load Forecast'!$I$18</f>
        <v>1372</v>
      </c>
      <c r="D36" s="95">
        <f t="shared" si="4"/>
        <v>-22</v>
      </c>
      <c r="E36" s="187">
        <f t="shared" si="5"/>
        <v>-1.5781922525107604E-2</v>
      </c>
      <c r="F36" s="95">
        <f>+'11. Final Load Forecast'!$I$19</f>
        <v>33358216.629999999</v>
      </c>
      <c r="G36" s="187">
        <f t="shared" si="6"/>
        <v>-2.4558740440291816E-2</v>
      </c>
      <c r="H36" s="95">
        <f>+'11. Final Load Forecast'!$I$20</f>
        <v>0</v>
      </c>
      <c r="I36" s="187" t="e">
        <f t="shared" si="7"/>
        <v>#DIV/0!</v>
      </c>
    </row>
    <row r="37" spans="2:10" x14ac:dyDescent="0.2">
      <c r="B37" s="805">
        <v>2011</v>
      </c>
      <c r="C37" s="95">
        <f>'11. Final Load Forecast'!$J$18</f>
        <v>1370</v>
      </c>
      <c r="D37" s="95">
        <f t="shared" si="4"/>
        <v>-2</v>
      </c>
      <c r="E37" s="187">
        <f t="shared" si="5"/>
        <v>-1.4577259475218659E-3</v>
      </c>
      <c r="F37" s="95">
        <f>+'11. Final Load Forecast'!$J$19</f>
        <v>32279016.170000002</v>
      </c>
      <c r="G37" s="187">
        <f t="shared" si="6"/>
        <v>-3.2351863169730759E-2</v>
      </c>
      <c r="H37" s="95">
        <f>+'11. Final Load Forecast'!$J$20</f>
        <v>0</v>
      </c>
      <c r="I37" s="187" t="e">
        <f t="shared" si="7"/>
        <v>#DIV/0!</v>
      </c>
    </row>
    <row r="38" spans="2:10" x14ac:dyDescent="0.2">
      <c r="B38" s="805">
        <v>2012</v>
      </c>
      <c r="C38" s="95">
        <f>'11. Final Load Forecast'!$K$18</f>
        <v>1361.5</v>
      </c>
      <c r="D38" s="95">
        <f t="shared" si="4"/>
        <v>-8.5</v>
      </c>
      <c r="E38" s="187">
        <f t="shared" si="5"/>
        <v>-6.2043795620437955E-3</v>
      </c>
      <c r="F38" s="95">
        <f>+'11. Final Load Forecast'!$K$19</f>
        <v>31948521.120000001</v>
      </c>
      <c r="G38" s="187">
        <f t="shared" si="6"/>
        <v>-1.0238696503617778E-2</v>
      </c>
      <c r="H38" s="95">
        <f>+'11. Final Load Forecast'!$K$20</f>
        <v>0</v>
      </c>
      <c r="I38" s="187" t="e">
        <f t="shared" si="7"/>
        <v>#DIV/0!</v>
      </c>
    </row>
    <row r="39" spans="2:10" x14ac:dyDescent="0.2">
      <c r="B39" s="805">
        <v>2013</v>
      </c>
      <c r="C39" s="95">
        <f>+'11. Final Load Forecast'!$L$18</f>
        <v>1332.5</v>
      </c>
      <c r="D39" s="95">
        <f t="shared" si="4"/>
        <v>-29</v>
      </c>
      <c r="E39" s="187">
        <f t="shared" si="5"/>
        <v>-2.1300036724201249E-2</v>
      </c>
      <c r="F39" s="95">
        <f>+'11. Final Load Forecast'!$L$19</f>
        <v>31708039.23</v>
      </c>
      <c r="G39" s="187">
        <f t="shared" si="6"/>
        <v>-7.5271681307795251E-3</v>
      </c>
      <c r="H39" s="95">
        <f>+'11. Final Load Forecast'!$L$20</f>
        <v>0</v>
      </c>
      <c r="I39" s="187" t="e">
        <f t="shared" si="7"/>
        <v>#DIV/0!</v>
      </c>
    </row>
    <row r="40" spans="2:10" x14ac:dyDescent="0.2">
      <c r="B40" s="805">
        <v>2014</v>
      </c>
      <c r="C40" s="95">
        <f>'11. Final Load Forecast'!$M$18</f>
        <v>1318</v>
      </c>
      <c r="D40" s="95">
        <f t="shared" si="4"/>
        <v>-14.5</v>
      </c>
      <c r="E40" s="187">
        <f t="shared" si="5"/>
        <v>-1.0881801125703566E-2</v>
      </c>
      <c r="F40" s="95">
        <f>+'11. Final Load Forecast'!$M$19</f>
        <v>31649726.120000001</v>
      </c>
      <c r="G40" s="187">
        <f t="shared" si="6"/>
        <v>-1.8390638909273043E-3</v>
      </c>
      <c r="H40" s="95">
        <f>+'11. Final Load Forecast'!$M$20</f>
        <v>0</v>
      </c>
      <c r="I40" s="187" t="e">
        <f t="shared" si="7"/>
        <v>#DIV/0!</v>
      </c>
    </row>
    <row r="41" spans="2:10" x14ac:dyDescent="0.2">
      <c r="B41" s="805">
        <v>2015</v>
      </c>
      <c r="C41" s="95">
        <f>'11. Final Load Forecast'!$N$18</f>
        <v>1299.5784496245794</v>
      </c>
      <c r="D41" s="95">
        <f t="shared" si="4"/>
        <v>-18.421550375420566</v>
      </c>
      <c r="E41" s="188">
        <f t="shared" si="5"/>
        <v>-1.3976897098194663E-2</v>
      </c>
      <c r="F41" s="95">
        <f>+'11. Final Load Forecast'!$N$19</f>
        <v>34953791.572912797</v>
      </c>
      <c r="G41" s="188">
        <f t="shared" si="6"/>
        <v>0.10439475654182363</v>
      </c>
      <c r="H41" s="95">
        <f>+'11. Final Load Forecast'!$N$20</f>
        <v>0</v>
      </c>
      <c r="I41" s="188" t="e">
        <f t="shared" si="7"/>
        <v>#DIV/0!</v>
      </c>
    </row>
    <row r="42" spans="2:10" x14ac:dyDescent="0.2">
      <c r="B42" s="805">
        <v>2016</v>
      </c>
      <c r="C42" s="95">
        <f>'11. Final Load Forecast'!$O$18</f>
        <v>1281.4143753631454</v>
      </c>
      <c r="D42" s="95">
        <f>C42-C41</f>
        <v>-18.164074261434052</v>
      </c>
      <c r="E42" s="188">
        <f t="shared" si="5"/>
        <v>-1.3976897098194625E-2</v>
      </c>
      <c r="F42" s="95">
        <f>+'11. Final Load Forecast'!$O$19</f>
        <v>34421978.487654641</v>
      </c>
      <c r="G42" s="188">
        <f t="shared" si="6"/>
        <v>-1.5214746707772927E-2</v>
      </c>
      <c r="H42" s="95">
        <f>+'11. Final Load Forecast'!$O$20</f>
        <v>0</v>
      </c>
      <c r="I42" s="188" t="e">
        <f t="shared" si="7"/>
        <v>#DIV/0!</v>
      </c>
    </row>
    <row r="44" spans="2:10" x14ac:dyDescent="0.2">
      <c r="C44" s="145"/>
      <c r="D44" s="145"/>
      <c r="E44" s="145"/>
      <c r="F44" s="145"/>
      <c r="G44" s="145"/>
      <c r="H44" s="145"/>
      <c r="I44" s="145"/>
      <c r="J44" s="64"/>
    </row>
    <row r="45" spans="2:10" x14ac:dyDescent="0.2">
      <c r="B45" s="1125" t="str">
        <f>+'11. Final Load Forecast'!B22</f>
        <v>Unmetered Scattered Load</v>
      </c>
      <c r="C45" s="1126"/>
      <c r="D45" s="1126"/>
      <c r="E45" s="1126"/>
      <c r="F45" s="1126"/>
      <c r="G45" s="1126"/>
      <c r="H45" s="1126"/>
      <c r="I45" s="1126"/>
    </row>
    <row r="46" spans="2:10" x14ac:dyDescent="0.2">
      <c r="B46" s="805" t="s">
        <v>33</v>
      </c>
      <c r="C46" s="805" t="s">
        <v>49</v>
      </c>
      <c r="D46" s="805" t="s">
        <v>281</v>
      </c>
      <c r="E46" s="805" t="s">
        <v>62</v>
      </c>
      <c r="F46" s="93" t="s">
        <v>36</v>
      </c>
      <c r="G46" s="805" t="s">
        <v>62</v>
      </c>
      <c r="H46" s="93" t="s">
        <v>37</v>
      </c>
      <c r="I46" s="805" t="s">
        <v>62</v>
      </c>
    </row>
    <row r="47" spans="2:10" x14ac:dyDescent="0.2">
      <c r="B47" s="805">
        <v>2005</v>
      </c>
      <c r="C47" s="95">
        <f>'11. Final Load Forecast'!$D$22</f>
        <v>17</v>
      </c>
      <c r="D47" s="95"/>
      <c r="E47" s="95"/>
      <c r="F47" s="95">
        <f>+'11. Final Load Forecast'!$D$23</f>
        <v>593390</v>
      </c>
      <c r="G47" s="95"/>
      <c r="H47" s="95">
        <f>+'11. Final Load Forecast'!$D$24</f>
        <v>0</v>
      </c>
      <c r="I47" s="95"/>
    </row>
    <row r="48" spans="2:10" x14ac:dyDescent="0.2">
      <c r="B48" s="805">
        <v>2006</v>
      </c>
      <c r="C48" s="95">
        <f>'11. Final Load Forecast'!$E$22</f>
        <v>20</v>
      </c>
      <c r="D48" s="95">
        <f t="shared" ref="D48:D57" si="8">C48-C47</f>
        <v>3</v>
      </c>
      <c r="E48" s="187">
        <f t="shared" ref="E48:E58" si="9">(C48-C47)/C47</f>
        <v>0.17647058823529413</v>
      </c>
      <c r="F48" s="95">
        <f>+'11. Final Load Forecast'!$E$23</f>
        <v>364006</v>
      </c>
      <c r="G48" s="187">
        <f t="shared" ref="G48:G58" si="10">(F48-F47)/F47</f>
        <v>-0.386565328030469</v>
      </c>
      <c r="H48" s="95">
        <f>+'11. Final Load Forecast'!$E$24</f>
        <v>0</v>
      </c>
      <c r="I48" s="187" t="e">
        <f t="shared" ref="I48:I58" si="11">(H48-H47)/H47</f>
        <v>#DIV/0!</v>
      </c>
    </row>
    <row r="49" spans="2:9" x14ac:dyDescent="0.2">
      <c r="B49" s="805">
        <v>2007</v>
      </c>
      <c r="C49" s="95">
        <f>'11. Final Load Forecast'!$F$22</f>
        <v>20</v>
      </c>
      <c r="D49" s="95">
        <f t="shared" si="8"/>
        <v>0</v>
      </c>
      <c r="E49" s="187">
        <f t="shared" si="9"/>
        <v>0</v>
      </c>
      <c r="F49" s="95">
        <f>+'11. Final Load Forecast'!$F$23</f>
        <v>348199</v>
      </c>
      <c r="G49" s="187">
        <f t="shared" si="10"/>
        <v>-4.3425108377334438E-2</v>
      </c>
      <c r="H49" s="95">
        <f>+'11. Final Load Forecast'!$F$24</f>
        <v>0</v>
      </c>
      <c r="I49" s="187" t="e">
        <f t="shared" si="11"/>
        <v>#DIV/0!</v>
      </c>
    </row>
    <row r="50" spans="2:9" x14ac:dyDescent="0.2">
      <c r="B50" s="805">
        <v>2008</v>
      </c>
      <c r="C50" s="95">
        <f>'11. Final Load Forecast'!$G$22</f>
        <v>20</v>
      </c>
      <c r="D50" s="95">
        <f t="shared" si="8"/>
        <v>0</v>
      </c>
      <c r="E50" s="187">
        <f t="shared" si="9"/>
        <v>0</v>
      </c>
      <c r="F50" s="95">
        <f>+'11. Final Load Forecast'!$G$23</f>
        <v>386944</v>
      </c>
      <c r="G50" s="187">
        <f t="shared" si="10"/>
        <v>0.11127257688850341</v>
      </c>
      <c r="H50" s="95">
        <f>+'11. Final Load Forecast'!$G$24</f>
        <v>0</v>
      </c>
      <c r="I50" s="187" t="e">
        <f t="shared" si="11"/>
        <v>#DIV/0!</v>
      </c>
    </row>
    <row r="51" spans="2:9" x14ac:dyDescent="0.2">
      <c r="B51" s="805">
        <v>2009</v>
      </c>
      <c r="C51" s="95">
        <f>'11. Final Load Forecast'!$H$22</f>
        <v>20</v>
      </c>
      <c r="D51" s="95">
        <f t="shared" si="8"/>
        <v>0</v>
      </c>
      <c r="E51" s="187">
        <f t="shared" si="9"/>
        <v>0</v>
      </c>
      <c r="F51" s="95">
        <f>+'11. Final Load Forecast'!$H$23</f>
        <v>437952.27</v>
      </c>
      <c r="G51" s="187">
        <f t="shared" si="10"/>
        <v>0.13182339046477015</v>
      </c>
      <c r="H51" s="95">
        <f>+'11. Final Load Forecast'!$H$24</f>
        <v>0</v>
      </c>
      <c r="I51" s="187" t="e">
        <f t="shared" si="11"/>
        <v>#DIV/0!</v>
      </c>
    </row>
    <row r="52" spans="2:9" x14ac:dyDescent="0.2">
      <c r="B52" s="805">
        <v>2010</v>
      </c>
      <c r="C52" s="95">
        <f>+'11. Final Load Forecast'!$I$22</f>
        <v>20</v>
      </c>
      <c r="D52" s="95">
        <f t="shared" si="8"/>
        <v>0</v>
      </c>
      <c r="E52" s="187">
        <f t="shared" si="9"/>
        <v>0</v>
      </c>
      <c r="F52" s="95">
        <f>+'11. Final Load Forecast'!$I$23</f>
        <v>458526.4</v>
      </c>
      <c r="G52" s="187">
        <f t="shared" si="10"/>
        <v>4.6978018860365775E-2</v>
      </c>
      <c r="H52" s="95">
        <f>+'11. Final Load Forecast'!$I$24</f>
        <v>0</v>
      </c>
      <c r="I52" s="187" t="e">
        <f t="shared" si="11"/>
        <v>#DIV/0!</v>
      </c>
    </row>
    <row r="53" spans="2:9" x14ac:dyDescent="0.2">
      <c r="B53" s="805">
        <v>2011</v>
      </c>
      <c r="C53" s="95">
        <f>'11. Final Load Forecast'!$J$22</f>
        <v>20</v>
      </c>
      <c r="D53" s="95">
        <f t="shared" si="8"/>
        <v>0</v>
      </c>
      <c r="E53" s="187">
        <f t="shared" si="9"/>
        <v>0</v>
      </c>
      <c r="F53" s="95">
        <f>+'11. Final Load Forecast'!$J$23</f>
        <v>469307.04</v>
      </c>
      <c r="G53" s="187">
        <f t="shared" si="10"/>
        <v>2.3511492468045361E-2</v>
      </c>
      <c r="H53" s="95">
        <f>+'11. Final Load Forecast'!$J$24</f>
        <v>0</v>
      </c>
      <c r="I53" s="187" t="e">
        <f t="shared" si="11"/>
        <v>#DIV/0!</v>
      </c>
    </row>
    <row r="54" spans="2:9" x14ac:dyDescent="0.2">
      <c r="B54" s="805">
        <v>2012</v>
      </c>
      <c r="C54" s="95">
        <f>'11. Final Load Forecast'!$K$22</f>
        <v>20</v>
      </c>
      <c r="D54" s="95">
        <f t="shared" si="8"/>
        <v>0</v>
      </c>
      <c r="E54" s="187">
        <f t="shared" si="9"/>
        <v>0</v>
      </c>
      <c r="F54" s="95">
        <f>+'11. Final Load Forecast'!$K$23</f>
        <v>448159.09</v>
      </c>
      <c r="G54" s="187">
        <f t="shared" si="10"/>
        <v>-4.5062077057271409E-2</v>
      </c>
      <c r="H54" s="95">
        <f>+'11. Final Load Forecast'!$K$24</f>
        <v>0</v>
      </c>
      <c r="I54" s="187" t="e">
        <f t="shared" si="11"/>
        <v>#DIV/0!</v>
      </c>
    </row>
    <row r="55" spans="2:9" x14ac:dyDescent="0.2">
      <c r="B55" s="805">
        <v>2013</v>
      </c>
      <c r="C55" s="95">
        <f>'11. Final Load Forecast'!$L$22</f>
        <v>20</v>
      </c>
      <c r="D55" s="95">
        <f t="shared" si="8"/>
        <v>0</v>
      </c>
      <c r="E55" s="187">
        <f t="shared" si="9"/>
        <v>0</v>
      </c>
      <c r="F55" s="95">
        <f>+'11. Final Load Forecast'!$L$23</f>
        <v>453470.7</v>
      </c>
      <c r="G55" s="187">
        <f t="shared" si="10"/>
        <v>1.1852063516105377E-2</v>
      </c>
      <c r="H55" s="95">
        <f>+'11. Final Load Forecast'!$L$24</f>
        <v>0</v>
      </c>
      <c r="I55" s="187" t="e">
        <f t="shared" si="11"/>
        <v>#DIV/0!</v>
      </c>
    </row>
    <row r="56" spans="2:9" x14ac:dyDescent="0.2">
      <c r="B56" s="805">
        <v>2014</v>
      </c>
      <c r="C56" s="95">
        <f>'11. Final Load Forecast'!$M$22</f>
        <v>20</v>
      </c>
      <c r="D56" s="95">
        <f t="shared" si="8"/>
        <v>0</v>
      </c>
      <c r="E56" s="187">
        <f t="shared" si="9"/>
        <v>0</v>
      </c>
      <c r="F56" s="95">
        <f>+'11. Final Load Forecast'!$M$23</f>
        <v>454406.25</v>
      </c>
      <c r="G56" s="187">
        <f t="shared" si="10"/>
        <v>2.0630880892635144E-3</v>
      </c>
      <c r="H56" s="95">
        <f>+'11. Final Load Forecast'!$M$24</f>
        <v>0</v>
      </c>
      <c r="I56" s="187" t="e">
        <f t="shared" si="11"/>
        <v>#DIV/0!</v>
      </c>
    </row>
    <row r="57" spans="2:9" x14ac:dyDescent="0.2">
      <c r="B57" s="805">
        <v>2015</v>
      </c>
      <c r="C57" s="95">
        <f>'11. Final Load Forecast'!$N$22</f>
        <v>20</v>
      </c>
      <c r="D57" s="95">
        <f t="shared" si="8"/>
        <v>0</v>
      </c>
      <c r="E57" s="188">
        <f t="shared" si="9"/>
        <v>0</v>
      </c>
      <c r="F57" s="95">
        <f>+'11. Final Load Forecast'!$N$23</f>
        <v>453036.20715519035</v>
      </c>
      <c r="G57" s="188">
        <f t="shared" si="10"/>
        <v>-3.0150176077235954E-3</v>
      </c>
      <c r="H57" s="95">
        <f>+'11. Final Load Forecast'!$N$24</f>
        <v>0</v>
      </c>
      <c r="I57" s="188" t="e">
        <f t="shared" si="11"/>
        <v>#DIV/0!</v>
      </c>
    </row>
    <row r="58" spans="2:9" x14ac:dyDescent="0.2">
      <c r="B58" s="805">
        <v>2016</v>
      </c>
      <c r="C58" s="95">
        <f>'11. Final Load Forecast'!$O$22</f>
        <v>20</v>
      </c>
      <c r="D58" s="95">
        <f>C58-C57</f>
        <v>0</v>
      </c>
      <c r="E58" s="188">
        <f t="shared" si="9"/>
        <v>0</v>
      </c>
      <c r="F58" s="95">
        <f>+'11. Final Load Forecast'!$O$23</f>
        <v>446143.37601387396</v>
      </c>
      <c r="G58" s="188">
        <f t="shared" si="10"/>
        <v>-1.521474670777298E-2</v>
      </c>
      <c r="H58" s="95">
        <f>+'11. Final Load Forecast'!$O$24</f>
        <v>0</v>
      </c>
      <c r="I58" s="188" t="e">
        <f t="shared" si="11"/>
        <v>#DIV/0!</v>
      </c>
    </row>
    <row r="60" spans="2:9" x14ac:dyDescent="0.2">
      <c r="B60" s="30"/>
      <c r="C60" s="32" t="s">
        <v>30</v>
      </c>
      <c r="D60" s="537"/>
      <c r="E60" s="32"/>
      <c r="F60" s="32"/>
      <c r="G60" s="32"/>
      <c r="H60" s="32"/>
      <c r="I60" s="32"/>
    </row>
    <row r="61" spans="2:9" x14ac:dyDescent="0.2">
      <c r="B61" s="1125" t="str">
        <f>+'11. Final Load Forecast'!B26</f>
        <v>General Service &gt; 50 kW - 4999 kW</v>
      </c>
      <c r="C61" s="1126"/>
      <c r="D61" s="1126"/>
      <c r="E61" s="1126"/>
      <c r="F61" s="1126"/>
      <c r="G61" s="1126"/>
      <c r="H61" s="1126"/>
      <c r="I61" s="1126"/>
    </row>
    <row r="62" spans="2:9" x14ac:dyDescent="0.2">
      <c r="B62" s="805" t="s">
        <v>33</v>
      </c>
      <c r="C62" s="805" t="s">
        <v>49</v>
      </c>
      <c r="D62" s="805" t="s">
        <v>281</v>
      </c>
      <c r="E62" s="805" t="s">
        <v>62</v>
      </c>
      <c r="F62" s="93" t="s">
        <v>36</v>
      </c>
      <c r="G62" s="805" t="s">
        <v>62</v>
      </c>
      <c r="H62" s="93" t="s">
        <v>37</v>
      </c>
      <c r="I62" s="93"/>
    </row>
    <row r="63" spans="2:9" x14ac:dyDescent="0.2">
      <c r="B63" s="805">
        <v>2005</v>
      </c>
      <c r="C63" s="95">
        <f>'11. Final Load Forecast'!$D$26</f>
        <v>134</v>
      </c>
      <c r="D63" s="95"/>
      <c r="E63" s="95"/>
      <c r="F63" s="95">
        <f>+'11. Final Load Forecast'!$D$27</f>
        <v>74429057</v>
      </c>
      <c r="G63" s="95"/>
      <c r="H63" s="95">
        <f>+'11. Final Load Forecast'!$D$28</f>
        <v>212943</v>
      </c>
      <c r="I63" s="95"/>
    </row>
    <row r="64" spans="2:9" x14ac:dyDescent="0.2">
      <c r="B64" s="805">
        <v>2006</v>
      </c>
      <c r="C64" s="95">
        <f>'11. Final Load Forecast'!$E$26</f>
        <v>136</v>
      </c>
      <c r="D64" s="95">
        <f t="shared" ref="D64:D73" si="12">C64-C63</f>
        <v>2</v>
      </c>
      <c r="E64" s="187">
        <f t="shared" ref="E64:E74" si="13">(C64-C63)/C63</f>
        <v>1.4925373134328358E-2</v>
      </c>
      <c r="F64" s="95">
        <f>+'11. Final Load Forecast'!$E$27</f>
        <v>75435895</v>
      </c>
      <c r="G64" s="187">
        <f t="shared" ref="G64:G74" si="14">(F64-F63)/F63</f>
        <v>1.3527485643140689E-2</v>
      </c>
      <c r="H64" s="95">
        <f>+'11. Final Load Forecast'!$E$28</f>
        <v>207000</v>
      </c>
      <c r="I64" s="187">
        <f t="shared" ref="I64:I74" si="15">(H64-H63)/H63</f>
        <v>-2.7908877023428806E-2</v>
      </c>
    </row>
    <row r="65" spans="2:9" x14ac:dyDescent="0.2">
      <c r="B65" s="805">
        <v>2007</v>
      </c>
      <c r="C65" s="95">
        <f>'11. Final Load Forecast'!$F$26</f>
        <v>136</v>
      </c>
      <c r="D65" s="95">
        <f t="shared" si="12"/>
        <v>0</v>
      </c>
      <c r="E65" s="187">
        <f t="shared" si="13"/>
        <v>0</v>
      </c>
      <c r="F65" s="95">
        <f>+'11. Final Load Forecast'!$F$27</f>
        <v>78527667</v>
      </c>
      <c r="G65" s="187">
        <f t="shared" si="14"/>
        <v>4.0985422125633955E-2</v>
      </c>
      <c r="H65" s="95">
        <f>+'11. Final Load Forecast'!$F$28</f>
        <v>213039</v>
      </c>
      <c r="I65" s="187">
        <f t="shared" si="15"/>
        <v>2.9173913043478262E-2</v>
      </c>
    </row>
    <row r="66" spans="2:9" x14ac:dyDescent="0.2">
      <c r="B66" s="805">
        <v>2008</v>
      </c>
      <c r="C66" s="95">
        <f>'11. Final Load Forecast'!$G$26</f>
        <v>143</v>
      </c>
      <c r="D66" s="95">
        <f t="shared" si="12"/>
        <v>7</v>
      </c>
      <c r="E66" s="187">
        <f t="shared" si="13"/>
        <v>5.1470588235294115E-2</v>
      </c>
      <c r="F66" s="95">
        <f>+'11. Final Load Forecast'!$G$27</f>
        <v>78693630</v>
      </c>
      <c r="G66" s="187">
        <f t="shared" si="14"/>
        <v>2.1134334730713443E-3</v>
      </c>
      <c r="H66" s="95">
        <f>+'11. Final Load Forecast'!$G$28</f>
        <v>202855</v>
      </c>
      <c r="I66" s="187">
        <f t="shared" si="15"/>
        <v>-4.7803453827702909E-2</v>
      </c>
    </row>
    <row r="67" spans="2:9" x14ac:dyDescent="0.2">
      <c r="B67" s="805">
        <v>2009</v>
      </c>
      <c r="C67" s="95">
        <f>+'11. Final Load Forecast'!$H$26</f>
        <v>144</v>
      </c>
      <c r="D67" s="95">
        <f t="shared" si="12"/>
        <v>1</v>
      </c>
      <c r="E67" s="187">
        <f t="shared" si="13"/>
        <v>6.993006993006993E-3</v>
      </c>
      <c r="F67" s="95">
        <f>+'11. Final Load Forecast'!$H$27</f>
        <v>78622635.780000001</v>
      </c>
      <c r="G67" s="187">
        <f t="shared" si="14"/>
        <v>-9.0215967925229539E-4</v>
      </c>
      <c r="H67" s="95">
        <f>+'11. Final Load Forecast'!$H$28</f>
        <v>209853</v>
      </c>
      <c r="I67" s="187">
        <f t="shared" si="15"/>
        <v>3.4497547509304678E-2</v>
      </c>
    </row>
    <row r="68" spans="2:9" x14ac:dyDescent="0.2">
      <c r="B68" s="805">
        <v>2010</v>
      </c>
      <c r="C68" s="95">
        <f>+'11. Final Load Forecast'!$I$26</f>
        <v>148</v>
      </c>
      <c r="D68" s="95">
        <f t="shared" si="12"/>
        <v>4</v>
      </c>
      <c r="E68" s="187">
        <f t="shared" si="13"/>
        <v>2.7777777777777776E-2</v>
      </c>
      <c r="F68" s="95">
        <f>+'11. Final Load Forecast'!$I$27</f>
        <v>76510234.719999999</v>
      </c>
      <c r="G68" s="187">
        <f t="shared" si="14"/>
        <v>-2.6867594033744596E-2</v>
      </c>
      <c r="H68" s="95">
        <f>+'11. Final Load Forecast'!$I$28</f>
        <v>202775</v>
      </c>
      <c r="I68" s="187">
        <f t="shared" si="15"/>
        <v>-3.3728371764997406E-2</v>
      </c>
    </row>
    <row r="69" spans="2:9" x14ac:dyDescent="0.2">
      <c r="B69" s="805">
        <v>2011</v>
      </c>
      <c r="C69" s="95">
        <f>'11. Final Load Forecast'!$J$26</f>
        <v>145</v>
      </c>
      <c r="D69" s="95">
        <f t="shared" si="12"/>
        <v>-3</v>
      </c>
      <c r="E69" s="187">
        <f t="shared" si="13"/>
        <v>-2.0270270270270271E-2</v>
      </c>
      <c r="F69" s="95">
        <f>+'11. Final Load Forecast'!$J$27</f>
        <v>74853997.430000007</v>
      </c>
      <c r="G69" s="187">
        <f t="shared" si="14"/>
        <v>-2.1647264526912326E-2</v>
      </c>
      <c r="H69" s="95">
        <f>+'11. Final Load Forecast'!$J$28</f>
        <v>203575</v>
      </c>
      <c r="I69" s="187">
        <f t="shared" si="15"/>
        <v>3.9452595241030695E-3</v>
      </c>
    </row>
    <row r="70" spans="2:9" x14ac:dyDescent="0.2">
      <c r="B70" s="805">
        <v>2012</v>
      </c>
      <c r="C70" s="95">
        <f>'11. Final Load Forecast'!$K$26</f>
        <v>145</v>
      </c>
      <c r="D70" s="95">
        <f t="shared" si="12"/>
        <v>0</v>
      </c>
      <c r="E70" s="187">
        <f t="shared" si="13"/>
        <v>0</v>
      </c>
      <c r="F70" s="95">
        <f>+'11. Final Load Forecast'!$K$27</f>
        <v>74516293.329999998</v>
      </c>
      <c r="G70" s="187">
        <f t="shared" si="14"/>
        <v>-4.5115038821515732E-3</v>
      </c>
      <c r="H70" s="95">
        <f>+'11. Final Load Forecast'!$K$28</f>
        <v>207916</v>
      </c>
      <c r="I70" s="187">
        <f t="shared" si="15"/>
        <v>2.1323836423922389E-2</v>
      </c>
    </row>
    <row r="71" spans="2:9" x14ac:dyDescent="0.2">
      <c r="B71" s="805">
        <v>2013</v>
      </c>
      <c r="C71" s="95">
        <f>'11. Final Load Forecast'!$L$26</f>
        <v>145.5</v>
      </c>
      <c r="D71" s="95">
        <f t="shared" si="12"/>
        <v>0.5</v>
      </c>
      <c r="E71" s="187">
        <f t="shared" si="13"/>
        <v>3.4482758620689655E-3</v>
      </c>
      <c r="F71" s="95">
        <f>+'11. Final Load Forecast'!$L$27</f>
        <v>73596923.409999996</v>
      </c>
      <c r="G71" s="187">
        <f t="shared" si="14"/>
        <v>-1.233783752405015E-2</v>
      </c>
      <c r="H71" s="95">
        <f>+'11. Final Load Forecast'!$L$28</f>
        <v>216501</v>
      </c>
      <c r="I71" s="187">
        <f t="shared" si="15"/>
        <v>4.1290713557398183E-2</v>
      </c>
    </row>
    <row r="72" spans="2:9" x14ac:dyDescent="0.2">
      <c r="B72" s="805">
        <v>2014</v>
      </c>
      <c r="C72" s="95">
        <f>'11. Final Load Forecast'!$M$26</f>
        <v>146.5</v>
      </c>
      <c r="D72" s="95">
        <f t="shared" si="12"/>
        <v>1</v>
      </c>
      <c r="E72" s="187">
        <f t="shared" si="13"/>
        <v>6.8728522336769758E-3</v>
      </c>
      <c r="F72" s="95">
        <f>+'11. Final Load Forecast'!$M$27</f>
        <v>72512848.979999989</v>
      </c>
      <c r="G72" s="187">
        <f t="shared" si="14"/>
        <v>-1.472988787806731E-2</v>
      </c>
      <c r="H72" s="95">
        <f>+'11. Final Load Forecast'!$M$28</f>
        <v>206399</v>
      </c>
      <c r="I72" s="187">
        <f t="shared" si="15"/>
        <v>-4.6660292562159068E-2</v>
      </c>
    </row>
    <row r="73" spans="2:9" x14ac:dyDescent="0.2">
      <c r="B73" s="805">
        <v>2015</v>
      </c>
      <c r="C73" s="95">
        <f>'11. Final Load Forecast'!$N$26</f>
        <v>146</v>
      </c>
      <c r="D73" s="95">
        <f t="shared" si="12"/>
        <v>-0.5</v>
      </c>
      <c r="E73" s="188">
        <f t="shared" si="13"/>
        <v>-3.4129692832764505E-3</v>
      </c>
      <c r="F73" s="95">
        <f>+'11. Final Load Forecast'!$N$27</f>
        <v>72294221.463539079</v>
      </c>
      <c r="G73" s="188">
        <f t="shared" si="14"/>
        <v>-3.015017607723713E-3</v>
      </c>
      <c r="H73" s="95">
        <f>+'11. Final Load Forecast'!$N$28</f>
        <v>198903.90576628249</v>
      </c>
      <c r="I73" s="188">
        <f t="shared" si="15"/>
        <v>-3.6313616992899714E-2</v>
      </c>
    </row>
    <row r="74" spans="2:9" x14ac:dyDescent="0.2">
      <c r="B74" s="805">
        <v>2016</v>
      </c>
      <c r="C74" s="95">
        <f>'11. Final Load Forecast'!$O$26</f>
        <v>148</v>
      </c>
      <c r="D74" s="95">
        <f>C74-C73</f>
        <v>2</v>
      </c>
      <c r="E74" s="188">
        <f t="shared" si="13"/>
        <v>1.3698630136986301E-2</v>
      </c>
      <c r="F74" s="95">
        <f>+'11. Final Load Forecast'!$O$27</f>
        <v>71194283.19553569</v>
      </c>
      <c r="G74" s="188">
        <f t="shared" si="14"/>
        <v>-1.5214746707772944E-2</v>
      </c>
      <c r="H74" s="95">
        <f>+'11. Final Load Forecast'!$O$28</f>
        <v>195877.63322086178</v>
      </c>
      <c r="I74" s="188">
        <f t="shared" si="15"/>
        <v>-1.5214746707772862E-2</v>
      </c>
    </row>
    <row r="76" spans="2:9" x14ac:dyDescent="0.2">
      <c r="B76" s="64"/>
      <c r="C76" s="145"/>
      <c r="D76" s="145"/>
      <c r="E76" s="145"/>
      <c r="F76" s="145"/>
      <c r="G76" s="64"/>
    </row>
    <row r="77" spans="2:9" x14ac:dyDescent="0.2">
      <c r="B77" s="1125" t="str">
        <f>+'11. Final Load Forecast'!B30</f>
        <v>Streetlighting</v>
      </c>
      <c r="C77" s="1126"/>
      <c r="D77" s="1126"/>
      <c r="E77" s="1126"/>
      <c r="F77" s="1126"/>
      <c r="G77" s="1126"/>
      <c r="H77" s="1126"/>
      <c r="I77" s="1126"/>
    </row>
    <row r="78" spans="2:9" x14ac:dyDescent="0.2">
      <c r="B78" s="805" t="s">
        <v>33</v>
      </c>
      <c r="C78" s="805" t="s">
        <v>49</v>
      </c>
      <c r="D78" s="805"/>
      <c r="E78" s="805" t="s">
        <v>62</v>
      </c>
      <c r="F78" s="93" t="s">
        <v>36</v>
      </c>
      <c r="G78" s="805" t="s">
        <v>62</v>
      </c>
      <c r="H78" s="93" t="s">
        <v>37</v>
      </c>
      <c r="I78" s="805" t="s">
        <v>62</v>
      </c>
    </row>
    <row r="79" spans="2:9" x14ac:dyDescent="0.2">
      <c r="B79" s="805">
        <v>2005</v>
      </c>
      <c r="C79" s="95">
        <f>'11. Final Load Forecast'!$D$30</f>
        <v>2604</v>
      </c>
      <c r="D79" s="95"/>
      <c r="E79" s="95"/>
      <c r="F79" s="95">
        <f>+'11. Final Load Forecast'!$D$31</f>
        <v>2426613</v>
      </c>
      <c r="G79" s="95"/>
      <c r="H79" s="95">
        <f>+'11. Final Load Forecast'!$D$32</f>
        <v>6774</v>
      </c>
      <c r="I79" s="95"/>
    </row>
    <row r="80" spans="2:9" x14ac:dyDescent="0.2">
      <c r="B80" s="805">
        <v>2006</v>
      </c>
      <c r="C80" s="95">
        <f>'11. Final Load Forecast'!$E$30</f>
        <v>2635</v>
      </c>
      <c r="D80" s="95">
        <f t="shared" ref="D80:D89" si="16">C80-C79</f>
        <v>31</v>
      </c>
      <c r="E80" s="187">
        <f t="shared" ref="E80:E90" si="17">(C80-C79)/C79</f>
        <v>1.1904761904761904E-2</v>
      </c>
      <c r="F80" s="95">
        <f>+'11. Final Load Forecast'!$E$31</f>
        <v>2517491</v>
      </c>
      <c r="G80" s="187">
        <f t="shared" ref="G80:G90" si="18">(F80-F79)/F79</f>
        <v>3.7450553508120168E-2</v>
      </c>
      <c r="H80" s="95">
        <f>+'11. Final Load Forecast'!$E$32</f>
        <v>6784</v>
      </c>
      <c r="I80" s="187">
        <f t="shared" ref="I80:I90" si="19">(H80-H79)/H79</f>
        <v>1.4762326542663124E-3</v>
      </c>
    </row>
    <row r="81" spans="2:9" x14ac:dyDescent="0.2">
      <c r="B81" s="805">
        <v>2007</v>
      </c>
      <c r="C81" s="95">
        <f>'11. Final Load Forecast'!$F$30</f>
        <v>2648</v>
      </c>
      <c r="D81" s="95">
        <f t="shared" si="16"/>
        <v>13</v>
      </c>
      <c r="E81" s="187">
        <f t="shared" si="17"/>
        <v>4.9335863377609106E-3</v>
      </c>
      <c r="F81" s="95">
        <f>+'11. Final Load Forecast'!$F$31</f>
        <v>2426477</v>
      </c>
      <c r="G81" s="187">
        <f t="shared" si="18"/>
        <v>-3.6152661518948824E-2</v>
      </c>
      <c r="H81" s="95">
        <f>+'11. Final Load Forecast'!$F$32</f>
        <v>6778</v>
      </c>
      <c r="I81" s="187">
        <f t="shared" si="19"/>
        <v>-8.8443396226415096E-4</v>
      </c>
    </row>
    <row r="82" spans="2:9" x14ac:dyDescent="0.2">
      <c r="B82" s="805">
        <v>2008</v>
      </c>
      <c r="C82" s="95">
        <f>'11. Final Load Forecast'!$G$30</f>
        <v>2653</v>
      </c>
      <c r="D82" s="95">
        <f t="shared" si="16"/>
        <v>5</v>
      </c>
      <c r="E82" s="187">
        <f t="shared" si="17"/>
        <v>1.8882175226586104E-3</v>
      </c>
      <c r="F82" s="95">
        <f>+'11. Final Load Forecast'!$G$31</f>
        <v>2370504</v>
      </c>
      <c r="G82" s="187">
        <f t="shared" si="18"/>
        <v>-2.3067599651676072E-2</v>
      </c>
      <c r="H82" s="95">
        <f>+'11. Final Load Forecast'!$G$32</f>
        <v>6728</v>
      </c>
      <c r="I82" s="187">
        <f t="shared" si="19"/>
        <v>-7.3768073177928589E-3</v>
      </c>
    </row>
    <row r="83" spans="2:9" x14ac:dyDescent="0.2">
      <c r="B83" s="805">
        <v>2009</v>
      </c>
      <c r="C83" s="95">
        <f>'11. Final Load Forecast'!$H$30</f>
        <v>2701</v>
      </c>
      <c r="D83" s="95">
        <f t="shared" si="16"/>
        <v>48</v>
      </c>
      <c r="E83" s="187">
        <f t="shared" si="17"/>
        <v>1.8092725216735772E-2</v>
      </c>
      <c r="F83" s="95">
        <f>+'11. Final Load Forecast'!$H$31</f>
        <v>2414486.62</v>
      </c>
      <c r="G83" s="187">
        <f t="shared" si="18"/>
        <v>1.8554121823882226E-2</v>
      </c>
      <c r="H83" s="95">
        <f>+'11. Final Load Forecast'!$H$32</f>
        <v>6652</v>
      </c>
      <c r="I83" s="187">
        <f t="shared" si="19"/>
        <v>-1.1296076099881093E-2</v>
      </c>
    </row>
    <row r="84" spans="2:9" x14ac:dyDescent="0.2">
      <c r="B84" s="805">
        <v>2010</v>
      </c>
      <c r="C84" s="95">
        <f>'11. Final Load Forecast'!$I$30</f>
        <v>2713</v>
      </c>
      <c r="D84" s="95">
        <f t="shared" si="16"/>
        <v>12</v>
      </c>
      <c r="E84" s="187">
        <f t="shared" si="17"/>
        <v>4.4427989633469087E-3</v>
      </c>
      <c r="F84" s="95">
        <f>+'11. Final Load Forecast'!$I$31</f>
        <v>2383707.0499999998</v>
      </c>
      <c r="G84" s="187">
        <f t="shared" si="18"/>
        <v>-1.2747873500330392E-2</v>
      </c>
      <c r="H84" s="95">
        <f>+'11. Final Load Forecast'!$I$32</f>
        <v>6766</v>
      </c>
      <c r="I84" s="187">
        <f t="shared" si="19"/>
        <v>1.7137702946482262E-2</v>
      </c>
    </row>
    <row r="85" spans="2:9" x14ac:dyDescent="0.2">
      <c r="B85" s="805">
        <v>2011</v>
      </c>
      <c r="C85" s="95">
        <f>'11. Final Load Forecast'!$J$30</f>
        <v>2769</v>
      </c>
      <c r="D85" s="95">
        <f t="shared" si="16"/>
        <v>56</v>
      </c>
      <c r="E85" s="187">
        <f t="shared" si="17"/>
        <v>2.0641356431994103E-2</v>
      </c>
      <c r="F85" s="95">
        <f>+'11. Final Load Forecast'!$J$31</f>
        <v>2458955</v>
      </c>
      <c r="G85" s="187">
        <f t="shared" si="18"/>
        <v>3.1567616498847956E-2</v>
      </c>
      <c r="H85" s="95">
        <f>+'11. Final Load Forecast'!$J$32</f>
        <v>6840</v>
      </c>
      <c r="I85" s="187">
        <f t="shared" si="19"/>
        <v>1.093703813183565E-2</v>
      </c>
    </row>
    <row r="86" spans="2:9" x14ac:dyDescent="0.2">
      <c r="B86" s="805">
        <v>2012</v>
      </c>
      <c r="C86" s="95">
        <f>'11. Final Load Forecast'!$K$30</f>
        <v>2774.5</v>
      </c>
      <c r="D86" s="95">
        <f t="shared" si="16"/>
        <v>5.5</v>
      </c>
      <c r="E86" s="187">
        <f t="shared" si="17"/>
        <v>1.9862766341639583E-3</v>
      </c>
      <c r="F86" s="95">
        <f>+'11. Final Load Forecast'!$K$31</f>
        <v>2432689.94</v>
      </c>
      <c r="G86" s="187">
        <f t="shared" si="18"/>
        <v>-1.0681391078730621E-2</v>
      </c>
      <c r="H86" s="95">
        <f>+'11. Final Load Forecast'!$K$32</f>
        <v>6768.3999999999987</v>
      </c>
      <c r="I86" s="187">
        <f t="shared" si="19"/>
        <v>-1.0467836257310128E-2</v>
      </c>
    </row>
    <row r="87" spans="2:9" x14ac:dyDescent="0.2">
      <c r="B87" s="805">
        <v>2013</v>
      </c>
      <c r="C87" s="95">
        <f>'11. Final Load Forecast'!$L$30</f>
        <v>2787</v>
      </c>
      <c r="D87" s="95">
        <f t="shared" si="16"/>
        <v>12.5</v>
      </c>
      <c r="E87" s="187">
        <f t="shared" si="17"/>
        <v>4.5053162732023788E-3</v>
      </c>
      <c r="F87" s="95">
        <f>+'11. Final Load Forecast'!$L$31</f>
        <v>2424248.81</v>
      </c>
      <c r="G87" s="187">
        <f t="shared" si="18"/>
        <v>-3.4698749977154458E-3</v>
      </c>
      <c r="H87" s="95">
        <f>+'11. Final Load Forecast'!$L$32</f>
        <v>6765.9000000000005</v>
      </c>
      <c r="I87" s="187">
        <f t="shared" si="19"/>
        <v>-3.6936351279448341E-4</v>
      </c>
    </row>
    <row r="88" spans="2:9" x14ac:dyDescent="0.2">
      <c r="B88" s="805">
        <v>2014</v>
      </c>
      <c r="C88" s="95">
        <f>'11. Final Load Forecast'!$M$30</f>
        <v>2802.5</v>
      </c>
      <c r="D88" s="95">
        <f t="shared" si="16"/>
        <v>15.5</v>
      </c>
      <c r="E88" s="187">
        <f t="shared" si="17"/>
        <v>5.5615357014711158E-3</v>
      </c>
      <c r="F88" s="95">
        <f>+'11. Final Load Forecast'!$M$31</f>
        <v>2439791.5699999998</v>
      </c>
      <c r="G88" s="187">
        <f t="shared" si="18"/>
        <v>6.4113716116456611E-3</v>
      </c>
      <c r="H88" s="95">
        <f>+'11. Final Load Forecast'!$M$32</f>
        <v>6769.9599999999991</v>
      </c>
      <c r="I88" s="187">
        <f t="shared" si="19"/>
        <v>6.0006798799843049E-4</v>
      </c>
    </row>
    <row r="89" spans="2:9" x14ac:dyDescent="0.2">
      <c r="B89" s="805">
        <v>2015</v>
      </c>
      <c r="C89" s="95">
        <f>'11. Final Load Forecast'!$N$30</f>
        <v>2825.4692256082153</v>
      </c>
      <c r="D89" s="95">
        <f t="shared" si="16"/>
        <v>22.969225608215311</v>
      </c>
      <c r="E89" s="188">
        <f t="shared" si="17"/>
        <v>8.1959770234488177E-3</v>
      </c>
      <c r="F89" s="95">
        <f>+'11. Final Load Forecast'!$N$31</f>
        <v>2432435.555457274</v>
      </c>
      <c r="G89" s="188">
        <f t="shared" si="18"/>
        <v>-3.0150176077237078E-3</v>
      </c>
      <c r="H89" s="95">
        <f>+'11. Final Load Forecast'!$N$32</f>
        <v>6772.1454156893096</v>
      </c>
      <c r="I89" s="188">
        <f t="shared" si="19"/>
        <v>3.2281072403832564E-4</v>
      </c>
    </row>
    <row r="90" spans="2:9" x14ac:dyDescent="0.2">
      <c r="B90" s="805">
        <v>2016</v>
      </c>
      <c r="C90" s="95">
        <f>'11. Final Load Forecast'!$O$30</f>
        <v>2848.6267064617618</v>
      </c>
      <c r="D90" s="95">
        <f>C90-C89</f>
        <v>23.157480853546531</v>
      </c>
      <c r="E90" s="188">
        <f t="shared" si="17"/>
        <v>8.1959770234487726E-3</v>
      </c>
      <c r="F90" s="95">
        <f>+'11. Final Load Forecast'!$O$31</f>
        <v>1254856.1488513288</v>
      </c>
      <c r="G90" s="188">
        <f t="shared" si="18"/>
        <v>-0.48411535671068245</v>
      </c>
      <c r="H90" s="95">
        <f>+'11. Final Load Forecast'!$O$32</f>
        <v>3493.6458220762665</v>
      </c>
      <c r="I90" s="188">
        <f t="shared" si="19"/>
        <v>-0.48411535671068245</v>
      </c>
    </row>
    <row r="93" spans="2:9" x14ac:dyDescent="0.2">
      <c r="B93" s="1125" t="str">
        <f>+'11. Final Load Forecast'!B34</f>
        <v>Sentinel Lighting</v>
      </c>
      <c r="C93" s="1126"/>
      <c r="D93" s="1126"/>
      <c r="E93" s="1126"/>
      <c r="F93" s="1126"/>
      <c r="G93" s="1126"/>
      <c r="H93" s="1126"/>
      <c r="I93" s="1126"/>
    </row>
    <row r="94" spans="2:9" x14ac:dyDescent="0.2">
      <c r="B94" s="805" t="s">
        <v>33</v>
      </c>
      <c r="C94" s="805" t="s">
        <v>49</v>
      </c>
      <c r="D94" s="805" t="s">
        <v>281</v>
      </c>
      <c r="E94" s="805" t="s">
        <v>62</v>
      </c>
      <c r="F94" s="93" t="s">
        <v>36</v>
      </c>
      <c r="G94" s="805" t="s">
        <v>62</v>
      </c>
      <c r="H94" s="93" t="s">
        <v>37</v>
      </c>
      <c r="I94" s="805" t="s">
        <v>62</v>
      </c>
    </row>
    <row r="95" spans="2:9" x14ac:dyDescent="0.2">
      <c r="B95" s="805">
        <v>2005</v>
      </c>
      <c r="C95" s="95">
        <f>'11. Final Load Forecast'!$D$34</f>
        <v>250</v>
      </c>
      <c r="D95" s="95"/>
      <c r="E95" s="95"/>
      <c r="F95" s="95">
        <f>+'11. Final Load Forecast'!$D$35</f>
        <v>284178</v>
      </c>
      <c r="G95" s="95"/>
      <c r="H95" s="95">
        <f>+'11. Final Load Forecast'!$D$36</f>
        <v>783</v>
      </c>
      <c r="I95" s="95"/>
    </row>
    <row r="96" spans="2:9" x14ac:dyDescent="0.2">
      <c r="B96" s="805">
        <v>2006</v>
      </c>
      <c r="C96" s="95">
        <f>'11. Final Load Forecast'!$E$34</f>
        <v>225</v>
      </c>
      <c r="D96" s="95">
        <f t="shared" ref="D96:D105" si="20">C96-C95</f>
        <v>-25</v>
      </c>
      <c r="E96" s="187">
        <f t="shared" ref="E96:E106" si="21">(C96-C95)/C95</f>
        <v>-0.1</v>
      </c>
      <c r="F96" s="95">
        <f>+'11. Final Load Forecast'!$E$35</f>
        <v>267504</v>
      </c>
      <c r="G96" s="187">
        <f t="shared" ref="G96:G106" si="22">(F96-F95)/F95</f>
        <v>-5.8674492747503325E-2</v>
      </c>
      <c r="H96" s="95">
        <f>+'11. Final Load Forecast'!$E$36</f>
        <v>767</v>
      </c>
      <c r="I96" s="187">
        <f t="shared" ref="I96:I106" si="23">(H96-H95)/H95</f>
        <v>-2.0434227330779056E-2</v>
      </c>
    </row>
    <row r="97" spans="2:9" x14ac:dyDescent="0.2">
      <c r="B97" s="805">
        <v>2007</v>
      </c>
      <c r="C97" s="95">
        <f>'11. Final Load Forecast'!$F$34</f>
        <v>225</v>
      </c>
      <c r="D97" s="95">
        <f t="shared" si="20"/>
        <v>0</v>
      </c>
      <c r="E97" s="187">
        <f t="shared" si="21"/>
        <v>0</v>
      </c>
      <c r="F97" s="95">
        <f>+'11. Final Load Forecast'!$F$35</f>
        <v>266011</v>
      </c>
      <c r="G97" s="187">
        <f t="shared" si="22"/>
        <v>-5.5812249536455532E-3</v>
      </c>
      <c r="H97" s="95">
        <f>+'11. Final Load Forecast'!$F$36</f>
        <v>766</v>
      </c>
      <c r="I97" s="187">
        <f t="shared" si="23"/>
        <v>-1.3037809647979139E-3</v>
      </c>
    </row>
    <row r="98" spans="2:9" x14ac:dyDescent="0.2">
      <c r="B98" s="805">
        <v>2008</v>
      </c>
      <c r="C98" s="95">
        <f>'11. Final Load Forecast'!$G$34</f>
        <v>226</v>
      </c>
      <c r="D98" s="95">
        <f t="shared" si="20"/>
        <v>1</v>
      </c>
      <c r="E98" s="187">
        <f t="shared" si="21"/>
        <v>4.4444444444444444E-3</v>
      </c>
      <c r="F98" s="95">
        <f>+'11. Final Load Forecast'!$G$35</f>
        <v>262124</v>
      </c>
      <c r="G98" s="187">
        <f t="shared" si="22"/>
        <v>-1.461217769189996E-2</v>
      </c>
      <c r="H98" s="95">
        <f>+'11. Final Load Forecast'!$G$36</f>
        <v>751</v>
      </c>
      <c r="I98" s="187">
        <f t="shared" si="23"/>
        <v>-1.95822454308094E-2</v>
      </c>
    </row>
    <row r="99" spans="2:9" x14ac:dyDescent="0.2">
      <c r="B99" s="805">
        <v>2009</v>
      </c>
      <c r="C99" s="95">
        <f>'11. Final Load Forecast'!$H$34</f>
        <v>226</v>
      </c>
      <c r="D99" s="95">
        <f t="shared" si="20"/>
        <v>0</v>
      </c>
      <c r="E99" s="187">
        <f t="shared" si="21"/>
        <v>0</v>
      </c>
      <c r="F99" s="95">
        <f>+'11. Final Load Forecast'!$H$35</f>
        <v>265370.21000000002</v>
      </c>
      <c r="G99" s="187">
        <f t="shared" si="22"/>
        <v>1.2384253254185122E-2</v>
      </c>
      <c r="H99" s="95">
        <f>+'11. Final Load Forecast'!$H$36</f>
        <v>756</v>
      </c>
      <c r="I99" s="187">
        <f t="shared" si="23"/>
        <v>6.6577896138482022E-3</v>
      </c>
    </row>
    <row r="100" spans="2:9" x14ac:dyDescent="0.2">
      <c r="B100" s="805">
        <v>2010</v>
      </c>
      <c r="C100" s="95">
        <f>'11. Final Load Forecast'!$I$34</f>
        <v>216</v>
      </c>
      <c r="D100" s="95">
        <f t="shared" si="20"/>
        <v>-10</v>
      </c>
      <c r="E100" s="187">
        <f t="shared" si="21"/>
        <v>-4.4247787610619468E-2</v>
      </c>
      <c r="F100" s="95">
        <f>+'11. Final Load Forecast'!$I$35</f>
        <v>233685.69</v>
      </c>
      <c r="G100" s="187">
        <f t="shared" si="22"/>
        <v>-0.11939742595824911</v>
      </c>
      <c r="H100" s="95">
        <f>+'11. Final Load Forecast'!$I$36</f>
        <v>766</v>
      </c>
      <c r="I100" s="187">
        <f t="shared" si="23"/>
        <v>1.3227513227513227E-2</v>
      </c>
    </row>
    <row r="101" spans="2:9" x14ac:dyDescent="0.2">
      <c r="B101" s="805">
        <v>2011</v>
      </c>
      <c r="C101" s="95">
        <f>'11. Final Load Forecast'!$J$34</f>
        <v>209</v>
      </c>
      <c r="D101" s="95">
        <f t="shared" si="20"/>
        <v>-7</v>
      </c>
      <c r="E101" s="187">
        <f t="shared" si="21"/>
        <v>-3.2407407407407406E-2</v>
      </c>
      <c r="F101" s="95">
        <f>+'11. Final Load Forecast'!$J$35</f>
        <v>270899.02</v>
      </c>
      <c r="G101" s="187">
        <f t="shared" si="22"/>
        <v>0.15924522378755848</v>
      </c>
      <c r="H101" s="95">
        <f>+'11. Final Load Forecast'!$J$36</f>
        <v>734</v>
      </c>
      <c r="I101" s="187">
        <f t="shared" si="23"/>
        <v>-4.1775456919060053E-2</v>
      </c>
    </row>
    <row r="102" spans="2:9" x14ac:dyDescent="0.2">
      <c r="B102" s="805">
        <v>2012</v>
      </c>
      <c r="C102" s="95">
        <f>'11. Final Load Forecast'!$K$34</f>
        <v>208.5</v>
      </c>
      <c r="D102" s="95">
        <f t="shared" si="20"/>
        <v>-0.5</v>
      </c>
      <c r="E102" s="187">
        <f t="shared" si="21"/>
        <v>-2.3923444976076554E-3</v>
      </c>
      <c r="F102" s="95">
        <f>+'11. Final Load Forecast'!$K$35</f>
        <v>243747.31</v>
      </c>
      <c r="G102" s="187">
        <f t="shared" si="22"/>
        <v>-0.10022815881725973</v>
      </c>
      <c r="H102" s="95">
        <f>+'11. Final Load Forecast'!$K$36</f>
        <v>713</v>
      </c>
      <c r="I102" s="187">
        <f t="shared" si="23"/>
        <v>-2.8610354223433242E-2</v>
      </c>
    </row>
    <row r="103" spans="2:9" x14ac:dyDescent="0.2">
      <c r="B103" s="805">
        <v>2013</v>
      </c>
      <c r="C103" s="95">
        <f>'11. Final Load Forecast'!$L$34</f>
        <v>206.5</v>
      </c>
      <c r="D103" s="95">
        <f t="shared" si="20"/>
        <v>-2</v>
      </c>
      <c r="E103" s="187">
        <f t="shared" si="21"/>
        <v>-9.5923261390887284E-3</v>
      </c>
      <c r="F103" s="95">
        <f>+'11. Final Load Forecast'!$L$35</f>
        <v>270899.02</v>
      </c>
      <c r="G103" s="187">
        <f t="shared" si="22"/>
        <v>0.11139286008940989</v>
      </c>
      <c r="H103" s="95">
        <f>+'11. Final Load Forecast'!$L$36</f>
        <v>700</v>
      </c>
      <c r="I103" s="187">
        <f t="shared" si="23"/>
        <v>-1.82328190743338E-2</v>
      </c>
    </row>
    <row r="104" spans="2:9" x14ac:dyDescent="0.2">
      <c r="B104" s="805">
        <v>2014</v>
      </c>
      <c r="C104" s="95">
        <f>'11. Final Load Forecast'!$M$34</f>
        <v>204</v>
      </c>
      <c r="D104" s="95">
        <f t="shared" si="20"/>
        <v>-2.5</v>
      </c>
      <c r="E104" s="187">
        <f t="shared" si="21"/>
        <v>-1.2106537530266344E-2</v>
      </c>
      <c r="F104" s="95">
        <f>+'11. Final Load Forecast'!$M$35</f>
        <v>245570.47</v>
      </c>
      <c r="G104" s="187">
        <f t="shared" si="22"/>
        <v>-9.3498123396681232E-2</v>
      </c>
      <c r="H104" s="95">
        <f>+'11. Final Load Forecast'!$M$36</f>
        <v>683.5</v>
      </c>
      <c r="I104" s="187">
        <f t="shared" si="23"/>
        <v>-2.3571428571428573E-2</v>
      </c>
    </row>
    <row r="105" spans="2:9" x14ac:dyDescent="0.2">
      <c r="B105" s="805">
        <v>2015</v>
      </c>
      <c r="C105" s="95">
        <f>'11. Final Load Forecast'!$N$34</f>
        <v>199.44261639611278</v>
      </c>
      <c r="D105" s="95">
        <f t="shared" si="20"/>
        <v>-4.5573836038872173</v>
      </c>
      <c r="E105" s="188">
        <f t="shared" si="21"/>
        <v>-2.2340115705329497E-2</v>
      </c>
      <c r="F105" s="95">
        <f>+'11. Final Load Forecast'!$N$35</f>
        <v>244830.07070901303</v>
      </c>
      <c r="G105" s="188">
        <f t="shared" si="22"/>
        <v>-3.0150176077236414E-3</v>
      </c>
      <c r="H105" s="95">
        <f>+'11. Final Load Forecast'!$N$36</f>
        <v>697.66573773827554</v>
      </c>
      <c r="I105" s="188">
        <f t="shared" si="23"/>
        <v>2.0725292960169041E-2</v>
      </c>
    </row>
    <row r="106" spans="2:9" x14ac:dyDescent="0.2">
      <c r="B106" s="805">
        <v>2016</v>
      </c>
      <c r="C106" s="95">
        <f>'11. Final Load Forecast'!$O$34</f>
        <v>194.98704526924996</v>
      </c>
      <c r="D106" s="95">
        <f>C106-C105</f>
        <v>-4.4555711268628215</v>
      </c>
      <c r="E106" s="188">
        <f t="shared" si="21"/>
        <v>-2.2340115705329577E-2</v>
      </c>
      <c r="F106" s="95">
        <f>+'11. Final Load Forecast'!$O$35</f>
        <v>241105.04319672924</v>
      </c>
      <c r="G106" s="188">
        <f t="shared" si="22"/>
        <v>-1.5214746707773022E-2</v>
      </c>
      <c r="H106" s="95">
        <f>+'11. Final Load Forecast'!$O$36</f>
        <v>687.05093025189603</v>
      </c>
      <c r="I106" s="188">
        <f t="shared" si="23"/>
        <v>-1.5214746707773079E-2</v>
      </c>
    </row>
    <row r="109" spans="2:9" x14ac:dyDescent="0.2">
      <c r="B109" s="1125">
        <f>+'11. Final Load Forecast'!B38</f>
        <v>0</v>
      </c>
      <c r="C109" s="1126"/>
      <c r="D109" s="1126"/>
      <c r="E109" s="1126"/>
      <c r="F109" s="1126"/>
      <c r="G109" s="1126"/>
      <c r="H109" s="1126"/>
      <c r="I109" s="1126"/>
    </row>
    <row r="110" spans="2:9" x14ac:dyDescent="0.2">
      <c r="B110" s="805" t="s">
        <v>33</v>
      </c>
      <c r="C110" s="805" t="s">
        <v>49</v>
      </c>
      <c r="D110" s="805" t="s">
        <v>281</v>
      </c>
      <c r="E110" s="805" t="s">
        <v>62</v>
      </c>
      <c r="F110" s="93" t="s">
        <v>36</v>
      </c>
      <c r="G110" s="805" t="s">
        <v>62</v>
      </c>
      <c r="H110" s="93" t="s">
        <v>37</v>
      </c>
      <c r="I110" s="805" t="s">
        <v>62</v>
      </c>
    </row>
    <row r="111" spans="2:9" x14ac:dyDescent="0.2">
      <c r="B111" s="805">
        <v>2005</v>
      </c>
      <c r="C111" s="95">
        <f>'11. Final Load Forecast'!$D$39</f>
        <v>0</v>
      </c>
      <c r="D111" s="95"/>
      <c r="E111" s="95"/>
      <c r="F111" s="95">
        <f>+'11. Final Load Forecast'!$D$39</f>
        <v>0</v>
      </c>
      <c r="G111" s="95"/>
      <c r="H111" s="95">
        <f>+'11. Final Load Forecast'!$D$40</f>
        <v>0</v>
      </c>
      <c r="I111" s="95"/>
    </row>
    <row r="112" spans="2:9" x14ac:dyDescent="0.2">
      <c r="B112" s="805">
        <v>2006</v>
      </c>
      <c r="C112" s="95">
        <f>'11. Final Load Forecast'!$E$38</f>
        <v>0</v>
      </c>
      <c r="D112" s="95">
        <f t="shared" ref="D112:D121" si="24">C112-C111</f>
        <v>0</v>
      </c>
      <c r="E112" s="187" t="e">
        <f t="shared" ref="E112:E122" si="25">(C112-C111)/C111</f>
        <v>#DIV/0!</v>
      </c>
      <c r="F112" s="95">
        <f>+'11. Final Load Forecast'!$E$39</f>
        <v>0</v>
      </c>
      <c r="G112" s="187" t="e">
        <f t="shared" ref="G112:G122" si="26">(F112-F111)/F111</f>
        <v>#DIV/0!</v>
      </c>
      <c r="H112" s="95">
        <f>+'11. Final Load Forecast'!$E$40</f>
        <v>0</v>
      </c>
      <c r="I112" s="187" t="e">
        <f t="shared" ref="I112:I122" si="27">(H112-H111)/H111</f>
        <v>#DIV/0!</v>
      </c>
    </row>
    <row r="113" spans="2:9" x14ac:dyDescent="0.2">
      <c r="B113" s="805">
        <v>2007</v>
      </c>
      <c r="C113" s="95">
        <f>'11. Final Load Forecast'!$F$38</f>
        <v>0</v>
      </c>
      <c r="D113" s="95">
        <f t="shared" si="24"/>
        <v>0</v>
      </c>
      <c r="E113" s="187" t="e">
        <f t="shared" si="25"/>
        <v>#DIV/0!</v>
      </c>
      <c r="F113" s="95">
        <f>+'11. Final Load Forecast'!$F$39</f>
        <v>0</v>
      </c>
      <c r="G113" s="187" t="e">
        <f t="shared" si="26"/>
        <v>#DIV/0!</v>
      </c>
      <c r="H113" s="95">
        <f>+'11. Final Load Forecast'!$F$40</f>
        <v>0</v>
      </c>
      <c r="I113" s="187" t="e">
        <f t="shared" si="27"/>
        <v>#DIV/0!</v>
      </c>
    </row>
    <row r="114" spans="2:9" x14ac:dyDescent="0.2">
      <c r="B114" s="805">
        <v>2008</v>
      </c>
      <c r="C114" s="95">
        <f>'11. Final Load Forecast'!$G$38</f>
        <v>0</v>
      </c>
      <c r="D114" s="95">
        <f t="shared" si="24"/>
        <v>0</v>
      </c>
      <c r="E114" s="187" t="e">
        <f t="shared" si="25"/>
        <v>#DIV/0!</v>
      </c>
      <c r="F114" s="95">
        <f>+'11. Final Load Forecast'!$G$39</f>
        <v>0</v>
      </c>
      <c r="G114" s="187" t="e">
        <f t="shared" si="26"/>
        <v>#DIV/0!</v>
      </c>
      <c r="H114" s="95">
        <f>+'11. Final Load Forecast'!$G$40</f>
        <v>0</v>
      </c>
      <c r="I114" s="187" t="e">
        <f t="shared" si="27"/>
        <v>#DIV/0!</v>
      </c>
    </row>
    <row r="115" spans="2:9" x14ac:dyDescent="0.2">
      <c r="B115" s="805">
        <v>2009</v>
      </c>
      <c r="C115" s="95">
        <f>'11. Final Load Forecast'!$H$38</f>
        <v>0</v>
      </c>
      <c r="D115" s="95">
        <f t="shared" si="24"/>
        <v>0</v>
      </c>
      <c r="E115" s="187" t="e">
        <f t="shared" si="25"/>
        <v>#DIV/0!</v>
      </c>
      <c r="F115" s="95">
        <f>+'11. Final Load Forecast'!$H$39</f>
        <v>0</v>
      </c>
      <c r="G115" s="187" t="e">
        <f t="shared" si="26"/>
        <v>#DIV/0!</v>
      </c>
      <c r="H115" s="95">
        <f>+'11. Final Load Forecast'!$H$40</f>
        <v>0</v>
      </c>
      <c r="I115" s="187" t="e">
        <f t="shared" si="27"/>
        <v>#DIV/0!</v>
      </c>
    </row>
    <row r="116" spans="2:9" x14ac:dyDescent="0.2">
      <c r="B116" s="805">
        <v>2010</v>
      </c>
      <c r="C116" s="95">
        <f>'11. Final Load Forecast'!$I$38</f>
        <v>0</v>
      </c>
      <c r="D116" s="95">
        <f t="shared" si="24"/>
        <v>0</v>
      </c>
      <c r="E116" s="187" t="e">
        <f t="shared" si="25"/>
        <v>#DIV/0!</v>
      </c>
      <c r="F116" s="95">
        <f>+'11. Final Load Forecast'!$I$39</f>
        <v>0</v>
      </c>
      <c r="G116" s="187" t="e">
        <f t="shared" si="26"/>
        <v>#DIV/0!</v>
      </c>
      <c r="H116" s="95">
        <f>+'11. Final Load Forecast'!$I$40</f>
        <v>0</v>
      </c>
      <c r="I116" s="187" t="e">
        <f t="shared" si="27"/>
        <v>#DIV/0!</v>
      </c>
    </row>
    <row r="117" spans="2:9" x14ac:dyDescent="0.2">
      <c r="B117" s="805">
        <v>2011</v>
      </c>
      <c r="C117" s="95">
        <f>'11. Final Load Forecast'!$J$38</f>
        <v>0</v>
      </c>
      <c r="D117" s="95">
        <f t="shared" si="24"/>
        <v>0</v>
      </c>
      <c r="E117" s="187" t="e">
        <f t="shared" si="25"/>
        <v>#DIV/0!</v>
      </c>
      <c r="F117" s="95">
        <f>+'11. Final Load Forecast'!$J$39</f>
        <v>0</v>
      </c>
      <c r="G117" s="187" t="e">
        <f t="shared" si="26"/>
        <v>#DIV/0!</v>
      </c>
      <c r="H117" s="95">
        <f>+'11. Final Load Forecast'!$J$40</f>
        <v>0</v>
      </c>
      <c r="I117" s="187" t="e">
        <f t="shared" si="27"/>
        <v>#DIV/0!</v>
      </c>
    </row>
    <row r="118" spans="2:9" x14ac:dyDescent="0.2">
      <c r="B118" s="805">
        <v>2012</v>
      </c>
      <c r="C118" s="95">
        <f>'11. Final Load Forecast'!$K$38</f>
        <v>0</v>
      </c>
      <c r="D118" s="95">
        <f t="shared" si="24"/>
        <v>0</v>
      </c>
      <c r="E118" s="187" t="e">
        <f t="shared" si="25"/>
        <v>#DIV/0!</v>
      </c>
      <c r="F118" s="95">
        <f>+'11. Final Load Forecast'!$K$39</f>
        <v>0</v>
      </c>
      <c r="G118" s="187" t="e">
        <f t="shared" si="26"/>
        <v>#DIV/0!</v>
      </c>
      <c r="H118" s="95">
        <f>+'11. Final Load Forecast'!$K$40</f>
        <v>0</v>
      </c>
      <c r="I118" s="187" t="e">
        <f t="shared" si="27"/>
        <v>#DIV/0!</v>
      </c>
    </row>
    <row r="119" spans="2:9" x14ac:dyDescent="0.2">
      <c r="B119" s="805">
        <v>2013</v>
      </c>
      <c r="C119" s="95">
        <f>'11. Final Load Forecast'!$L$38</f>
        <v>0</v>
      </c>
      <c r="D119" s="95">
        <f t="shared" si="24"/>
        <v>0</v>
      </c>
      <c r="E119" s="187" t="e">
        <f t="shared" si="25"/>
        <v>#DIV/0!</v>
      </c>
      <c r="F119" s="95">
        <f>+'11. Final Load Forecast'!$L$39</f>
        <v>0</v>
      </c>
      <c r="G119" s="187" t="e">
        <f t="shared" si="26"/>
        <v>#DIV/0!</v>
      </c>
      <c r="H119" s="95">
        <f>+'11. Final Load Forecast'!$L$40</f>
        <v>0</v>
      </c>
      <c r="I119" s="187" t="e">
        <f t="shared" si="27"/>
        <v>#DIV/0!</v>
      </c>
    </row>
    <row r="120" spans="2:9" x14ac:dyDescent="0.2">
      <c r="B120" s="805">
        <v>2014</v>
      </c>
      <c r="C120" s="95">
        <f>'11. Final Load Forecast'!$M$38</f>
        <v>0</v>
      </c>
      <c r="D120" s="95">
        <f t="shared" si="24"/>
        <v>0</v>
      </c>
      <c r="E120" s="187" t="e">
        <f t="shared" si="25"/>
        <v>#DIV/0!</v>
      </c>
      <c r="F120" s="95">
        <f>+'11. Final Load Forecast'!$M$39</f>
        <v>0</v>
      </c>
      <c r="G120" s="187" t="e">
        <f t="shared" si="26"/>
        <v>#DIV/0!</v>
      </c>
      <c r="H120" s="95">
        <f>+'11. Final Load Forecast'!$M$40</f>
        <v>0</v>
      </c>
      <c r="I120" s="187" t="e">
        <f t="shared" si="27"/>
        <v>#DIV/0!</v>
      </c>
    </row>
    <row r="121" spans="2:9" x14ac:dyDescent="0.2">
      <c r="B121" s="805">
        <v>2015</v>
      </c>
      <c r="C121" s="95">
        <f>'11. Final Load Forecast'!$N$38</f>
        <v>0</v>
      </c>
      <c r="D121" s="95">
        <f t="shared" si="24"/>
        <v>0</v>
      </c>
      <c r="E121" s="188" t="e">
        <f t="shared" si="25"/>
        <v>#DIV/0!</v>
      </c>
      <c r="F121" s="95">
        <f>+'11. Final Load Forecast'!$N$39</f>
        <v>0</v>
      </c>
      <c r="G121" s="188" t="e">
        <f t="shared" si="26"/>
        <v>#DIV/0!</v>
      </c>
      <c r="H121" s="95">
        <f>+'11. Final Load Forecast'!$N$40</f>
        <v>0</v>
      </c>
      <c r="I121" s="188" t="e">
        <f t="shared" si="27"/>
        <v>#DIV/0!</v>
      </c>
    </row>
    <row r="122" spans="2:9" x14ac:dyDescent="0.2">
      <c r="B122" s="805">
        <v>2016</v>
      </c>
      <c r="C122" s="95">
        <f>'11. Final Load Forecast'!$O$38</f>
        <v>0</v>
      </c>
      <c r="D122" s="95">
        <f>C122-C121</f>
        <v>0</v>
      </c>
      <c r="E122" s="188" t="e">
        <f t="shared" si="25"/>
        <v>#DIV/0!</v>
      </c>
      <c r="F122" s="95">
        <f>+'11. Final Load Forecast'!$O$39</f>
        <v>0</v>
      </c>
      <c r="G122" s="188" t="e">
        <f t="shared" si="26"/>
        <v>#DIV/0!</v>
      </c>
      <c r="H122" s="95">
        <f>+'11. Final Load Forecast'!$O$40</f>
        <v>0</v>
      </c>
      <c r="I122" s="188" t="e">
        <f t="shared" si="27"/>
        <v>#DIV/0!</v>
      </c>
    </row>
  </sheetData>
  <mergeCells count="7">
    <mergeCell ref="B13:I13"/>
    <mergeCell ref="B77:I77"/>
    <mergeCell ref="B93:I93"/>
    <mergeCell ref="B109:I109"/>
    <mergeCell ref="B61:I61"/>
    <mergeCell ref="B45:I45"/>
    <mergeCell ref="B29:I2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M37"/>
  <sheetViews>
    <sheetView showGridLines="0" zoomScaleNormal="100" workbookViewId="0">
      <selection activeCell="B28" sqref="B28"/>
    </sheetView>
  </sheetViews>
  <sheetFormatPr defaultRowHeight="12.75" x14ac:dyDescent="0.2"/>
  <cols>
    <col min="1" max="1" width="13.6640625" customWidth="1"/>
    <col min="2" max="2" width="68.6640625" customWidth="1"/>
    <col min="3" max="3" width="25.1640625" customWidth="1"/>
    <col min="4" max="4" width="29.5" style="136" customWidth="1"/>
    <col min="5" max="5" width="4.83203125" style="136" customWidth="1"/>
    <col min="6" max="6" width="12" style="136" customWidth="1"/>
    <col min="7" max="7" width="18" customWidth="1"/>
    <col min="9" max="9" width="14.83203125" bestFit="1" customWidth="1"/>
    <col min="10" max="10" width="2.1640625" bestFit="1" customWidth="1"/>
  </cols>
  <sheetData>
    <row r="1" spans="1:13" s="536" customFormat="1" x14ac:dyDescent="0.2">
      <c r="A1" s="758" t="s">
        <v>272</v>
      </c>
    </row>
    <row r="2" spans="1:13" s="536" customFormat="1" x14ac:dyDescent="0.2"/>
    <row r="3" spans="1:13" s="536" customFormat="1" x14ac:dyDescent="0.2"/>
    <row r="4" spans="1:13" s="536" customFormat="1" x14ac:dyDescent="0.2"/>
    <row r="5" spans="1:13" s="536" customFormat="1" x14ac:dyDescent="0.2"/>
    <row r="6" spans="1:13" s="536" customFormat="1" x14ac:dyDescent="0.2"/>
    <row r="7" spans="1:13" s="536" customFormat="1" x14ac:dyDescent="0.2"/>
    <row r="8" spans="1:13" s="536" customFormat="1" x14ac:dyDescent="0.2"/>
    <row r="9" spans="1:13" s="536" customFormat="1" x14ac:dyDescent="0.2"/>
    <row r="10" spans="1:13" ht="12.75" customHeight="1" x14ac:dyDescent="0.2">
      <c r="B10" s="979"/>
      <c r="C10" s="979"/>
      <c r="D10" s="979"/>
      <c r="E10" s="979"/>
      <c r="F10" s="979"/>
      <c r="G10" s="979"/>
      <c r="H10" s="979"/>
      <c r="I10" s="979"/>
      <c r="J10" s="514"/>
      <c r="K10" s="514"/>
      <c r="L10" s="514"/>
      <c r="M10" s="514"/>
    </row>
    <row r="11" spans="1:13" ht="23.25" x14ac:dyDescent="0.2">
      <c r="B11" s="980" t="s">
        <v>150</v>
      </c>
      <c r="C11" s="980"/>
      <c r="D11" s="162"/>
      <c r="E11"/>
      <c r="F11" s="137"/>
      <c r="G11" s="137"/>
      <c r="H11" s="137"/>
    </row>
    <row r="12" spans="1:13" ht="18.75" thickBot="1" x14ac:dyDescent="0.25">
      <c r="C12" s="137"/>
      <c r="D12" s="137"/>
      <c r="E12" s="137"/>
      <c r="F12" s="137"/>
      <c r="G12" s="137"/>
      <c r="H12" s="137"/>
      <c r="I12" s="137"/>
      <c r="J12" s="137"/>
    </row>
    <row r="13" spans="1:13" ht="72" customHeight="1" x14ac:dyDescent="0.2">
      <c r="B13" s="739" t="s">
        <v>97</v>
      </c>
      <c r="C13" s="740" t="s">
        <v>127</v>
      </c>
      <c r="D13" s="741" t="s">
        <v>128</v>
      </c>
      <c r="E13"/>
      <c r="F13"/>
    </row>
    <row r="14" spans="1:13" x14ac:dyDescent="0.2">
      <c r="B14" s="735" t="s">
        <v>6</v>
      </c>
      <c r="C14" s="764" t="s">
        <v>126</v>
      </c>
      <c r="D14" s="765" t="s">
        <v>129</v>
      </c>
      <c r="F14" s="982" t="s">
        <v>172</v>
      </c>
      <c r="G14" s="982"/>
      <c r="I14" s="515" t="s">
        <v>36</v>
      </c>
    </row>
    <row r="15" spans="1:13" x14ac:dyDescent="0.2">
      <c r="B15" s="735" t="s">
        <v>98</v>
      </c>
      <c r="C15" s="764" t="s">
        <v>126</v>
      </c>
      <c r="D15" s="765" t="s">
        <v>129</v>
      </c>
      <c r="E15" s="734"/>
      <c r="F15" s="982"/>
      <c r="G15" s="982"/>
      <c r="I15" s="515" t="s">
        <v>36</v>
      </c>
    </row>
    <row r="16" spans="1:13" x14ac:dyDescent="0.2">
      <c r="B16" s="735" t="s">
        <v>105</v>
      </c>
      <c r="C16" s="764" t="s">
        <v>42</v>
      </c>
      <c r="D16" s="765" t="s">
        <v>42</v>
      </c>
      <c r="E16" s="734"/>
      <c r="F16" s="982"/>
      <c r="G16" s="982"/>
      <c r="I16" s="515" t="s">
        <v>36</v>
      </c>
    </row>
    <row r="17" spans="2:9" ht="13.5" thickBot="1" x14ac:dyDescent="0.25">
      <c r="B17" s="736"/>
      <c r="C17" s="766" t="s">
        <v>129</v>
      </c>
      <c r="D17" s="767" t="s">
        <v>129</v>
      </c>
      <c r="E17" s="734"/>
      <c r="F17" s="982"/>
      <c r="G17" s="982"/>
    </row>
    <row r="18" spans="2:9" ht="13.5" customHeight="1" x14ac:dyDescent="0.2">
      <c r="B18" s="737" t="s">
        <v>267</v>
      </c>
      <c r="C18" s="768" t="s">
        <v>126</v>
      </c>
      <c r="D18" s="769" t="s">
        <v>42</v>
      </c>
      <c r="E18"/>
      <c r="F18" s="983" t="s">
        <v>173</v>
      </c>
      <c r="G18" s="983"/>
      <c r="I18" s="515" t="s">
        <v>37</v>
      </c>
    </row>
    <row r="19" spans="2:9" x14ac:dyDescent="0.2">
      <c r="B19" s="738" t="s">
        <v>104</v>
      </c>
      <c r="C19" s="764" t="s">
        <v>42</v>
      </c>
      <c r="D19" s="765" t="s">
        <v>42</v>
      </c>
      <c r="E19"/>
      <c r="F19" s="983"/>
      <c r="G19" s="983"/>
      <c r="I19" s="515" t="s">
        <v>37</v>
      </c>
    </row>
    <row r="20" spans="2:9" ht="13.5" thickBot="1" x14ac:dyDescent="0.25">
      <c r="B20" s="742" t="s">
        <v>87</v>
      </c>
      <c r="C20" s="770" t="s">
        <v>42</v>
      </c>
      <c r="D20" s="771" t="s">
        <v>42</v>
      </c>
      <c r="E20"/>
      <c r="F20" s="983"/>
      <c r="G20" s="983"/>
      <c r="I20" s="515" t="s">
        <v>37</v>
      </c>
    </row>
    <row r="21" spans="2:9" ht="13.5" thickBot="1" x14ac:dyDescent="0.25">
      <c r="B21" s="743"/>
      <c r="C21" s="772" t="s">
        <v>129</v>
      </c>
      <c r="D21" s="773" t="s">
        <v>129</v>
      </c>
      <c r="E21"/>
      <c r="F21" s="508"/>
      <c r="G21" s="508"/>
      <c r="I21" s="515" t="s">
        <v>37</v>
      </c>
    </row>
    <row r="22" spans="2:9" hidden="1" x14ac:dyDescent="0.2">
      <c r="B22" s="505" t="s">
        <v>106</v>
      </c>
      <c r="C22" s="506" t="s">
        <v>129</v>
      </c>
      <c r="D22" s="507" t="s">
        <v>129</v>
      </c>
      <c r="E22"/>
      <c r="F22"/>
    </row>
    <row r="23" spans="2:9" ht="13.5" hidden="1" thickBot="1" x14ac:dyDescent="0.25">
      <c r="B23" s="292" t="s">
        <v>106</v>
      </c>
      <c r="C23" s="290" t="s">
        <v>129</v>
      </c>
      <c r="D23" s="291" t="s">
        <v>129</v>
      </c>
      <c r="E23"/>
      <c r="F23"/>
    </row>
    <row r="24" spans="2:9" x14ac:dyDescent="0.2">
      <c r="D24"/>
      <c r="E24"/>
      <c r="F24"/>
    </row>
    <row r="25" spans="2:9" x14ac:dyDescent="0.2">
      <c r="D25"/>
      <c r="E25"/>
      <c r="F25"/>
    </row>
    <row r="26" spans="2:9" x14ac:dyDescent="0.2">
      <c r="D26"/>
      <c r="E26"/>
      <c r="F26"/>
    </row>
    <row r="27" spans="2:9" x14ac:dyDescent="0.2">
      <c r="D27"/>
      <c r="E27"/>
      <c r="F27"/>
    </row>
    <row r="28" spans="2:9" x14ac:dyDescent="0.2">
      <c r="D28"/>
      <c r="E28"/>
      <c r="F28"/>
    </row>
    <row r="29" spans="2:9" x14ac:dyDescent="0.2">
      <c r="D29"/>
      <c r="E29"/>
      <c r="F29"/>
    </row>
    <row r="30" spans="2:9" x14ac:dyDescent="0.2">
      <c r="D30"/>
      <c r="E30"/>
      <c r="F30"/>
    </row>
    <row r="31" spans="2:9" x14ac:dyDescent="0.2">
      <c r="D31"/>
      <c r="E31"/>
      <c r="F31"/>
    </row>
    <row r="32" spans="2:9" x14ac:dyDescent="0.2">
      <c r="D32"/>
      <c r="E32"/>
      <c r="F32"/>
    </row>
    <row r="33" spans="3:7" x14ac:dyDescent="0.2">
      <c r="D33"/>
      <c r="E33"/>
      <c r="F33"/>
    </row>
    <row r="34" spans="3:7" x14ac:dyDescent="0.2">
      <c r="D34"/>
      <c r="E34"/>
      <c r="F34"/>
    </row>
    <row r="35" spans="3:7" x14ac:dyDescent="0.2">
      <c r="D35"/>
      <c r="E35"/>
      <c r="F35"/>
    </row>
    <row r="36" spans="3:7" x14ac:dyDescent="0.2">
      <c r="C36" s="136"/>
      <c r="F36"/>
    </row>
    <row r="37" spans="3:7" x14ac:dyDescent="0.2">
      <c r="G37" s="515" t="s">
        <v>30</v>
      </c>
    </row>
  </sheetData>
  <mergeCells count="4">
    <mergeCell ref="B11:C11"/>
    <mergeCell ref="F14:G17"/>
    <mergeCell ref="F18:G20"/>
    <mergeCell ref="B10:I10"/>
  </mergeCells>
  <dataValidations count="1">
    <dataValidation type="list" allowBlank="1" showInputMessage="1" showErrorMessage="1" sqref="C14:D23">
      <formula1>"Weather-Sensitive,Non-Weather Sensitive,n/a"</formula1>
    </dataValidation>
  </dataValidations>
  <pageMargins left="0.7" right="0.7" top="0.75" bottom="0.75" header="0.3" footer="0.3"/>
  <pageSetup scale="71" orientation="landscape"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AA174"/>
  <sheetViews>
    <sheetView showGridLines="0" zoomScaleNormal="100" workbookViewId="0">
      <selection activeCell="F83" sqref="F83"/>
    </sheetView>
  </sheetViews>
  <sheetFormatPr defaultRowHeight="12.75" x14ac:dyDescent="0.2"/>
  <cols>
    <col min="1" max="1" width="13.6640625" style="30" customWidth="1"/>
    <col min="2" max="2" width="18" style="30" customWidth="1"/>
    <col min="3" max="3" width="16.83203125" style="32" customWidth="1"/>
    <col min="4" max="4" width="14.1640625" style="32" customWidth="1"/>
    <col min="5" max="5" width="14.1640625" style="31" customWidth="1"/>
    <col min="6" max="6" width="14.1640625" style="32" customWidth="1"/>
    <col min="7" max="7" width="14.1640625" style="31" customWidth="1"/>
    <col min="8" max="8" width="14.1640625" style="32" customWidth="1"/>
    <col min="9" max="9" width="15.1640625" style="31" customWidth="1"/>
    <col min="10" max="10" width="14.1640625" style="31" customWidth="1"/>
    <col min="11" max="11" width="13.33203125" style="31" bestFit="1" customWidth="1"/>
    <col min="12" max="13" width="14.1640625" style="32" customWidth="1"/>
    <col min="14" max="14" width="14.1640625" style="31" customWidth="1"/>
    <col min="15" max="16" width="14.1640625" style="32" customWidth="1"/>
    <col min="17" max="17" width="14.1640625" style="31" customWidth="1"/>
    <col min="18" max="19" width="14.1640625" style="32" customWidth="1"/>
    <col min="20" max="20" width="14.1640625" style="31" customWidth="1"/>
    <col min="21" max="21" width="13.5" style="32" customWidth="1"/>
    <col min="22" max="22" width="13.5" style="537" customWidth="1"/>
    <col min="23" max="23" width="13.5" style="31" customWidth="1"/>
    <col min="24" max="27" width="13.5" style="30" customWidth="1"/>
    <col min="28" max="16384" width="9.33203125" style="30"/>
  </cols>
  <sheetData>
    <row r="1" spans="1:23" s="536" customFormat="1" x14ac:dyDescent="0.2">
      <c r="A1" s="758" t="s">
        <v>272</v>
      </c>
    </row>
    <row r="2" spans="1:23" s="536" customFormat="1" x14ac:dyDescent="0.2"/>
    <row r="3" spans="1:23" s="536" customFormat="1" x14ac:dyDescent="0.2"/>
    <row r="4" spans="1:23" s="536" customFormat="1" x14ac:dyDescent="0.2"/>
    <row r="5" spans="1:23" s="536" customFormat="1" x14ac:dyDescent="0.2"/>
    <row r="6" spans="1:23" s="536" customFormat="1" x14ac:dyDescent="0.2"/>
    <row r="7" spans="1:23" s="536" customFormat="1" x14ac:dyDescent="0.2"/>
    <row r="8" spans="1:23" s="536" customFormat="1" x14ac:dyDescent="0.2"/>
    <row r="9" spans="1:23" s="536" customFormat="1" x14ac:dyDescent="0.2"/>
    <row r="10" spans="1:23" customFormat="1" ht="12.75" customHeight="1" x14ac:dyDescent="0.2">
      <c r="B10" s="979"/>
      <c r="C10" s="979"/>
      <c r="D10" s="979"/>
      <c r="E10" s="979"/>
      <c r="F10" s="979"/>
      <c r="G10" s="979"/>
      <c r="H10" s="979"/>
      <c r="I10" s="979"/>
      <c r="J10" s="514"/>
      <c r="K10" s="514"/>
      <c r="L10" s="514"/>
      <c r="M10" s="514"/>
    </row>
    <row r="11" spans="1:23" s="1" customFormat="1" ht="23.25" x14ac:dyDescent="0.2">
      <c r="A11"/>
      <c r="B11" s="133" t="s">
        <v>101</v>
      </c>
      <c r="D11" s="58"/>
      <c r="E11" s="58"/>
      <c r="F11" s="58"/>
      <c r="G11" s="58"/>
      <c r="L11" s="58"/>
      <c r="N11" s="58"/>
      <c r="O11" s="58"/>
      <c r="Q11" s="58"/>
      <c r="V11" s="536"/>
    </row>
    <row r="12" spans="1:23" ht="15" x14ac:dyDescent="0.2">
      <c r="B12" s="63" t="s">
        <v>64</v>
      </c>
      <c r="C12" s="30"/>
      <c r="D12" s="99"/>
      <c r="E12" s="99"/>
      <c r="F12" s="99"/>
      <c r="G12" s="99"/>
      <c r="H12"/>
      <c r="L12" s="99"/>
      <c r="M12" s="99"/>
      <c r="N12" s="99"/>
      <c r="O12" s="99"/>
      <c r="P12" s="99"/>
      <c r="Q12" s="99"/>
      <c r="R12" s="99"/>
      <c r="T12" s="537"/>
      <c r="U12" s="31"/>
      <c r="V12" s="30"/>
      <c r="W12" s="30"/>
    </row>
    <row r="13" spans="1:23" ht="14.25" x14ac:dyDescent="0.2">
      <c r="B13" s="100" t="s">
        <v>68</v>
      </c>
      <c r="C13" s="30"/>
      <c r="D13" s="100"/>
      <c r="E13" s="100"/>
      <c r="F13" s="100"/>
      <c r="G13" s="99"/>
      <c r="L13" s="99"/>
      <c r="M13" s="99"/>
      <c r="N13" s="99"/>
      <c r="O13" s="99"/>
      <c r="P13" s="99"/>
      <c r="Q13" s="99"/>
      <c r="R13" s="99"/>
      <c r="T13" s="537"/>
      <c r="U13" s="31"/>
      <c r="V13" s="30"/>
      <c r="W13" s="30"/>
    </row>
    <row r="14" spans="1:23" ht="14.25" x14ac:dyDescent="0.2">
      <c r="B14" s="100" t="s">
        <v>67</v>
      </c>
      <c r="C14" s="30"/>
      <c r="D14" s="100"/>
      <c r="E14" s="100"/>
      <c r="F14" s="100"/>
      <c r="G14" s="99"/>
      <c r="L14" s="99"/>
      <c r="M14" s="99"/>
      <c r="N14" s="99"/>
      <c r="O14" s="99"/>
      <c r="P14" s="99"/>
      <c r="Q14" s="99"/>
      <c r="R14" s="99"/>
      <c r="S14" s="99"/>
      <c r="T14" s="99"/>
    </row>
    <row r="15" spans="1:23" ht="14.25" x14ac:dyDescent="0.2">
      <c r="B15" s="100" t="s">
        <v>69</v>
      </c>
      <c r="C15" s="30"/>
      <c r="D15" s="100"/>
      <c r="E15" s="100"/>
      <c r="F15" s="100"/>
      <c r="G15" s="99"/>
      <c r="L15" s="99"/>
      <c r="M15" s="99"/>
      <c r="N15" s="99"/>
      <c r="O15" s="99"/>
      <c r="P15" s="99"/>
      <c r="Q15" s="99"/>
      <c r="R15" s="99"/>
      <c r="S15" s="99"/>
      <c r="T15" s="99"/>
    </row>
    <row r="16" spans="1:23" ht="14.25" x14ac:dyDescent="0.2">
      <c r="B16" s="100" t="s">
        <v>66</v>
      </c>
      <c r="C16" s="30"/>
      <c r="D16" s="100"/>
      <c r="E16" s="100"/>
      <c r="F16" s="100"/>
      <c r="G16" s="99"/>
      <c r="L16" s="99"/>
      <c r="M16" s="99"/>
      <c r="N16" s="99"/>
      <c r="O16" s="99"/>
      <c r="P16" s="99"/>
      <c r="Q16" s="99"/>
      <c r="R16" s="99"/>
      <c r="S16" s="99"/>
      <c r="T16" s="99"/>
    </row>
    <row r="17" spans="2:27" ht="14.25" x14ac:dyDescent="0.2">
      <c r="C17" s="100"/>
      <c r="D17" s="100"/>
      <c r="E17" s="100"/>
      <c r="F17" s="100"/>
      <c r="G17" s="99"/>
      <c r="L17" s="99"/>
      <c r="M17" s="99"/>
      <c r="N17" s="99"/>
      <c r="O17" s="99"/>
      <c r="P17" s="99"/>
      <c r="Q17" s="99"/>
      <c r="R17" s="99"/>
      <c r="S17" s="99"/>
      <c r="T17" s="99"/>
    </row>
    <row r="18" spans="2:27" ht="15" x14ac:dyDescent="0.25">
      <c r="B18" s="101" t="s">
        <v>65</v>
      </c>
      <c r="C18" s="30"/>
      <c r="D18" s="101"/>
      <c r="E18" s="100"/>
      <c r="F18" s="100"/>
      <c r="G18" s="99"/>
      <c r="L18" s="99"/>
      <c r="M18" s="99"/>
      <c r="N18" s="99"/>
      <c r="O18" s="99"/>
      <c r="P18" s="99"/>
      <c r="Q18" s="99"/>
      <c r="R18" s="99"/>
      <c r="S18" s="99"/>
      <c r="T18" s="99"/>
    </row>
    <row r="19" spans="2:27" ht="13.5" thickBot="1" x14ac:dyDescent="0.25"/>
    <row r="20" spans="2:27" ht="12.75" customHeight="1" x14ac:dyDescent="0.2">
      <c r="B20" s="33"/>
      <c r="C20" s="33"/>
      <c r="D20" s="994" t="str">
        <f>'2. Customer Classes'!B14</f>
        <v>Residential</v>
      </c>
      <c r="E20" s="995"/>
      <c r="F20" s="994" t="str">
        <f>'2. Customer Classes'!B15</f>
        <v>General Service &lt; 50 kW</v>
      </c>
      <c r="G20" s="995"/>
      <c r="H20" s="997" t="str">
        <f>+'2. Customer Classes'!B16</f>
        <v>Unmetered Scattered Load</v>
      </c>
      <c r="I20" s="998"/>
      <c r="J20" s="986">
        <f>+'2. Customer Classes'!B17</f>
        <v>0</v>
      </c>
      <c r="K20" s="987"/>
      <c r="L20" s="994" t="str">
        <f>'2. Customer Classes'!B18</f>
        <v>General Service &gt; 50 kW - 4999 kW</v>
      </c>
      <c r="M20" s="996"/>
      <c r="N20" s="995"/>
      <c r="O20" s="988" t="str">
        <f>'2. Customer Classes'!B19</f>
        <v>Streetlighting</v>
      </c>
      <c r="P20" s="989"/>
      <c r="Q20" s="990"/>
      <c r="R20" s="988" t="str">
        <f>'2. Customer Classes'!B20</f>
        <v>Sentinel Lighting</v>
      </c>
      <c r="S20" s="989"/>
      <c r="T20" s="990"/>
      <c r="U20" s="991">
        <f>'2. Customer Classes'!B21</f>
        <v>0</v>
      </c>
      <c r="V20" s="992"/>
      <c r="W20" s="987"/>
      <c r="X20" s="991" t="str">
        <f>'2. Customer Classes'!B22</f>
        <v>other</v>
      </c>
      <c r="Y20" s="987"/>
      <c r="Z20" s="991" t="str">
        <f>'2. Customer Classes'!B23</f>
        <v>other</v>
      </c>
      <c r="AA20" s="987"/>
    </row>
    <row r="21" spans="2:27" ht="12.75" customHeight="1" x14ac:dyDescent="0.2">
      <c r="B21" s="165"/>
      <c r="C21" s="165"/>
      <c r="D21" s="984" t="s">
        <v>121</v>
      </c>
      <c r="E21" s="985"/>
      <c r="F21" s="984" t="s">
        <v>121</v>
      </c>
      <c r="G21" s="985"/>
      <c r="H21" s="984" t="s">
        <v>121</v>
      </c>
      <c r="I21" s="985"/>
      <c r="J21" s="984" t="s">
        <v>121</v>
      </c>
      <c r="K21" s="985"/>
      <c r="L21" s="984" t="s">
        <v>121</v>
      </c>
      <c r="M21" s="993"/>
      <c r="N21" s="985"/>
      <c r="O21" s="984" t="s">
        <v>121</v>
      </c>
      <c r="P21" s="993"/>
      <c r="Q21" s="985"/>
      <c r="R21" s="984" t="s">
        <v>121</v>
      </c>
      <c r="S21" s="993"/>
      <c r="T21" s="985"/>
      <c r="U21" s="984" t="s">
        <v>121</v>
      </c>
      <c r="V21" s="993"/>
      <c r="W21" s="985"/>
      <c r="X21" s="984" t="s">
        <v>121</v>
      </c>
      <c r="Y21" s="985"/>
      <c r="Z21" s="984" t="s">
        <v>121</v>
      </c>
      <c r="AA21" s="985"/>
    </row>
    <row r="22" spans="2:27" x14ac:dyDescent="0.2">
      <c r="B22" s="34"/>
      <c r="C22" s="34"/>
      <c r="D22" s="35"/>
      <c r="E22" s="36" t="s">
        <v>35</v>
      </c>
      <c r="F22" s="35"/>
      <c r="G22" s="36" t="s">
        <v>35</v>
      </c>
      <c r="H22" s="35"/>
      <c r="I22" s="36" t="s">
        <v>35</v>
      </c>
      <c r="J22" s="35"/>
      <c r="K22" s="36" t="s">
        <v>35</v>
      </c>
      <c r="L22" s="35"/>
      <c r="M22" s="19"/>
      <c r="N22" s="36" t="s">
        <v>35</v>
      </c>
      <c r="O22" s="35"/>
      <c r="P22" s="19"/>
      <c r="Q22" s="36" t="s">
        <v>35</v>
      </c>
      <c r="R22" s="35"/>
      <c r="S22" s="19"/>
      <c r="T22" s="36" t="s">
        <v>35</v>
      </c>
      <c r="U22" s="35"/>
      <c r="V22" s="518"/>
      <c r="W22" s="36" t="s">
        <v>35</v>
      </c>
      <c r="X22" s="35"/>
      <c r="Y22" s="36" t="s">
        <v>35</v>
      </c>
      <c r="Z22" s="35"/>
      <c r="AA22" s="36" t="s">
        <v>35</v>
      </c>
    </row>
    <row r="23" spans="2:27" ht="13.5" thickBot="1" x14ac:dyDescent="0.25">
      <c r="B23" s="37"/>
      <c r="C23" s="37"/>
      <c r="D23" s="38" t="s">
        <v>36</v>
      </c>
      <c r="E23" s="39" t="s">
        <v>0</v>
      </c>
      <c r="F23" s="38" t="s">
        <v>36</v>
      </c>
      <c r="G23" s="39" t="s">
        <v>0</v>
      </c>
      <c r="H23" s="40" t="s">
        <v>36</v>
      </c>
      <c r="I23" s="41" t="s">
        <v>0</v>
      </c>
      <c r="J23" s="40" t="s">
        <v>36</v>
      </c>
      <c r="K23" s="41" t="s">
        <v>0</v>
      </c>
      <c r="L23" s="38" t="s">
        <v>36</v>
      </c>
      <c r="M23" s="23" t="s">
        <v>37</v>
      </c>
      <c r="N23" s="39" t="s">
        <v>0</v>
      </c>
      <c r="O23" s="38" t="s">
        <v>36</v>
      </c>
      <c r="P23" s="23" t="s">
        <v>37</v>
      </c>
      <c r="Q23" s="39" t="s">
        <v>0</v>
      </c>
      <c r="R23" s="38" t="s">
        <v>36</v>
      </c>
      <c r="S23" s="23" t="s">
        <v>37</v>
      </c>
      <c r="T23" s="39" t="s">
        <v>0</v>
      </c>
      <c r="U23" s="40" t="s">
        <v>36</v>
      </c>
      <c r="V23" s="538" t="s">
        <v>37</v>
      </c>
      <c r="W23" s="41" t="s">
        <v>0</v>
      </c>
      <c r="X23" s="40" t="s">
        <v>36</v>
      </c>
      <c r="Y23" s="41" t="s">
        <v>0</v>
      </c>
      <c r="Z23" s="40" t="s">
        <v>36</v>
      </c>
      <c r="AA23" s="41" t="s">
        <v>0</v>
      </c>
    </row>
    <row r="24" spans="2:27" ht="15.75" customHeight="1" thickBot="1" x14ac:dyDescent="0.25">
      <c r="B24" s="33" t="s">
        <v>33</v>
      </c>
      <c r="C24" s="33" t="s">
        <v>107</v>
      </c>
      <c r="D24" s="286"/>
      <c r="E24" s="287"/>
      <c r="F24" s="286"/>
      <c r="G24" s="287"/>
      <c r="H24" s="288"/>
      <c r="I24" s="287"/>
      <c r="J24" s="288"/>
      <c r="K24" s="287"/>
      <c r="L24" s="286"/>
      <c r="M24" s="289"/>
      <c r="N24" s="287"/>
      <c r="O24" s="286"/>
      <c r="P24" s="289"/>
      <c r="Q24" s="287"/>
      <c r="R24" s="286"/>
      <c r="S24" s="289"/>
      <c r="T24" s="287"/>
      <c r="U24" s="43"/>
      <c r="V24" s="539"/>
      <c r="W24" s="42"/>
      <c r="X24" s="43"/>
      <c r="Y24" s="42"/>
      <c r="Z24" s="43"/>
      <c r="AA24" s="42"/>
    </row>
    <row r="25" spans="2:27" x14ac:dyDescent="0.2">
      <c r="B25" s="166">
        <f>'1. LDC Info'!$F$27-11</f>
        <v>2005</v>
      </c>
      <c r="C25" s="44" t="s">
        <v>112</v>
      </c>
      <c r="D25" s="523"/>
      <c r="E25" s="541"/>
      <c r="F25" s="523"/>
      <c r="G25" s="541"/>
      <c r="H25" s="543"/>
      <c r="I25" s="541"/>
      <c r="J25" s="543"/>
      <c r="K25" s="541"/>
      <c r="L25" s="523"/>
      <c r="M25" s="542"/>
      <c r="N25" s="541"/>
      <c r="O25" s="523"/>
      <c r="P25" s="542"/>
      <c r="Q25" s="541"/>
      <c r="R25" s="543"/>
      <c r="S25" s="542"/>
      <c r="T25" s="541"/>
      <c r="U25" s="543"/>
      <c r="V25" s="542"/>
      <c r="W25" s="541"/>
      <c r="X25" s="224"/>
      <c r="Y25" s="222"/>
      <c r="Z25" s="224"/>
      <c r="AA25" s="46"/>
    </row>
    <row r="26" spans="2:27" x14ac:dyDescent="0.2">
      <c r="B26" s="166">
        <f>'1. LDC Info'!$F$27-11</f>
        <v>2005</v>
      </c>
      <c r="C26" s="44" t="s">
        <v>113</v>
      </c>
      <c r="D26" s="523"/>
      <c r="E26" s="541"/>
      <c r="F26" s="523"/>
      <c r="G26" s="541"/>
      <c r="H26" s="543"/>
      <c r="I26" s="541"/>
      <c r="J26" s="543"/>
      <c r="K26" s="541"/>
      <c r="L26" s="523"/>
      <c r="M26" s="542"/>
      <c r="N26" s="541"/>
      <c r="O26" s="523"/>
      <c r="P26" s="542"/>
      <c r="Q26" s="541"/>
      <c r="R26" s="543"/>
      <c r="S26" s="542"/>
      <c r="T26" s="541"/>
      <c r="U26" s="543"/>
      <c r="V26" s="542"/>
      <c r="W26" s="541"/>
      <c r="X26" s="224"/>
      <c r="Y26" s="222"/>
      <c r="Z26" s="224"/>
      <c r="AA26" s="46"/>
    </row>
    <row r="27" spans="2:27" x14ac:dyDescent="0.2">
      <c r="B27" s="166">
        <f>'1. LDC Info'!$F$27-11</f>
        <v>2005</v>
      </c>
      <c r="C27" s="44" t="s">
        <v>114</v>
      </c>
      <c r="D27" s="523"/>
      <c r="E27" s="541"/>
      <c r="F27" s="523"/>
      <c r="G27" s="541"/>
      <c r="H27" s="543"/>
      <c r="I27" s="541"/>
      <c r="J27" s="543"/>
      <c r="K27" s="541"/>
      <c r="L27" s="523"/>
      <c r="M27" s="542"/>
      <c r="N27" s="541"/>
      <c r="O27" s="523"/>
      <c r="P27" s="542"/>
      <c r="Q27" s="541"/>
      <c r="R27" s="543"/>
      <c r="S27" s="542"/>
      <c r="T27" s="541"/>
      <c r="U27" s="543"/>
      <c r="V27" s="542"/>
      <c r="W27" s="541"/>
      <c r="X27" s="224"/>
      <c r="Y27" s="222"/>
      <c r="Z27" s="224"/>
      <c r="AA27" s="46"/>
    </row>
    <row r="28" spans="2:27" x14ac:dyDescent="0.2">
      <c r="B28" s="166">
        <f>'1. LDC Info'!$F$27-11</f>
        <v>2005</v>
      </c>
      <c r="C28" s="44" t="s">
        <v>115</v>
      </c>
      <c r="D28" s="523"/>
      <c r="E28" s="541"/>
      <c r="F28" s="523"/>
      <c r="G28" s="541"/>
      <c r="H28" s="543"/>
      <c r="I28" s="541"/>
      <c r="J28" s="543"/>
      <c r="K28" s="541"/>
      <c r="L28" s="523"/>
      <c r="M28" s="542"/>
      <c r="N28" s="541"/>
      <c r="O28" s="523"/>
      <c r="P28" s="542"/>
      <c r="Q28" s="541"/>
      <c r="R28" s="543"/>
      <c r="S28" s="542"/>
      <c r="T28" s="541"/>
      <c r="U28" s="543"/>
      <c r="V28" s="542"/>
      <c r="W28" s="541"/>
      <c r="X28" s="224"/>
      <c r="Y28" s="222"/>
      <c r="Z28" s="224"/>
      <c r="AA28" s="46"/>
    </row>
    <row r="29" spans="2:27" x14ac:dyDescent="0.2">
      <c r="B29" s="166">
        <f>'1. LDC Info'!$F$27-11</f>
        <v>2005</v>
      </c>
      <c r="C29" s="44" t="s">
        <v>116</v>
      </c>
      <c r="D29" s="523"/>
      <c r="E29" s="541"/>
      <c r="F29" s="523"/>
      <c r="G29" s="541"/>
      <c r="H29" s="543"/>
      <c r="I29" s="541"/>
      <c r="J29" s="543"/>
      <c r="K29" s="541"/>
      <c r="L29" s="523"/>
      <c r="M29" s="542"/>
      <c r="N29" s="541"/>
      <c r="O29" s="523"/>
      <c r="P29" s="542"/>
      <c r="Q29" s="541"/>
      <c r="R29" s="543"/>
      <c r="S29" s="542"/>
      <c r="T29" s="541"/>
      <c r="U29" s="543"/>
      <c r="V29" s="542"/>
      <c r="W29" s="541"/>
      <c r="X29" s="224"/>
      <c r="Y29" s="222"/>
      <c r="Z29" s="224"/>
      <c r="AA29" s="46"/>
    </row>
    <row r="30" spans="2:27" x14ac:dyDescent="0.2">
      <c r="B30" s="166">
        <f>'1. LDC Info'!$F$27-11</f>
        <v>2005</v>
      </c>
      <c r="C30" s="44" t="s">
        <v>117</v>
      </c>
      <c r="D30" s="523"/>
      <c r="E30" s="541"/>
      <c r="F30" s="523"/>
      <c r="G30" s="541"/>
      <c r="H30" s="543"/>
      <c r="I30" s="541"/>
      <c r="J30" s="543"/>
      <c r="K30" s="541"/>
      <c r="L30" s="523"/>
      <c r="M30" s="542"/>
      <c r="N30" s="541"/>
      <c r="O30" s="523"/>
      <c r="P30" s="542"/>
      <c r="Q30" s="541"/>
      <c r="R30" s="543"/>
      <c r="S30" s="542"/>
      <c r="T30" s="541"/>
      <c r="U30" s="543"/>
      <c r="V30" s="542"/>
      <c r="W30" s="541"/>
      <c r="X30" s="224"/>
      <c r="Y30" s="222"/>
      <c r="Z30" s="224"/>
      <c r="AA30" s="46"/>
    </row>
    <row r="31" spans="2:27" x14ac:dyDescent="0.2">
      <c r="B31" s="166">
        <f>'1. LDC Info'!$F$27-11</f>
        <v>2005</v>
      </c>
      <c r="C31" s="44" t="s">
        <v>118</v>
      </c>
      <c r="D31" s="523"/>
      <c r="E31" s="541"/>
      <c r="F31" s="523"/>
      <c r="G31" s="541"/>
      <c r="H31" s="543"/>
      <c r="I31" s="541"/>
      <c r="J31" s="543"/>
      <c r="K31" s="541"/>
      <c r="L31" s="523"/>
      <c r="M31" s="542"/>
      <c r="N31" s="541"/>
      <c r="O31" s="523"/>
      <c r="P31" s="542"/>
      <c r="Q31" s="541"/>
      <c r="R31" s="543"/>
      <c r="S31" s="542"/>
      <c r="T31" s="541"/>
      <c r="U31" s="543"/>
      <c r="V31" s="542"/>
      <c r="W31" s="541"/>
      <c r="X31" s="224"/>
      <c r="Y31" s="222"/>
      <c r="Z31" s="224"/>
      <c r="AA31" s="46"/>
    </row>
    <row r="32" spans="2:27" x14ac:dyDescent="0.2">
      <c r="B32" s="166">
        <f>'1. LDC Info'!$F$27-11</f>
        <v>2005</v>
      </c>
      <c r="C32" s="44" t="s">
        <v>119</v>
      </c>
      <c r="D32" s="523"/>
      <c r="E32" s="541"/>
      <c r="F32" s="523"/>
      <c r="G32" s="541"/>
      <c r="H32" s="543"/>
      <c r="I32" s="541"/>
      <c r="J32" s="543"/>
      <c r="K32" s="541"/>
      <c r="L32" s="523"/>
      <c r="M32" s="542"/>
      <c r="N32" s="541"/>
      <c r="O32" s="523"/>
      <c r="P32" s="542"/>
      <c r="Q32" s="541"/>
      <c r="R32" s="543"/>
      <c r="S32" s="542"/>
      <c r="T32" s="541"/>
      <c r="U32" s="543"/>
      <c r="V32" s="542"/>
      <c r="W32" s="541"/>
      <c r="X32" s="224"/>
      <c r="Y32" s="222"/>
      <c r="Z32" s="224"/>
      <c r="AA32" s="46"/>
    </row>
    <row r="33" spans="2:27" x14ac:dyDescent="0.2">
      <c r="B33" s="166">
        <f>'1. LDC Info'!$F$27-11</f>
        <v>2005</v>
      </c>
      <c r="C33" s="44" t="s">
        <v>109</v>
      </c>
      <c r="D33" s="523"/>
      <c r="E33" s="541"/>
      <c r="F33" s="523"/>
      <c r="G33" s="541"/>
      <c r="H33" s="543"/>
      <c r="I33" s="541"/>
      <c r="J33" s="543"/>
      <c r="K33" s="541"/>
      <c r="L33" s="523"/>
      <c r="M33" s="542"/>
      <c r="N33" s="541"/>
      <c r="O33" s="523"/>
      <c r="P33" s="542"/>
      <c r="Q33" s="541"/>
      <c r="R33" s="543"/>
      <c r="S33" s="542"/>
      <c r="T33" s="541"/>
      <c r="U33" s="543"/>
      <c r="V33" s="542"/>
      <c r="W33" s="541"/>
      <c r="X33" s="224"/>
      <c r="Y33" s="222"/>
      <c r="Z33" s="224"/>
      <c r="AA33" s="46"/>
    </row>
    <row r="34" spans="2:27" x14ac:dyDescent="0.2">
      <c r="B34" s="166">
        <f>'1. LDC Info'!$F$27-11</f>
        <v>2005</v>
      </c>
      <c r="C34" s="44" t="s">
        <v>110</v>
      </c>
      <c r="D34" s="523"/>
      <c r="E34" s="541"/>
      <c r="F34" s="523"/>
      <c r="G34" s="541"/>
      <c r="H34" s="543"/>
      <c r="I34" s="541"/>
      <c r="J34" s="543"/>
      <c r="K34" s="541"/>
      <c r="L34" s="523"/>
      <c r="M34" s="542"/>
      <c r="N34" s="541"/>
      <c r="O34" s="523"/>
      <c r="P34" s="542"/>
      <c r="Q34" s="541"/>
      <c r="R34" s="543"/>
      <c r="S34" s="542"/>
      <c r="T34" s="541"/>
      <c r="U34" s="543"/>
      <c r="V34" s="542"/>
      <c r="W34" s="541"/>
      <c r="X34" s="224"/>
      <c r="Y34" s="222"/>
      <c r="Z34" s="224"/>
      <c r="AA34" s="46"/>
    </row>
    <row r="35" spans="2:27" x14ac:dyDescent="0.2">
      <c r="B35" s="166">
        <f>'1. LDC Info'!$F$27-11</f>
        <v>2005</v>
      </c>
      <c r="C35" s="44" t="s">
        <v>111</v>
      </c>
      <c r="D35" s="523"/>
      <c r="E35" s="541"/>
      <c r="F35" s="523"/>
      <c r="G35" s="541"/>
      <c r="H35" s="543"/>
      <c r="I35" s="541"/>
      <c r="J35" s="543"/>
      <c r="K35" s="541"/>
      <c r="L35" s="523"/>
      <c r="M35" s="542"/>
      <c r="N35" s="541"/>
      <c r="O35" s="523"/>
      <c r="P35" s="542"/>
      <c r="Q35" s="541"/>
      <c r="R35" s="543"/>
      <c r="S35" s="542"/>
      <c r="T35" s="541"/>
      <c r="U35" s="543"/>
      <c r="V35" s="542"/>
      <c r="W35" s="541"/>
      <c r="X35" s="224"/>
      <c r="Y35" s="222"/>
      <c r="Z35" s="224"/>
      <c r="AA35" s="46"/>
    </row>
    <row r="36" spans="2:27" x14ac:dyDescent="0.2">
      <c r="B36" s="166">
        <f>'1. LDC Info'!$F$27-11</f>
        <v>2005</v>
      </c>
      <c r="C36" s="44" t="s">
        <v>108</v>
      </c>
      <c r="D36" s="523">
        <v>76867401</v>
      </c>
      <c r="E36" s="541">
        <v>8625</v>
      </c>
      <c r="F36" s="523">
        <v>43814909</v>
      </c>
      <c r="G36" s="541">
        <v>1496</v>
      </c>
      <c r="H36" s="543">
        <v>593390</v>
      </c>
      <c r="I36" s="541">
        <v>17</v>
      </c>
      <c r="J36" s="543"/>
      <c r="K36" s="541"/>
      <c r="L36" s="523">
        <v>74429057</v>
      </c>
      <c r="M36" s="542">
        <v>212943</v>
      </c>
      <c r="N36" s="541">
        <v>134</v>
      </c>
      <c r="O36" s="523">
        <v>2426613</v>
      </c>
      <c r="P36" s="542">
        <v>6774</v>
      </c>
      <c r="Q36" s="541">
        <v>2604</v>
      </c>
      <c r="R36" s="543">
        <v>284178</v>
      </c>
      <c r="S36" s="542">
        <v>783</v>
      </c>
      <c r="T36" s="541">
        <v>250</v>
      </c>
      <c r="U36" s="543"/>
      <c r="V36" s="542"/>
      <c r="W36" s="541"/>
      <c r="X36" s="224"/>
      <c r="Y36" s="222"/>
      <c r="Z36" s="224"/>
      <c r="AA36" s="46"/>
    </row>
    <row r="37" spans="2:27" x14ac:dyDescent="0.2">
      <c r="B37" s="166">
        <f>'1. LDC Info'!$F$27-10</f>
        <v>2006</v>
      </c>
      <c r="C37" s="44" t="s">
        <v>112</v>
      </c>
      <c r="D37" s="523"/>
      <c r="E37" s="541"/>
      <c r="F37" s="523"/>
      <c r="G37" s="541"/>
      <c r="H37" s="544"/>
      <c r="I37" s="541"/>
      <c r="J37" s="544"/>
      <c r="K37" s="541"/>
      <c r="L37" s="523"/>
      <c r="M37" s="542"/>
      <c r="N37" s="541"/>
      <c r="O37" s="523"/>
      <c r="P37" s="542"/>
      <c r="Q37" s="541"/>
      <c r="R37" s="543"/>
      <c r="S37" s="542"/>
      <c r="T37" s="541"/>
      <c r="U37" s="544"/>
      <c r="V37" s="542"/>
      <c r="W37" s="541"/>
      <c r="X37" s="224"/>
      <c r="Y37" s="222"/>
      <c r="Z37" s="224"/>
      <c r="AA37" s="46"/>
    </row>
    <row r="38" spans="2:27" x14ac:dyDescent="0.2">
      <c r="B38" s="166">
        <f>'1. LDC Info'!$F$27-10</f>
        <v>2006</v>
      </c>
      <c r="C38" s="44" t="s">
        <v>113</v>
      </c>
      <c r="D38" s="523"/>
      <c r="E38" s="541"/>
      <c r="F38" s="523"/>
      <c r="G38" s="541"/>
      <c r="H38" s="544"/>
      <c r="I38" s="541"/>
      <c r="J38" s="544"/>
      <c r="K38" s="541"/>
      <c r="L38" s="523"/>
      <c r="M38" s="542"/>
      <c r="N38" s="541"/>
      <c r="O38" s="523"/>
      <c r="P38" s="542"/>
      <c r="Q38" s="541"/>
      <c r="R38" s="543"/>
      <c r="S38" s="542"/>
      <c r="T38" s="541"/>
      <c r="U38" s="544"/>
      <c r="V38" s="542"/>
      <c r="W38" s="541"/>
      <c r="X38" s="224"/>
      <c r="Y38" s="222"/>
      <c r="Z38" s="224"/>
      <c r="AA38" s="46"/>
    </row>
    <row r="39" spans="2:27" x14ac:dyDescent="0.2">
      <c r="B39" s="166">
        <f>'1. LDC Info'!$F$27-10</f>
        <v>2006</v>
      </c>
      <c r="C39" s="44" t="s">
        <v>114</v>
      </c>
      <c r="D39" s="523"/>
      <c r="E39" s="541"/>
      <c r="F39" s="523"/>
      <c r="G39" s="541"/>
      <c r="H39" s="544"/>
      <c r="I39" s="541"/>
      <c r="J39" s="544"/>
      <c r="K39" s="541"/>
      <c r="L39" s="523"/>
      <c r="M39" s="542"/>
      <c r="N39" s="541"/>
      <c r="O39" s="523"/>
      <c r="P39" s="542"/>
      <c r="Q39" s="541"/>
      <c r="R39" s="543"/>
      <c r="S39" s="542"/>
      <c r="T39" s="541"/>
      <c r="U39" s="544"/>
      <c r="V39" s="542"/>
      <c r="W39" s="541"/>
      <c r="X39" s="224"/>
      <c r="Y39" s="222"/>
      <c r="Z39" s="224"/>
      <c r="AA39" s="46"/>
    </row>
    <row r="40" spans="2:27" x14ac:dyDescent="0.2">
      <c r="B40" s="166">
        <f>'1. LDC Info'!$F$27-10</f>
        <v>2006</v>
      </c>
      <c r="C40" s="44" t="s">
        <v>115</v>
      </c>
      <c r="D40" s="523"/>
      <c r="E40" s="541"/>
      <c r="F40" s="523"/>
      <c r="G40" s="541"/>
      <c r="H40" s="544"/>
      <c r="I40" s="541"/>
      <c r="J40" s="544"/>
      <c r="K40" s="541"/>
      <c r="L40" s="523"/>
      <c r="M40" s="542"/>
      <c r="N40" s="541"/>
      <c r="O40" s="523"/>
      <c r="P40" s="542"/>
      <c r="Q40" s="541"/>
      <c r="R40" s="543"/>
      <c r="S40" s="542"/>
      <c r="T40" s="541"/>
      <c r="U40" s="544"/>
      <c r="V40" s="542"/>
      <c r="W40" s="541"/>
      <c r="X40" s="224"/>
      <c r="Y40" s="222"/>
      <c r="Z40" s="224"/>
      <c r="AA40" s="46"/>
    </row>
    <row r="41" spans="2:27" x14ac:dyDescent="0.2">
      <c r="B41" s="166">
        <f>'1. LDC Info'!$F$27-10</f>
        <v>2006</v>
      </c>
      <c r="C41" s="44" t="s">
        <v>116</v>
      </c>
      <c r="D41" s="523"/>
      <c r="E41" s="541"/>
      <c r="F41" s="523"/>
      <c r="G41" s="541"/>
      <c r="H41" s="544"/>
      <c r="I41" s="541"/>
      <c r="J41" s="544"/>
      <c r="K41" s="541"/>
      <c r="L41" s="523"/>
      <c r="M41" s="542"/>
      <c r="N41" s="541"/>
      <c r="O41" s="523"/>
      <c r="P41" s="542"/>
      <c r="Q41" s="541"/>
      <c r="R41" s="543"/>
      <c r="S41" s="542"/>
      <c r="T41" s="541"/>
      <c r="U41" s="544"/>
      <c r="V41" s="542"/>
      <c r="W41" s="541"/>
      <c r="X41" s="224"/>
      <c r="Y41" s="222"/>
      <c r="Z41" s="224"/>
      <c r="AA41" s="46"/>
    </row>
    <row r="42" spans="2:27" x14ac:dyDescent="0.2">
      <c r="B42" s="166">
        <f>'1. LDC Info'!$F$27-10</f>
        <v>2006</v>
      </c>
      <c r="C42" s="44" t="s">
        <v>117</v>
      </c>
      <c r="D42" s="523"/>
      <c r="E42" s="541"/>
      <c r="F42" s="523"/>
      <c r="G42" s="541"/>
      <c r="H42" s="544"/>
      <c r="I42" s="541"/>
      <c r="J42" s="544"/>
      <c r="K42" s="541"/>
      <c r="L42" s="523"/>
      <c r="M42" s="542"/>
      <c r="N42" s="541"/>
      <c r="O42" s="523"/>
      <c r="P42" s="542"/>
      <c r="Q42" s="541"/>
      <c r="R42" s="543"/>
      <c r="S42" s="542"/>
      <c r="T42" s="541"/>
      <c r="U42" s="544"/>
      <c r="V42" s="542"/>
      <c r="W42" s="541"/>
      <c r="X42" s="224"/>
      <c r="Y42" s="222"/>
      <c r="Z42" s="224"/>
      <c r="AA42" s="46"/>
    </row>
    <row r="43" spans="2:27" x14ac:dyDescent="0.2">
      <c r="B43" s="166">
        <f>'1. LDC Info'!$F$27-10</f>
        <v>2006</v>
      </c>
      <c r="C43" s="44" t="s">
        <v>118</v>
      </c>
      <c r="D43" s="523"/>
      <c r="E43" s="541"/>
      <c r="F43" s="523"/>
      <c r="G43" s="541"/>
      <c r="H43" s="544"/>
      <c r="I43" s="541"/>
      <c r="J43" s="544"/>
      <c r="K43" s="541"/>
      <c r="L43" s="523"/>
      <c r="M43" s="542"/>
      <c r="N43" s="541"/>
      <c r="O43" s="523"/>
      <c r="P43" s="542"/>
      <c r="Q43" s="541"/>
      <c r="R43" s="543"/>
      <c r="S43" s="542"/>
      <c r="T43" s="541"/>
      <c r="U43" s="544"/>
      <c r="V43" s="542"/>
      <c r="W43" s="541"/>
      <c r="X43" s="224"/>
      <c r="Y43" s="222"/>
      <c r="Z43" s="224"/>
      <c r="AA43" s="46"/>
    </row>
    <row r="44" spans="2:27" x14ac:dyDescent="0.2">
      <c r="B44" s="166">
        <f>'1. LDC Info'!$F$27-10</f>
        <v>2006</v>
      </c>
      <c r="C44" s="44" t="s">
        <v>119</v>
      </c>
      <c r="D44" s="523"/>
      <c r="E44" s="541"/>
      <c r="F44" s="523"/>
      <c r="G44" s="541"/>
      <c r="H44" s="544"/>
      <c r="I44" s="541"/>
      <c r="J44" s="544"/>
      <c r="K44" s="541"/>
      <c r="L44" s="523"/>
      <c r="M44" s="542"/>
      <c r="N44" s="541"/>
      <c r="O44" s="523"/>
      <c r="P44" s="542"/>
      <c r="Q44" s="541"/>
      <c r="R44" s="543"/>
      <c r="S44" s="542"/>
      <c r="T44" s="541"/>
      <c r="U44" s="544"/>
      <c r="V44" s="542"/>
      <c r="W44" s="541"/>
      <c r="X44" s="224"/>
      <c r="Y44" s="222"/>
      <c r="Z44" s="224"/>
      <c r="AA44" s="46"/>
    </row>
    <row r="45" spans="2:27" x14ac:dyDescent="0.2">
      <c r="B45" s="166">
        <f>'1. LDC Info'!$F$27-10</f>
        <v>2006</v>
      </c>
      <c r="C45" s="44" t="s">
        <v>109</v>
      </c>
      <c r="D45" s="523"/>
      <c r="E45" s="541"/>
      <c r="F45" s="523"/>
      <c r="G45" s="541"/>
      <c r="H45" s="544"/>
      <c r="I45" s="541"/>
      <c r="J45" s="544"/>
      <c r="K45" s="541"/>
      <c r="L45" s="523"/>
      <c r="M45" s="542"/>
      <c r="N45" s="541"/>
      <c r="O45" s="523"/>
      <c r="P45" s="542"/>
      <c r="Q45" s="541"/>
      <c r="R45" s="543"/>
      <c r="S45" s="542"/>
      <c r="T45" s="541"/>
      <c r="U45" s="544"/>
      <c r="V45" s="542"/>
      <c r="W45" s="541"/>
      <c r="X45" s="224"/>
      <c r="Y45" s="222"/>
      <c r="Z45" s="224"/>
      <c r="AA45" s="46"/>
    </row>
    <row r="46" spans="2:27" x14ac:dyDescent="0.2">
      <c r="B46" s="166">
        <f>'1. LDC Info'!$F$27-10</f>
        <v>2006</v>
      </c>
      <c r="C46" s="44" t="s">
        <v>110</v>
      </c>
      <c r="D46" s="523"/>
      <c r="E46" s="541"/>
      <c r="F46" s="523"/>
      <c r="G46" s="541"/>
      <c r="H46" s="544"/>
      <c r="I46" s="541"/>
      <c r="J46" s="544"/>
      <c r="K46" s="541"/>
      <c r="L46" s="523"/>
      <c r="M46" s="542"/>
      <c r="N46" s="541"/>
      <c r="O46" s="523"/>
      <c r="P46" s="542"/>
      <c r="Q46" s="541"/>
      <c r="R46" s="543"/>
      <c r="S46" s="542"/>
      <c r="T46" s="541"/>
      <c r="U46" s="544"/>
      <c r="V46" s="542"/>
      <c r="W46" s="541"/>
      <c r="X46" s="224"/>
      <c r="Y46" s="222"/>
      <c r="Z46" s="224"/>
      <c r="AA46" s="46"/>
    </row>
    <row r="47" spans="2:27" x14ac:dyDescent="0.2">
      <c r="B47" s="166">
        <f>'1. LDC Info'!$F$27-10</f>
        <v>2006</v>
      </c>
      <c r="C47" s="44" t="s">
        <v>111</v>
      </c>
      <c r="D47" s="523"/>
      <c r="E47" s="541"/>
      <c r="F47" s="523"/>
      <c r="G47" s="541"/>
      <c r="H47" s="544"/>
      <c r="I47" s="541"/>
      <c r="J47" s="544"/>
      <c r="K47" s="541"/>
      <c r="L47" s="523"/>
      <c r="M47" s="542"/>
      <c r="N47" s="541"/>
      <c r="O47" s="523"/>
      <c r="P47" s="542"/>
      <c r="Q47" s="541"/>
      <c r="R47" s="543"/>
      <c r="S47" s="542"/>
      <c r="T47" s="541"/>
      <c r="U47" s="544"/>
      <c r="V47" s="542"/>
      <c r="W47" s="541"/>
      <c r="X47" s="224"/>
      <c r="Y47" s="222"/>
      <c r="Z47" s="224"/>
      <c r="AA47" s="46"/>
    </row>
    <row r="48" spans="2:27" x14ac:dyDescent="0.2">
      <c r="B48" s="166">
        <f>'1. LDC Info'!$F$27-10</f>
        <v>2006</v>
      </c>
      <c r="C48" s="44" t="s">
        <v>108</v>
      </c>
      <c r="D48" s="523">
        <v>80301785</v>
      </c>
      <c r="E48" s="541">
        <v>8696</v>
      </c>
      <c r="F48" s="523">
        <v>39580098</v>
      </c>
      <c r="G48" s="541">
        <v>1449</v>
      </c>
      <c r="H48" s="543">
        <v>364006</v>
      </c>
      <c r="I48" s="541">
        <v>20</v>
      </c>
      <c r="J48" s="543"/>
      <c r="K48" s="541"/>
      <c r="L48" s="523">
        <v>75435895</v>
      </c>
      <c r="M48" s="542">
        <v>207000</v>
      </c>
      <c r="N48" s="541">
        <v>136</v>
      </c>
      <c r="O48" s="523">
        <v>2517491</v>
      </c>
      <c r="P48" s="542">
        <v>6784</v>
      </c>
      <c r="Q48" s="541">
        <v>2635</v>
      </c>
      <c r="R48" s="543">
        <v>267504</v>
      </c>
      <c r="S48" s="542">
        <v>767</v>
      </c>
      <c r="T48" s="541">
        <v>225</v>
      </c>
      <c r="U48" s="543"/>
      <c r="V48" s="542"/>
      <c r="W48" s="541"/>
      <c r="X48" s="224"/>
      <c r="Y48" s="222"/>
      <c r="Z48" s="224"/>
      <c r="AA48" s="46"/>
    </row>
    <row r="49" spans="2:27" x14ac:dyDescent="0.2">
      <c r="B49" s="166">
        <f>'1. LDC Info'!$F$27-9</f>
        <v>2007</v>
      </c>
      <c r="C49" s="44" t="s">
        <v>112</v>
      </c>
      <c r="D49" s="523"/>
      <c r="E49" s="541"/>
      <c r="F49" s="523"/>
      <c r="G49" s="541"/>
      <c r="H49" s="544"/>
      <c r="I49" s="541"/>
      <c r="J49" s="544"/>
      <c r="K49" s="541"/>
      <c r="L49" s="523"/>
      <c r="M49" s="542"/>
      <c r="N49" s="541"/>
      <c r="O49" s="523"/>
      <c r="P49" s="542"/>
      <c r="Q49" s="541"/>
      <c r="R49" s="543"/>
      <c r="S49" s="542"/>
      <c r="T49" s="541"/>
      <c r="U49" s="544"/>
      <c r="V49" s="542"/>
      <c r="W49" s="541"/>
      <c r="X49" s="224"/>
      <c r="Y49" s="222"/>
      <c r="Z49" s="224"/>
      <c r="AA49" s="46"/>
    </row>
    <row r="50" spans="2:27" x14ac:dyDescent="0.2">
      <c r="B50" s="166">
        <f>'1. LDC Info'!$F$27-9</f>
        <v>2007</v>
      </c>
      <c r="C50" s="44" t="s">
        <v>113</v>
      </c>
      <c r="D50" s="523"/>
      <c r="E50" s="541"/>
      <c r="F50" s="523"/>
      <c r="G50" s="541"/>
      <c r="H50" s="544"/>
      <c r="I50" s="541"/>
      <c r="J50" s="544"/>
      <c r="K50" s="541"/>
      <c r="L50" s="523"/>
      <c r="M50" s="542"/>
      <c r="N50" s="541"/>
      <c r="O50" s="523"/>
      <c r="P50" s="542"/>
      <c r="Q50" s="541"/>
      <c r="R50" s="543"/>
      <c r="S50" s="542"/>
      <c r="T50" s="541"/>
      <c r="U50" s="544"/>
      <c r="V50" s="542"/>
      <c r="W50" s="541"/>
      <c r="X50" s="224"/>
      <c r="Y50" s="222"/>
      <c r="Z50" s="224"/>
      <c r="AA50" s="46"/>
    </row>
    <row r="51" spans="2:27" x14ac:dyDescent="0.2">
      <c r="B51" s="166">
        <f>'1. LDC Info'!$F$27-9</f>
        <v>2007</v>
      </c>
      <c r="C51" s="44" t="s">
        <v>114</v>
      </c>
      <c r="D51" s="523"/>
      <c r="E51" s="541"/>
      <c r="F51" s="523"/>
      <c r="G51" s="541"/>
      <c r="H51" s="544"/>
      <c r="I51" s="541"/>
      <c r="J51" s="544"/>
      <c r="K51" s="541"/>
      <c r="L51" s="523"/>
      <c r="M51" s="542"/>
      <c r="N51" s="541"/>
      <c r="O51" s="523"/>
      <c r="P51" s="542"/>
      <c r="Q51" s="541"/>
      <c r="R51" s="543"/>
      <c r="S51" s="542"/>
      <c r="T51" s="541"/>
      <c r="U51" s="544"/>
      <c r="V51" s="542"/>
      <c r="W51" s="541"/>
      <c r="X51" s="224"/>
      <c r="Y51" s="222"/>
      <c r="Z51" s="224"/>
      <c r="AA51" s="46"/>
    </row>
    <row r="52" spans="2:27" x14ac:dyDescent="0.2">
      <c r="B52" s="166">
        <f>'1. LDC Info'!$F$27-9</f>
        <v>2007</v>
      </c>
      <c r="C52" s="44" t="s">
        <v>115</v>
      </c>
      <c r="D52" s="523"/>
      <c r="E52" s="541"/>
      <c r="F52" s="523"/>
      <c r="G52" s="541"/>
      <c r="H52" s="544"/>
      <c r="I52" s="541"/>
      <c r="J52" s="544"/>
      <c r="K52" s="541"/>
      <c r="L52" s="523"/>
      <c r="M52" s="542"/>
      <c r="N52" s="541"/>
      <c r="O52" s="523"/>
      <c r="P52" s="542"/>
      <c r="Q52" s="541"/>
      <c r="R52" s="543"/>
      <c r="S52" s="542"/>
      <c r="T52" s="541"/>
      <c r="U52" s="544"/>
      <c r="V52" s="542"/>
      <c r="W52" s="541"/>
      <c r="X52" s="224"/>
      <c r="Y52" s="222"/>
      <c r="Z52" s="224"/>
      <c r="AA52" s="46"/>
    </row>
    <row r="53" spans="2:27" x14ac:dyDescent="0.2">
      <c r="B53" s="166">
        <f>'1. LDC Info'!$F$27-9</f>
        <v>2007</v>
      </c>
      <c r="C53" s="44" t="s">
        <v>116</v>
      </c>
      <c r="D53" s="523"/>
      <c r="E53" s="541"/>
      <c r="F53" s="523"/>
      <c r="G53" s="541"/>
      <c r="H53" s="544"/>
      <c r="I53" s="541"/>
      <c r="J53" s="544"/>
      <c r="K53" s="541"/>
      <c r="L53" s="523"/>
      <c r="M53" s="542"/>
      <c r="N53" s="541"/>
      <c r="O53" s="523"/>
      <c r="P53" s="542"/>
      <c r="Q53" s="541"/>
      <c r="R53" s="543"/>
      <c r="S53" s="542"/>
      <c r="T53" s="541"/>
      <c r="U53" s="544"/>
      <c r="V53" s="542"/>
      <c r="W53" s="541"/>
      <c r="X53" s="224"/>
      <c r="Y53" s="222"/>
      <c r="Z53" s="224"/>
      <c r="AA53" s="46"/>
    </row>
    <row r="54" spans="2:27" x14ac:dyDescent="0.2">
      <c r="B54" s="166">
        <f>'1. LDC Info'!$F$27-9</f>
        <v>2007</v>
      </c>
      <c r="C54" s="44" t="s">
        <v>117</v>
      </c>
      <c r="D54" s="523"/>
      <c r="E54" s="541"/>
      <c r="F54" s="523"/>
      <c r="G54" s="541"/>
      <c r="H54" s="544"/>
      <c r="I54" s="541"/>
      <c r="J54" s="544"/>
      <c r="K54" s="541"/>
      <c r="L54" s="523"/>
      <c r="M54" s="542"/>
      <c r="N54" s="541"/>
      <c r="O54" s="523"/>
      <c r="P54" s="542"/>
      <c r="Q54" s="541"/>
      <c r="R54" s="543"/>
      <c r="S54" s="542"/>
      <c r="T54" s="541"/>
      <c r="U54" s="544"/>
      <c r="V54" s="542"/>
      <c r="W54" s="541"/>
      <c r="X54" s="224"/>
      <c r="Y54" s="222"/>
      <c r="Z54" s="224"/>
      <c r="AA54" s="46"/>
    </row>
    <row r="55" spans="2:27" x14ac:dyDescent="0.2">
      <c r="B55" s="166">
        <f>'1. LDC Info'!$F$27-9</f>
        <v>2007</v>
      </c>
      <c r="C55" s="44" t="s">
        <v>118</v>
      </c>
      <c r="D55" s="523"/>
      <c r="E55" s="541"/>
      <c r="F55" s="523"/>
      <c r="G55" s="541"/>
      <c r="H55" s="544"/>
      <c r="I55" s="541"/>
      <c r="J55" s="544"/>
      <c r="K55" s="541"/>
      <c r="L55" s="523"/>
      <c r="M55" s="542"/>
      <c r="N55" s="541"/>
      <c r="O55" s="523"/>
      <c r="P55" s="542"/>
      <c r="Q55" s="541"/>
      <c r="R55" s="543"/>
      <c r="S55" s="542"/>
      <c r="T55" s="541"/>
      <c r="U55" s="544"/>
      <c r="V55" s="542"/>
      <c r="W55" s="541"/>
      <c r="X55" s="224"/>
      <c r="Y55" s="222"/>
      <c r="Z55" s="224"/>
      <c r="AA55" s="46"/>
    </row>
    <row r="56" spans="2:27" x14ac:dyDescent="0.2">
      <c r="B56" s="166">
        <f>'1. LDC Info'!$F$27-9</f>
        <v>2007</v>
      </c>
      <c r="C56" s="44" t="s">
        <v>119</v>
      </c>
      <c r="D56" s="523"/>
      <c r="E56" s="541"/>
      <c r="F56" s="523"/>
      <c r="G56" s="541"/>
      <c r="H56" s="544"/>
      <c r="I56" s="541"/>
      <c r="J56" s="544"/>
      <c r="K56" s="541"/>
      <c r="L56" s="523"/>
      <c r="M56" s="542"/>
      <c r="N56" s="541"/>
      <c r="O56" s="523"/>
      <c r="P56" s="542"/>
      <c r="Q56" s="541"/>
      <c r="R56" s="543"/>
      <c r="S56" s="542"/>
      <c r="T56" s="541"/>
      <c r="U56" s="544"/>
      <c r="V56" s="542"/>
      <c r="W56" s="541"/>
      <c r="X56" s="224"/>
      <c r="Y56" s="222"/>
      <c r="Z56" s="224"/>
      <c r="AA56" s="46"/>
    </row>
    <row r="57" spans="2:27" x14ac:dyDescent="0.2">
      <c r="B57" s="166">
        <f>'1. LDC Info'!$F$27-9</f>
        <v>2007</v>
      </c>
      <c r="C57" s="44" t="s">
        <v>109</v>
      </c>
      <c r="D57" s="523"/>
      <c r="E57" s="541"/>
      <c r="F57" s="523"/>
      <c r="G57" s="541"/>
      <c r="H57" s="544"/>
      <c r="I57" s="541"/>
      <c r="J57" s="544"/>
      <c r="K57" s="541"/>
      <c r="L57" s="523"/>
      <c r="M57" s="542"/>
      <c r="N57" s="541"/>
      <c r="O57" s="523"/>
      <c r="P57" s="542"/>
      <c r="Q57" s="541"/>
      <c r="R57" s="543"/>
      <c r="S57" s="542"/>
      <c r="T57" s="541"/>
      <c r="U57" s="544"/>
      <c r="V57" s="542"/>
      <c r="W57" s="541"/>
      <c r="X57" s="224"/>
      <c r="Y57" s="222"/>
      <c r="Z57" s="224"/>
      <c r="AA57" s="46"/>
    </row>
    <row r="58" spans="2:27" x14ac:dyDescent="0.2">
      <c r="B58" s="166">
        <f>'1. LDC Info'!$F$27-9</f>
        <v>2007</v>
      </c>
      <c r="C58" s="44" t="s">
        <v>110</v>
      </c>
      <c r="D58" s="523"/>
      <c r="E58" s="541"/>
      <c r="F58" s="523"/>
      <c r="G58" s="541"/>
      <c r="H58" s="544"/>
      <c r="I58" s="541"/>
      <c r="J58" s="544"/>
      <c r="K58" s="541"/>
      <c r="L58" s="523"/>
      <c r="M58" s="542"/>
      <c r="N58" s="541"/>
      <c r="O58" s="523"/>
      <c r="P58" s="542"/>
      <c r="Q58" s="541"/>
      <c r="R58" s="543"/>
      <c r="S58" s="542"/>
      <c r="T58" s="541"/>
      <c r="U58" s="544"/>
      <c r="V58" s="542"/>
      <c r="W58" s="541"/>
      <c r="X58" s="224"/>
      <c r="Y58" s="222"/>
      <c r="Z58" s="224"/>
      <c r="AA58" s="46"/>
    </row>
    <row r="59" spans="2:27" x14ac:dyDescent="0.2">
      <c r="B59" s="166">
        <f>'1. LDC Info'!$F$27-9</f>
        <v>2007</v>
      </c>
      <c r="C59" s="44" t="s">
        <v>111</v>
      </c>
      <c r="D59" s="523"/>
      <c r="E59" s="541"/>
      <c r="F59" s="523"/>
      <c r="G59" s="541"/>
      <c r="H59" s="544"/>
      <c r="I59" s="541"/>
      <c r="J59" s="544"/>
      <c r="K59" s="541"/>
      <c r="L59" s="523"/>
      <c r="M59" s="542"/>
      <c r="N59" s="541"/>
      <c r="O59" s="523"/>
      <c r="P59" s="542"/>
      <c r="Q59" s="541"/>
      <c r="R59" s="543"/>
      <c r="S59" s="542"/>
      <c r="T59" s="541"/>
      <c r="U59" s="544"/>
      <c r="V59" s="542"/>
      <c r="W59" s="541"/>
      <c r="X59" s="224"/>
      <c r="Y59" s="222"/>
      <c r="Z59" s="224"/>
      <c r="AA59" s="46"/>
    </row>
    <row r="60" spans="2:27" x14ac:dyDescent="0.2">
      <c r="B60" s="166">
        <f>'1. LDC Info'!$F$27-9</f>
        <v>2007</v>
      </c>
      <c r="C60" s="44" t="s">
        <v>108</v>
      </c>
      <c r="D60" s="523">
        <v>78894594</v>
      </c>
      <c r="E60" s="541">
        <v>8809</v>
      </c>
      <c r="F60" s="523">
        <v>35721757</v>
      </c>
      <c r="G60" s="541">
        <v>1442</v>
      </c>
      <c r="H60" s="543">
        <v>348199</v>
      </c>
      <c r="I60" s="541">
        <v>20</v>
      </c>
      <c r="J60" s="543"/>
      <c r="K60" s="541"/>
      <c r="L60" s="523">
        <v>78527667</v>
      </c>
      <c r="M60" s="542">
        <v>213039</v>
      </c>
      <c r="N60" s="541">
        <v>136</v>
      </c>
      <c r="O60" s="523">
        <v>2426477</v>
      </c>
      <c r="P60" s="542">
        <v>6778</v>
      </c>
      <c r="Q60" s="541">
        <v>2648</v>
      </c>
      <c r="R60" s="543">
        <v>266011</v>
      </c>
      <c r="S60" s="542">
        <v>766</v>
      </c>
      <c r="T60" s="541">
        <v>225</v>
      </c>
      <c r="U60" s="543"/>
      <c r="V60" s="542"/>
      <c r="W60" s="541"/>
      <c r="X60" s="224"/>
      <c r="Y60" s="222"/>
      <c r="Z60" s="224"/>
      <c r="AA60" s="46"/>
    </row>
    <row r="61" spans="2:27" x14ac:dyDescent="0.2">
      <c r="B61" s="166">
        <f>'1. LDC Info'!$F$27-8</f>
        <v>2008</v>
      </c>
      <c r="C61" s="44" t="s">
        <v>112</v>
      </c>
      <c r="D61" s="523"/>
      <c r="E61" s="541"/>
      <c r="F61" s="543"/>
      <c r="G61" s="541"/>
      <c r="H61" s="544"/>
      <c r="I61" s="541"/>
      <c r="J61" s="544"/>
      <c r="K61" s="541"/>
      <c r="L61" s="523"/>
      <c r="M61" s="542"/>
      <c r="N61" s="541"/>
      <c r="O61" s="523"/>
      <c r="P61" s="542"/>
      <c r="Q61" s="541"/>
      <c r="R61" s="543"/>
      <c r="S61" s="542"/>
      <c r="T61" s="541"/>
      <c r="U61" s="544"/>
      <c r="V61" s="542"/>
      <c r="W61" s="541"/>
      <c r="X61" s="224"/>
      <c r="Y61" s="222"/>
      <c r="Z61" s="224"/>
      <c r="AA61" s="46"/>
    </row>
    <row r="62" spans="2:27" x14ac:dyDescent="0.2">
      <c r="B62" s="166">
        <f>'1. LDC Info'!$F$27-8</f>
        <v>2008</v>
      </c>
      <c r="C62" s="44" t="s">
        <v>113</v>
      </c>
      <c r="D62" s="523"/>
      <c r="E62" s="541"/>
      <c r="F62" s="543"/>
      <c r="G62" s="541"/>
      <c r="H62" s="544"/>
      <c r="I62" s="541"/>
      <c r="J62" s="544"/>
      <c r="K62" s="541"/>
      <c r="L62" s="523"/>
      <c r="M62" s="542"/>
      <c r="N62" s="541"/>
      <c r="O62" s="523"/>
      <c r="P62" s="542"/>
      <c r="Q62" s="541"/>
      <c r="R62" s="543"/>
      <c r="S62" s="542"/>
      <c r="T62" s="541"/>
      <c r="U62" s="544"/>
      <c r="V62" s="542"/>
      <c r="W62" s="541"/>
      <c r="X62" s="224"/>
      <c r="Y62" s="222"/>
      <c r="Z62" s="224"/>
      <c r="AA62" s="46"/>
    </row>
    <row r="63" spans="2:27" x14ac:dyDescent="0.2">
      <c r="B63" s="166">
        <f>'1. LDC Info'!$F$27-8</f>
        <v>2008</v>
      </c>
      <c r="C63" s="44" t="s">
        <v>114</v>
      </c>
      <c r="D63" s="523"/>
      <c r="E63" s="541"/>
      <c r="F63" s="543"/>
      <c r="G63" s="541"/>
      <c r="H63" s="544"/>
      <c r="I63" s="541"/>
      <c r="J63" s="544"/>
      <c r="K63" s="541"/>
      <c r="L63" s="523"/>
      <c r="M63" s="542"/>
      <c r="N63" s="541"/>
      <c r="O63" s="523"/>
      <c r="P63" s="542"/>
      <c r="Q63" s="541"/>
      <c r="R63" s="543"/>
      <c r="S63" s="542"/>
      <c r="T63" s="541"/>
      <c r="U63" s="544"/>
      <c r="V63" s="542"/>
      <c r="W63" s="541"/>
      <c r="X63" s="224"/>
      <c r="Y63" s="222"/>
      <c r="Z63" s="224"/>
      <c r="AA63" s="46"/>
    </row>
    <row r="64" spans="2:27" x14ac:dyDescent="0.2">
      <c r="B64" s="166">
        <f>'1. LDC Info'!$F$27-8</f>
        <v>2008</v>
      </c>
      <c r="C64" s="44" t="s">
        <v>115</v>
      </c>
      <c r="D64" s="523"/>
      <c r="E64" s="541"/>
      <c r="F64" s="543"/>
      <c r="G64" s="541"/>
      <c r="H64" s="544"/>
      <c r="I64" s="541"/>
      <c r="J64" s="544"/>
      <c r="K64" s="541"/>
      <c r="L64" s="523"/>
      <c r="M64" s="542"/>
      <c r="N64" s="541"/>
      <c r="O64" s="523"/>
      <c r="P64" s="542"/>
      <c r="Q64" s="541"/>
      <c r="R64" s="543"/>
      <c r="S64" s="542"/>
      <c r="T64" s="541"/>
      <c r="U64" s="544"/>
      <c r="V64" s="542"/>
      <c r="W64" s="541"/>
      <c r="X64" s="224"/>
      <c r="Y64" s="222"/>
      <c r="Z64" s="224"/>
      <c r="AA64" s="46"/>
    </row>
    <row r="65" spans="2:27" x14ac:dyDescent="0.2">
      <c r="B65" s="166">
        <f>'1. LDC Info'!$F$27-8</f>
        <v>2008</v>
      </c>
      <c r="C65" s="44" t="s">
        <v>116</v>
      </c>
      <c r="D65" s="523"/>
      <c r="E65" s="541"/>
      <c r="F65" s="543"/>
      <c r="G65" s="541"/>
      <c r="H65" s="544"/>
      <c r="I65" s="541"/>
      <c r="J65" s="544"/>
      <c r="K65" s="541"/>
      <c r="L65" s="523"/>
      <c r="M65" s="542"/>
      <c r="N65" s="541"/>
      <c r="O65" s="523"/>
      <c r="P65" s="542"/>
      <c r="Q65" s="541"/>
      <c r="R65" s="543"/>
      <c r="S65" s="542"/>
      <c r="T65" s="541"/>
      <c r="U65" s="544"/>
      <c r="V65" s="542"/>
      <c r="W65" s="541"/>
      <c r="X65" s="224"/>
      <c r="Y65" s="222"/>
      <c r="Z65" s="224"/>
      <c r="AA65" s="46"/>
    </row>
    <row r="66" spans="2:27" x14ac:dyDescent="0.2">
      <c r="B66" s="166">
        <f>'1. LDC Info'!$F$27-8</f>
        <v>2008</v>
      </c>
      <c r="C66" s="44" t="s">
        <v>117</v>
      </c>
      <c r="D66" s="523"/>
      <c r="E66" s="541"/>
      <c r="F66" s="543"/>
      <c r="G66" s="541"/>
      <c r="H66" s="544"/>
      <c r="I66" s="541"/>
      <c r="J66" s="544"/>
      <c r="K66" s="541"/>
      <c r="L66" s="523"/>
      <c r="M66" s="542"/>
      <c r="N66" s="541"/>
      <c r="O66" s="523"/>
      <c r="P66" s="542"/>
      <c r="Q66" s="541"/>
      <c r="R66" s="543"/>
      <c r="S66" s="542"/>
      <c r="T66" s="541"/>
      <c r="U66" s="544"/>
      <c r="V66" s="542"/>
      <c r="W66" s="541"/>
      <c r="X66" s="224"/>
      <c r="Y66" s="222"/>
      <c r="Z66" s="224"/>
      <c r="AA66" s="46"/>
    </row>
    <row r="67" spans="2:27" x14ac:dyDescent="0.2">
      <c r="B67" s="166">
        <f>'1. LDC Info'!$F$27-8</f>
        <v>2008</v>
      </c>
      <c r="C67" s="44" t="s">
        <v>118</v>
      </c>
      <c r="D67" s="523"/>
      <c r="E67" s="541"/>
      <c r="F67" s="543"/>
      <c r="G67" s="541"/>
      <c r="H67" s="544"/>
      <c r="I67" s="541"/>
      <c r="J67" s="544"/>
      <c r="K67" s="541"/>
      <c r="L67" s="523"/>
      <c r="M67" s="542"/>
      <c r="N67" s="541"/>
      <c r="O67" s="523"/>
      <c r="P67" s="542"/>
      <c r="Q67" s="541"/>
      <c r="R67" s="543"/>
      <c r="S67" s="542"/>
      <c r="T67" s="541"/>
      <c r="U67" s="544"/>
      <c r="V67" s="542"/>
      <c r="W67" s="541"/>
      <c r="X67" s="224"/>
      <c r="Y67" s="222"/>
      <c r="Z67" s="224"/>
      <c r="AA67" s="46"/>
    </row>
    <row r="68" spans="2:27" x14ac:dyDescent="0.2">
      <c r="B68" s="166">
        <f>'1. LDC Info'!$F$27-8</f>
        <v>2008</v>
      </c>
      <c r="C68" s="44" t="s">
        <v>119</v>
      </c>
      <c r="D68" s="523"/>
      <c r="E68" s="541"/>
      <c r="F68" s="543"/>
      <c r="G68" s="541"/>
      <c r="H68" s="544"/>
      <c r="I68" s="541"/>
      <c r="J68" s="544"/>
      <c r="K68" s="541"/>
      <c r="L68" s="523"/>
      <c r="M68" s="542"/>
      <c r="N68" s="541"/>
      <c r="O68" s="523"/>
      <c r="P68" s="542"/>
      <c r="Q68" s="541"/>
      <c r="R68" s="543"/>
      <c r="S68" s="542"/>
      <c r="T68" s="541"/>
      <c r="U68" s="544"/>
      <c r="V68" s="542"/>
      <c r="W68" s="541"/>
      <c r="X68" s="224"/>
      <c r="Y68" s="222"/>
      <c r="Z68" s="224"/>
      <c r="AA68" s="46"/>
    </row>
    <row r="69" spans="2:27" x14ac:dyDescent="0.2">
      <c r="B69" s="166">
        <f>'1. LDC Info'!$F$27-8</f>
        <v>2008</v>
      </c>
      <c r="C69" s="44" t="s">
        <v>109</v>
      </c>
      <c r="D69" s="523"/>
      <c r="E69" s="541"/>
      <c r="F69" s="543"/>
      <c r="G69" s="541"/>
      <c r="H69" s="544"/>
      <c r="I69" s="541"/>
      <c r="J69" s="544"/>
      <c r="K69" s="541"/>
      <c r="L69" s="523"/>
      <c r="M69" s="542"/>
      <c r="N69" s="541"/>
      <c r="O69" s="523"/>
      <c r="P69" s="542"/>
      <c r="Q69" s="541"/>
      <c r="R69" s="543"/>
      <c r="S69" s="542"/>
      <c r="T69" s="541"/>
      <c r="U69" s="544"/>
      <c r="V69" s="542"/>
      <c r="W69" s="541"/>
      <c r="X69" s="224"/>
      <c r="Y69" s="222"/>
      <c r="Z69" s="224"/>
      <c r="AA69" s="46"/>
    </row>
    <row r="70" spans="2:27" x14ac:dyDescent="0.2">
      <c r="B70" s="166">
        <f>'1. LDC Info'!$F$27-8</f>
        <v>2008</v>
      </c>
      <c r="C70" s="44" t="s">
        <v>110</v>
      </c>
      <c r="D70" s="523"/>
      <c r="E70" s="541"/>
      <c r="F70" s="543"/>
      <c r="G70" s="541"/>
      <c r="H70" s="544"/>
      <c r="I70" s="541"/>
      <c r="J70" s="544"/>
      <c r="K70" s="541"/>
      <c r="L70" s="523"/>
      <c r="M70" s="542"/>
      <c r="N70" s="541"/>
      <c r="O70" s="523"/>
      <c r="P70" s="542"/>
      <c r="Q70" s="541"/>
      <c r="R70" s="543"/>
      <c r="S70" s="542"/>
      <c r="T70" s="541"/>
      <c r="U70" s="544"/>
      <c r="V70" s="542"/>
      <c r="W70" s="541"/>
      <c r="X70" s="224"/>
      <c r="Y70" s="222"/>
      <c r="Z70" s="224"/>
      <c r="AA70" s="46"/>
    </row>
    <row r="71" spans="2:27" x14ac:dyDescent="0.2">
      <c r="B71" s="166">
        <f>'1. LDC Info'!$F$27-8</f>
        <v>2008</v>
      </c>
      <c r="C71" s="44" t="s">
        <v>111</v>
      </c>
      <c r="D71" s="523"/>
      <c r="E71" s="541"/>
      <c r="F71" s="543"/>
      <c r="G71" s="541"/>
      <c r="H71" s="544"/>
      <c r="I71" s="541"/>
      <c r="J71" s="544"/>
      <c r="K71" s="541"/>
      <c r="L71" s="523"/>
      <c r="M71" s="542"/>
      <c r="N71" s="541"/>
      <c r="O71" s="523"/>
      <c r="P71" s="542"/>
      <c r="Q71" s="541"/>
      <c r="R71" s="543"/>
      <c r="S71" s="542"/>
      <c r="T71" s="541"/>
      <c r="U71" s="544"/>
      <c r="V71" s="542"/>
      <c r="W71" s="541"/>
      <c r="X71" s="224"/>
      <c r="Y71" s="222"/>
      <c r="Z71" s="224"/>
      <c r="AA71" s="46"/>
    </row>
    <row r="72" spans="2:27" x14ac:dyDescent="0.2">
      <c r="B72" s="166">
        <f>'1. LDC Info'!$F$27-8</f>
        <v>2008</v>
      </c>
      <c r="C72" s="44" t="s">
        <v>108</v>
      </c>
      <c r="D72" s="523">
        <v>78894594</v>
      </c>
      <c r="E72" s="541">
        <v>8809</v>
      </c>
      <c r="F72" s="523">
        <v>35801702</v>
      </c>
      <c r="G72" s="541">
        <v>1409</v>
      </c>
      <c r="H72" s="543">
        <v>386944</v>
      </c>
      <c r="I72" s="541">
        <v>20</v>
      </c>
      <c r="J72" s="543"/>
      <c r="K72" s="541"/>
      <c r="L72" s="523">
        <v>78693630</v>
      </c>
      <c r="M72" s="542">
        <v>202855</v>
      </c>
      <c r="N72" s="541">
        <v>143</v>
      </c>
      <c r="O72" s="523">
        <v>2370504</v>
      </c>
      <c r="P72" s="542">
        <v>6728</v>
      </c>
      <c r="Q72" s="541">
        <v>2653</v>
      </c>
      <c r="R72" s="543">
        <v>262124</v>
      </c>
      <c r="S72" s="542">
        <v>751</v>
      </c>
      <c r="T72" s="541">
        <v>226</v>
      </c>
      <c r="U72" s="543"/>
      <c r="V72" s="542"/>
      <c r="W72" s="541"/>
      <c r="X72" s="224"/>
      <c r="Y72" s="222"/>
      <c r="Z72" s="224"/>
      <c r="AA72" s="46"/>
    </row>
    <row r="73" spans="2:27" x14ac:dyDescent="0.2">
      <c r="B73" s="166">
        <f>'1. LDC Info'!$F$27-7</f>
        <v>2009</v>
      </c>
      <c r="C73" s="44" t="s">
        <v>112</v>
      </c>
      <c r="D73" s="523"/>
      <c r="E73" s="541"/>
      <c r="F73" s="543"/>
      <c r="G73" s="541"/>
      <c r="H73" s="544"/>
      <c r="I73" s="541"/>
      <c r="J73" s="544"/>
      <c r="K73" s="541"/>
      <c r="L73" s="523"/>
      <c r="M73" s="542"/>
      <c r="N73" s="541"/>
      <c r="O73" s="523"/>
      <c r="P73" s="542"/>
      <c r="Q73" s="541"/>
      <c r="R73" s="543"/>
      <c r="S73" s="542"/>
      <c r="T73" s="541"/>
      <c r="U73" s="544"/>
      <c r="V73" s="542"/>
      <c r="W73" s="541"/>
      <c r="X73" s="224"/>
      <c r="Y73" s="222"/>
      <c r="Z73" s="224"/>
      <c r="AA73" s="46"/>
    </row>
    <row r="74" spans="2:27" x14ac:dyDescent="0.2">
      <c r="B74" s="166">
        <f>'1. LDC Info'!$F$27-7</f>
        <v>2009</v>
      </c>
      <c r="C74" s="44" t="s">
        <v>113</v>
      </c>
      <c r="D74" s="523"/>
      <c r="E74" s="541"/>
      <c r="F74" s="543"/>
      <c r="G74" s="541"/>
      <c r="H74" s="544"/>
      <c r="I74" s="541"/>
      <c r="J74" s="544"/>
      <c r="K74" s="541"/>
      <c r="L74" s="523"/>
      <c r="M74" s="542"/>
      <c r="N74" s="541"/>
      <c r="O74" s="523"/>
      <c r="P74" s="542"/>
      <c r="Q74" s="541"/>
      <c r="R74" s="543"/>
      <c r="S74" s="542"/>
      <c r="T74" s="541"/>
      <c r="U74" s="544"/>
      <c r="V74" s="542"/>
      <c r="W74" s="541"/>
      <c r="X74" s="224"/>
      <c r="Y74" s="222"/>
      <c r="Z74" s="224"/>
      <c r="AA74" s="46"/>
    </row>
    <row r="75" spans="2:27" x14ac:dyDescent="0.2">
      <c r="B75" s="166">
        <f>'1. LDC Info'!$F$27-7</f>
        <v>2009</v>
      </c>
      <c r="C75" s="44" t="s">
        <v>114</v>
      </c>
      <c r="D75" s="523"/>
      <c r="E75" s="541"/>
      <c r="F75" s="543"/>
      <c r="G75" s="541"/>
      <c r="H75" s="544"/>
      <c r="I75" s="541"/>
      <c r="J75" s="544"/>
      <c r="K75" s="541"/>
      <c r="L75" s="523"/>
      <c r="M75" s="542"/>
      <c r="N75" s="541"/>
      <c r="O75" s="523"/>
      <c r="P75" s="542"/>
      <c r="Q75" s="541"/>
      <c r="R75" s="543"/>
      <c r="S75" s="542"/>
      <c r="T75" s="541"/>
      <c r="U75" s="544"/>
      <c r="V75" s="542"/>
      <c r="W75" s="541"/>
      <c r="X75" s="224"/>
      <c r="Y75" s="222"/>
      <c r="Z75" s="224"/>
      <c r="AA75" s="46"/>
    </row>
    <row r="76" spans="2:27" x14ac:dyDescent="0.2">
      <c r="B76" s="166">
        <f>'1. LDC Info'!$F$27-7</f>
        <v>2009</v>
      </c>
      <c r="C76" s="44" t="s">
        <v>115</v>
      </c>
      <c r="D76" s="523"/>
      <c r="E76" s="541"/>
      <c r="F76" s="543"/>
      <c r="G76" s="541"/>
      <c r="H76" s="544"/>
      <c r="I76" s="541"/>
      <c r="J76" s="544"/>
      <c r="K76" s="541"/>
      <c r="L76" s="523"/>
      <c r="M76" s="542"/>
      <c r="N76" s="541"/>
      <c r="O76" s="523"/>
      <c r="P76" s="542"/>
      <c r="Q76" s="541"/>
      <c r="R76" s="543"/>
      <c r="S76" s="542"/>
      <c r="T76" s="541"/>
      <c r="U76" s="544"/>
      <c r="V76" s="542"/>
      <c r="W76" s="541"/>
      <c r="X76" s="224"/>
      <c r="Y76" s="222"/>
      <c r="Z76" s="224"/>
      <c r="AA76" s="46"/>
    </row>
    <row r="77" spans="2:27" x14ac:dyDescent="0.2">
      <c r="B77" s="166">
        <f>'1. LDC Info'!$F$27-7</f>
        <v>2009</v>
      </c>
      <c r="C77" s="44" t="s">
        <v>116</v>
      </c>
      <c r="D77" s="523"/>
      <c r="E77" s="541"/>
      <c r="F77" s="543"/>
      <c r="G77" s="541"/>
      <c r="H77" s="544"/>
      <c r="I77" s="541"/>
      <c r="J77" s="544"/>
      <c r="K77" s="541"/>
      <c r="L77" s="523"/>
      <c r="M77" s="542"/>
      <c r="N77" s="541"/>
      <c r="O77" s="523"/>
      <c r="P77" s="542"/>
      <c r="Q77" s="541"/>
      <c r="R77" s="543"/>
      <c r="S77" s="542"/>
      <c r="T77" s="541"/>
      <c r="U77" s="544"/>
      <c r="V77" s="542"/>
      <c r="W77" s="541"/>
      <c r="X77" s="224"/>
      <c r="Y77" s="222"/>
      <c r="Z77" s="224"/>
      <c r="AA77" s="46"/>
    </row>
    <row r="78" spans="2:27" x14ac:dyDescent="0.2">
      <c r="B78" s="166">
        <f>'1. LDC Info'!$F$27-7</f>
        <v>2009</v>
      </c>
      <c r="C78" s="44" t="s">
        <v>117</v>
      </c>
      <c r="D78" s="523"/>
      <c r="E78" s="541"/>
      <c r="F78" s="543"/>
      <c r="G78" s="541"/>
      <c r="H78" s="544"/>
      <c r="I78" s="541"/>
      <c r="J78" s="544"/>
      <c r="K78" s="541"/>
      <c r="L78" s="523"/>
      <c r="M78" s="542"/>
      <c r="N78" s="541"/>
      <c r="O78" s="523"/>
      <c r="P78" s="542"/>
      <c r="Q78" s="541"/>
      <c r="R78" s="543"/>
      <c r="S78" s="542"/>
      <c r="T78" s="541"/>
      <c r="U78" s="544"/>
      <c r="V78" s="542"/>
      <c r="W78" s="541"/>
      <c r="X78" s="224"/>
      <c r="Y78" s="222"/>
      <c r="Z78" s="224"/>
      <c r="AA78" s="46"/>
    </row>
    <row r="79" spans="2:27" x14ac:dyDescent="0.2">
      <c r="B79" s="166">
        <f>'1. LDC Info'!$F$27-7</f>
        <v>2009</v>
      </c>
      <c r="C79" s="44" t="s">
        <v>118</v>
      </c>
      <c r="D79" s="523"/>
      <c r="E79" s="541"/>
      <c r="F79" s="543"/>
      <c r="G79" s="541"/>
      <c r="H79" s="544"/>
      <c r="I79" s="541"/>
      <c r="J79" s="544"/>
      <c r="K79" s="541"/>
      <c r="L79" s="523"/>
      <c r="M79" s="542"/>
      <c r="N79" s="541"/>
      <c r="O79" s="523"/>
      <c r="P79" s="542"/>
      <c r="Q79" s="541"/>
      <c r="R79" s="543"/>
      <c r="S79" s="542"/>
      <c r="T79" s="541"/>
      <c r="U79" s="544"/>
      <c r="V79" s="542"/>
      <c r="W79" s="541"/>
      <c r="X79" s="224"/>
      <c r="Y79" s="222"/>
      <c r="Z79" s="224"/>
      <c r="AA79" s="46"/>
    </row>
    <row r="80" spans="2:27" x14ac:dyDescent="0.2">
      <c r="B80" s="166">
        <f>'1. LDC Info'!$F$27-7</f>
        <v>2009</v>
      </c>
      <c r="C80" s="44" t="s">
        <v>119</v>
      </c>
      <c r="D80" s="523"/>
      <c r="E80" s="541"/>
      <c r="F80" s="543"/>
      <c r="G80" s="541"/>
      <c r="H80" s="544"/>
      <c r="I80" s="541"/>
      <c r="J80" s="544"/>
      <c r="K80" s="541"/>
      <c r="L80" s="523"/>
      <c r="M80" s="542"/>
      <c r="N80" s="541"/>
      <c r="O80" s="523"/>
      <c r="P80" s="542"/>
      <c r="Q80" s="541"/>
      <c r="R80" s="543"/>
      <c r="S80" s="542"/>
      <c r="T80" s="541"/>
      <c r="U80" s="544"/>
      <c r="V80" s="542"/>
      <c r="W80" s="541"/>
      <c r="X80" s="224"/>
      <c r="Y80" s="222"/>
      <c r="Z80" s="224"/>
      <c r="AA80" s="46"/>
    </row>
    <row r="81" spans="2:27" x14ac:dyDescent="0.2">
      <c r="B81" s="166">
        <f>'1. LDC Info'!$F$27-7</f>
        <v>2009</v>
      </c>
      <c r="C81" s="44" t="s">
        <v>109</v>
      </c>
      <c r="D81" s="523"/>
      <c r="E81" s="541"/>
      <c r="F81" s="543"/>
      <c r="G81" s="541"/>
      <c r="H81" s="544"/>
      <c r="I81" s="541"/>
      <c r="J81" s="544"/>
      <c r="K81" s="541"/>
      <c r="L81" s="523"/>
      <c r="M81" s="542"/>
      <c r="N81" s="541"/>
      <c r="O81" s="523"/>
      <c r="P81" s="542"/>
      <c r="Q81" s="541"/>
      <c r="R81" s="543"/>
      <c r="S81" s="542"/>
      <c r="T81" s="541"/>
      <c r="U81" s="544"/>
      <c r="V81" s="542"/>
      <c r="W81" s="541"/>
      <c r="X81" s="224"/>
      <c r="Y81" s="222"/>
      <c r="Z81" s="224"/>
      <c r="AA81" s="46"/>
    </row>
    <row r="82" spans="2:27" x14ac:dyDescent="0.2">
      <c r="B82" s="166">
        <f>'1. LDC Info'!$F$27-7</f>
        <v>2009</v>
      </c>
      <c r="C82" s="44" t="s">
        <v>110</v>
      </c>
      <c r="D82" s="523"/>
      <c r="E82" s="541"/>
      <c r="F82" s="543"/>
      <c r="G82" s="541"/>
      <c r="H82" s="544"/>
      <c r="I82" s="541"/>
      <c r="J82" s="544"/>
      <c r="K82" s="541"/>
      <c r="L82" s="523"/>
      <c r="M82" s="542"/>
      <c r="N82" s="541"/>
      <c r="O82" s="523"/>
      <c r="P82" s="542"/>
      <c r="Q82" s="541"/>
      <c r="R82" s="543"/>
      <c r="S82" s="542"/>
      <c r="T82" s="541"/>
      <c r="U82" s="544"/>
      <c r="V82" s="542"/>
      <c r="W82" s="541"/>
      <c r="X82" s="224"/>
      <c r="Y82" s="222"/>
      <c r="Z82" s="224"/>
      <c r="AA82" s="46"/>
    </row>
    <row r="83" spans="2:27" x14ac:dyDescent="0.2">
      <c r="B83" s="166">
        <f>'1. LDC Info'!$F$27-7</f>
        <v>2009</v>
      </c>
      <c r="C83" s="44" t="s">
        <v>111</v>
      </c>
      <c r="D83" s="523"/>
      <c r="E83" s="541"/>
      <c r="F83" s="543"/>
      <c r="G83" s="541"/>
      <c r="H83" s="544"/>
      <c r="I83" s="541"/>
      <c r="J83" s="544"/>
      <c r="K83" s="541"/>
      <c r="L83" s="523"/>
      <c r="M83" s="542"/>
      <c r="N83" s="541"/>
      <c r="O83" s="523"/>
      <c r="P83" s="542"/>
      <c r="Q83" s="541"/>
      <c r="R83" s="543"/>
      <c r="S83" s="542"/>
      <c r="T83" s="541"/>
      <c r="U83" s="544"/>
      <c r="V83" s="542"/>
      <c r="W83" s="541"/>
      <c r="X83" s="224"/>
      <c r="Y83" s="222"/>
      <c r="Z83" s="224"/>
      <c r="AA83" s="46"/>
    </row>
    <row r="84" spans="2:27" x14ac:dyDescent="0.2">
      <c r="B84" s="166">
        <f>'1. LDC Info'!$F$27-7</f>
        <v>2009</v>
      </c>
      <c r="C84" s="44" t="s">
        <v>108</v>
      </c>
      <c r="D84" s="523">
        <v>76058961.349999994</v>
      </c>
      <c r="E84" s="541">
        <v>8941</v>
      </c>
      <c r="F84" s="523">
        <v>34198078.359999999</v>
      </c>
      <c r="G84" s="541">
        <v>1394</v>
      </c>
      <c r="H84" s="543">
        <v>437952.27</v>
      </c>
      <c r="I84" s="541">
        <v>20</v>
      </c>
      <c r="J84" s="543"/>
      <c r="K84" s="541"/>
      <c r="L84" s="523">
        <v>78622635.780000001</v>
      </c>
      <c r="M84" s="542">
        <v>209853</v>
      </c>
      <c r="N84" s="541">
        <v>144</v>
      </c>
      <c r="O84" s="523">
        <v>2414486.62</v>
      </c>
      <c r="P84" s="542">
        <v>6652</v>
      </c>
      <c r="Q84" s="541">
        <v>2701</v>
      </c>
      <c r="R84" s="543">
        <v>265370.21000000002</v>
      </c>
      <c r="S84" s="542">
        <v>756</v>
      </c>
      <c r="T84" s="541">
        <v>226</v>
      </c>
      <c r="U84" s="543"/>
      <c r="V84" s="542"/>
      <c r="W84" s="541"/>
      <c r="X84" s="224"/>
      <c r="Y84" s="222"/>
      <c r="Z84" s="224"/>
      <c r="AA84" s="46"/>
    </row>
    <row r="85" spans="2:27" x14ac:dyDescent="0.2">
      <c r="B85" s="166">
        <f>'1. LDC Info'!$F$27-6</f>
        <v>2010</v>
      </c>
      <c r="C85" s="44" t="s">
        <v>112</v>
      </c>
      <c r="D85" s="523"/>
      <c r="E85" s="541"/>
      <c r="F85" s="523"/>
      <c r="G85" s="541"/>
      <c r="H85" s="544"/>
      <c r="I85" s="541"/>
      <c r="J85" s="544"/>
      <c r="K85" s="541"/>
      <c r="L85" s="523"/>
      <c r="M85" s="524"/>
      <c r="N85" s="541"/>
      <c r="O85" s="523"/>
      <c r="P85" s="524"/>
      <c r="Q85" s="541"/>
      <c r="R85" s="543"/>
      <c r="S85" s="542"/>
      <c r="T85" s="541"/>
      <c r="U85" s="544"/>
      <c r="V85" s="542"/>
      <c r="W85" s="541"/>
      <c r="X85" s="224"/>
      <c r="Y85" s="222"/>
      <c r="Z85" s="224"/>
      <c r="AA85" s="46"/>
    </row>
    <row r="86" spans="2:27" x14ac:dyDescent="0.2">
      <c r="B86" s="166">
        <f>'1. LDC Info'!$F$27-6</f>
        <v>2010</v>
      </c>
      <c r="C86" s="44" t="s">
        <v>113</v>
      </c>
      <c r="D86" s="523"/>
      <c r="E86" s="541"/>
      <c r="F86" s="523"/>
      <c r="G86" s="541"/>
      <c r="H86" s="544"/>
      <c r="I86" s="541"/>
      <c r="J86" s="544"/>
      <c r="K86" s="541"/>
      <c r="L86" s="523"/>
      <c r="M86" s="524"/>
      <c r="N86" s="541"/>
      <c r="O86" s="523"/>
      <c r="P86" s="524"/>
      <c r="Q86" s="541"/>
      <c r="R86" s="543"/>
      <c r="S86" s="542"/>
      <c r="T86" s="541"/>
      <c r="U86" s="544"/>
      <c r="V86" s="542"/>
      <c r="W86" s="541"/>
      <c r="X86" s="224"/>
      <c r="Y86" s="222"/>
      <c r="Z86" s="224"/>
      <c r="AA86" s="46"/>
    </row>
    <row r="87" spans="2:27" x14ac:dyDescent="0.2">
      <c r="B87" s="166">
        <f>'1. LDC Info'!$F$27-6</f>
        <v>2010</v>
      </c>
      <c r="C87" s="44" t="s">
        <v>114</v>
      </c>
      <c r="D87" s="523"/>
      <c r="E87" s="541"/>
      <c r="F87" s="523"/>
      <c r="G87" s="541"/>
      <c r="H87" s="544"/>
      <c r="I87" s="541"/>
      <c r="J87" s="544"/>
      <c r="K87" s="541"/>
      <c r="L87" s="523"/>
      <c r="M87" s="524"/>
      <c r="N87" s="541"/>
      <c r="O87" s="523"/>
      <c r="P87" s="524"/>
      <c r="Q87" s="541"/>
      <c r="R87" s="543"/>
      <c r="S87" s="542"/>
      <c r="T87" s="541"/>
      <c r="U87" s="544"/>
      <c r="V87" s="542"/>
      <c r="W87" s="541"/>
      <c r="X87" s="224"/>
      <c r="Y87" s="222"/>
      <c r="Z87" s="224"/>
      <c r="AA87" s="46"/>
    </row>
    <row r="88" spans="2:27" x14ac:dyDescent="0.2">
      <c r="B88" s="166">
        <f>'1. LDC Info'!$F$27-6</f>
        <v>2010</v>
      </c>
      <c r="C88" s="44" t="s">
        <v>115</v>
      </c>
      <c r="D88" s="523"/>
      <c r="E88" s="541"/>
      <c r="F88" s="523"/>
      <c r="G88" s="541"/>
      <c r="H88" s="544"/>
      <c r="I88" s="541"/>
      <c r="J88" s="544"/>
      <c r="K88" s="541"/>
      <c r="L88" s="523"/>
      <c r="M88" s="524"/>
      <c r="N88" s="541"/>
      <c r="O88" s="523"/>
      <c r="P88" s="524"/>
      <c r="Q88" s="541"/>
      <c r="R88" s="543"/>
      <c r="S88" s="542"/>
      <c r="T88" s="541"/>
      <c r="U88" s="544"/>
      <c r="V88" s="542"/>
      <c r="W88" s="541"/>
      <c r="X88" s="224"/>
      <c r="Y88" s="222"/>
      <c r="Z88" s="224"/>
      <c r="AA88" s="46"/>
    </row>
    <row r="89" spans="2:27" x14ac:dyDescent="0.2">
      <c r="B89" s="166">
        <f>'1. LDC Info'!$F$27-6</f>
        <v>2010</v>
      </c>
      <c r="C89" s="44" t="s">
        <v>116</v>
      </c>
      <c r="D89" s="523"/>
      <c r="E89" s="541"/>
      <c r="F89" s="523"/>
      <c r="G89" s="541"/>
      <c r="H89" s="544"/>
      <c r="I89" s="541"/>
      <c r="J89" s="544"/>
      <c r="K89" s="541"/>
      <c r="L89" s="523"/>
      <c r="M89" s="524"/>
      <c r="N89" s="541"/>
      <c r="O89" s="523"/>
      <c r="P89" s="524"/>
      <c r="Q89" s="541"/>
      <c r="R89" s="543"/>
      <c r="S89" s="542"/>
      <c r="T89" s="541"/>
      <c r="U89" s="544"/>
      <c r="V89" s="542"/>
      <c r="W89" s="541"/>
      <c r="X89" s="224"/>
      <c r="Y89" s="222"/>
      <c r="Z89" s="224"/>
      <c r="AA89" s="46"/>
    </row>
    <row r="90" spans="2:27" x14ac:dyDescent="0.2">
      <c r="B90" s="166">
        <f>'1. LDC Info'!$F$27-6</f>
        <v>2010</v>
      </c>
      <c r="C90" s="44" t="s">
        <v>117</v>
      </c>
      <c r="D90" s="523"/>
      <c r="E90" s="541"/>
      <c r="F90" s="523"/>
      <c r="G90" s="541"/>
      <c r="H90" s="544"/>
      <c r="I90" s="541"/>
      <c r="J90" s="544"/>
      <c r="K90" s="541"/>
      <c r="L90" s="523"/>
      <c r="M90" s="524"/>
      <c r="N90" s="541"/>
      <c r="O90" s="523"/>
      <c r="P90" s="524"/>
      <c r="Q90" s="541"/>
      <c r="R90" s="543"/>
      <c r="S90" s="542"/>
      <c r="T90" s="541"/>
      <c r="U90" s="544"/>
      <c r="V90" s="542"/>
      <c r="W90" s="541"/>
      <c r="X90" s="224"/>
      <c r="Y90" s="222"/>
      <c r="Z90" s="224"/>
      <c r="AA90" s="46"/>
    </row>
    <row r="91" spans="2:27" x14ac:dyDescent="0.2">
      <c r="B91" s="166">
        <f>'1. LDC Info'!$F$27-6</f>
        <v>2010</v>
      </c>
      <c r="C91" s="44" t="s">
        <v>118</v>
      </c>
      <c r="D91" s="523"/>
      <c r="E91" s="541"/>
      <c r="F91" s="523"/>
      <c r="G91" s="541"/>
      <c r="H91" s="544"/>
      <c r="I91" s="541"/>
      <c r="J91" s="544"/>
      <c r="K91" s="541"/>
      <c r="L91" s="523"/>
      <c r="M91" s="524"/>
      <c r="N91" s="541"/>
      <c r="O91" s="523"/>
      <c r="P91" s="524"/>
      <c r="Q91" s="541"/>
      <c r="R91" s="543"/>
      <c r="S91" s="542"/>
      <c r="T91" s="541"/>
      <c r="U91" s="544"/>
      <c r="V91" s="542"/>
      <c r="W91" s="541"/>
      <c r="X91" s="224"/>
      <c r="Y91" s="222"/>
      <c r="Z91" s="224"/>
      <c r="AA91" s="46"/>
    </row>
    <row r="92" spans="2:27" x14ac:dyDescent="0.2">
      <c r="B92" s="166">
        <f>'1. LDC Info'!$F$27-6</f>
        <v>2010</v>
      </c>
      <c r="C92" s="44" t="s">
        <v>119</v>
      </c>
      <c r="D92" s="523"/>
      <c r="E92" s="541"/>
      <c r="F92" s="523"/>
      <c r="G92" s="541"/>
      <c r="H92" s="544"/>
      <c r="I92" s="541"/>
      <c r="J92" s="544"/>
      <c r="K92" s="541"/>
      <c r="L92" s="523"/>
      <c r="M92" s="524"/>
      <c r="N92" s="541"/>
      <c r="O92" s="523"/>
      <c r="P92" s="524"/>
      <c r="Q92" s="541"/>
      <c r="R92" s="543"/>
      <c r="S92" s="542"/>
      <c r="T92" s="541"/>
      <c r="U92" s="544"/>
      <c r="V92" s="542"/>
      <c r="W92" s="541"/>
      <c r="X92" s="224"/>
      <c r="Y92" s="222"/>
      <c r="Z92" s="224"/>
      <c r="AA92" s="46"/>
    </row>
    <row r="93" spans="2:27" x14ac:dyDescent="0.2">
      <c r="B93" s="166">
        <f>'1. LDC Info'!$F$27-6</f>
        <v>2010</v>
      </c>
      <c r="C93" s="44" t="s">
        <v>109</v>
      </c>
      <c r="D93" s="523"/>
      <c r="E93" s="541"/>
      <c r="F93" s="523"/>
      <c r="G93" s="541"/>
      <c r="H93" s="544"/>
      <c r="I93" s="541"/>
      <c r="J93" s="544"/>
      <c r="K93" s="541"/>
      <c r="L93" s="523"/>
      <c r="M93" s="524"/>
      <c r="N93" s="541"/>
      <c r="O93" s="523"/>
      <c r="P93" s="524"/>
      <c r="Q93" s="541"/>
      <c r="R93" s="543"/>
      <c r="S93" s="542"/>
      <c r="T93" s="541"/>
      <c r="U93" s="544"/>
      <c r="V93" s="542"/>
      <c r="W93" s="541"/>
      <c r="X93" s="224"/>
      <c r="Y93" s="222"/>
      <c r="Z93" s="224"/>
      <c r="AA93" s="46"/>
    </row>
    <row r="94" spans="2:27" x14ac:dyDescent="0.2">
      <c r="B94" s="166">
        <f>'1. LDC Info'!$F$27-6</f>
        <v>2010</v>
      </c>
      <c r="C94" s="44" t="s">
        <v>110</v>
      </c>
      <c r="D94" s="523"/>
      <c r="E94" s="541"/>
      <c r="F94" s="523"/>
      <c r="G94" s="541"/>
      <c r="H94" s="544"/>
      <c r="I94" s="541"/>
      <c r="J94" s="544"/>
      <c r="K94" s="541"/>
      <c r="L94" s="523"/>
      <c r="M94" s="524"/>
      <c r="N94" s="541"/>
      <c r="O94" s="523"/>
      <c r="P94" s="524"/>
      <c r="Q94" s="541"/>
      <c r="R94" s="543"/>
      <c r="S94" s="542"/>
      <c r="T94" s="541"/>
      <c r="U94" s="544"/>
      <c r="V94" s="542"/>
      <c r="W94" s="541"/>
      <c r="X94" s="224"/>
      <c r="Y94" s="222"/>
      <c r="Z94" s="224"/>
      <c r="AA94" s="46"/>
    </row>
    <row r="95" spans="2:27" x14ac:dyDescent="0.2">
      <c r="B95" s="166">
        <f>'1. LDC Info'!$F$27-6</f>
        <v>2010</v>
      </c>
      <c r="C95" s="44" t="s">
        <v>111</v>
      </c>
      <c r="D95" s="523"/>
      <c r="E95" s="541"/>
      <c r="F95" s="523"/>
      <c r="G95" s="541"/>
      <c r="H95" s="544"/>
      <c r="I95" s="541"/>
      <c r="J95" s="544"/>
      <c r="K95" s="541"/>
      <c r="L95" s="523"/>
      <c r="M95" s="524"/>
      <c r="N95" s="541"/>
      <c r="O95" s="523"/>
      <c r="P95" s="524"/>
      <c r="Q95" s="541"/>
      <c r="R95" s="543"/>
      <c r="S95" s="542"/>
      <c r="T95" s="541"/>
      <c r="U95" s="544"/>
      <c r="V95" s="542"/>
      <c r="W95" s="541"/>
      <c r="X95" s="224"/>
      <c r="Y95" s="222"/>
      <c r="Z95" s="224"/>
      <c r="AA95" s="46"/>
    </row>
    <row r="96" spans="2:27" x14ac:dyDescent="0.2">
      <c r="B96" s="166">
        <f>'1. LDC Info'!$F$27-6</f>
        <v>2010</v>
      </c>
      <c r="C96" s="44" t="s">
        <v>108</v>
      </c>
      <c r="D96" s="523">
        <v>75301012.150000006</v>
      </c>
      <c r="E96" s="541">
        <v>8955</v>
      </c>
      <c r="F96" s="523">
        <v>33358216.629999999</v>
      </c>
      <c r="G96" s="541">
        <v>1372</v>
      </c>
      <c r="H96" s="543">
        <v>458526.4</v>
      </c>
      <c r="I96" s="541">
        <v>20</v>
      </c>
      <c r="J96" s="543"/>
      <c r="K96" s="541"/>
      <c r="L96" s="523">
        <v>76510234.719999999</v>
      </c>
      <c r="M96" s="542">
        <v>202775</v>
      </c>
      <c r="N96" s="541">
        <v>148</v>
      </c>
      <c r="O96" s="523">
        <v>2383707.0499999998</v>
      </c>
      <c r="P96" s="542">
        <v>6766</v>
      </c>
      <c r="Q96" s="541">
        <v>2713</v>
      </c>
      <c r="R96" s="543">
        <v>233685.69</v>
      </c>
      <c r="S96" s="542">
        <v>766</v>
      </c>
      <c r="T96" s="541">
        <v>216</v>
      </c>
      <c r="U96" s="543"/>
      <c r="V96" s="542"/>
      <c r="W96" s="541"/>
      <c r="X96" s="224"/>
      <c r="Y96" s="222"/>
      <c r="Z96" s="224"/>
      <c r="AA96" s="46"/>
    </row>
    <row r="97" spans="2:27" x14ac:dyDescent="0.2">
      <c r="B97" s="166">
        <f>'1. LDC Info'!$F$27-5</f>
        <v>2011</v>
      </c>
      <c r="C97" s="44" t="s">
        <v>112</v>
      </c>
      <c r="D97" s="523"/>
      <c r="E97" s="541"/>
      <c r="F97" s="523"/>
      <c r="G97" s="541"/>
      <c r="H97" s="545"/>
      <c r="I97" s="541"/>
      <c r="J97" s="545"/>
      <c r="K97" s="541"/>
      <c r="L97" s="523"/>
      <c r="M97" s="542"/>
      <c r="N97" s="541"/>
      <c r="O97" s="523"/>
      <c r="P97" s="542"/>
      <c r="Q97" s="541"/>
      <c r="R97" s="543"/>
      <c r="S97" s="542"/>
      <c r="T97" s="541"/>
      <c r="U97" s="545"/>
      <c r="V97" s="542"/>
      <c r="W97" s="541"/>
      <c r="X97" s="49"/>
      <c r="Y97" s="222"/>
      <c r="Z97" s="49"/>
      <c r="AA97" s="46"/>
    </row>
    <row r="98" spans="2:27" x14ac:dyDescent="0.2">
      <c r="B98" s="166">
        <f>'1. LDC Info'!$F$27-5</f>
        <v>2011</v>
      </c>
      <c r="C98" s="44" t="s">
        <v>113</v>
      </c>
      <c r="D98" s="523"/>
      <c r="E98" s="541"/>
      <c r="F98" s="523"/>
      <c r="G98" s="541"/>
      <c r="H98" s="545"/>
      <c r="I98" s="541"/>
      <c r="J98" s="545"/>
      <c r="K98" s="541"/>
      <c r="L98" s="523"/>
      <c r="M98" s="542"/>
      <c r="N98" s="541"/>
      <c r="O98" s="523"/>
      <c r="P98" s="542"/>
      <c r="Q98" s="541"/>
      <c r="R98" s="543"/>
      <c r="S98" s="542"/>
      <c r="T98" s="541"/>
      <c r="U98" s="545"/>
      <c r="V98" s="542"/>
      <c r="W98" s="541"/>
      <c r="X98" s="49"/>
      <c r="Y98" s="222"/>
      <c r="Z98" s="49"/>
      <c r="AA98" s="46"/>
    </row>
    <row r="99" spans="2:27" x14ac:dyDescent="0.2">
      <c r="B99" s="166">
        <f>'1. LDC Info'!$F$27-5</f>
        <v>2011</v>
      </c>
      <c r="C99" s="44" t="s">
        <v>114</v>
      </c>
      <c r="D99" s="523"/>
      <c r="E99" s="541"/>
      <c r="F99" s="523"/>
      <c r="G99" s="541"/>
      <c r="H99" s="545"/>
      <c r="I99" s="541"/>
      <c r="J99" s="545"/>
      <c r="K99" s="541"/>
      <c r="L99" s="523"/>
      <c r="M99" s="542"/>
      <c r="N99" s="541"/>
      <c r="O99" s="523"/>
      <c r="P99" s="542"/>
      <c r="Q99" s="541"/>
      <c r="R99" s="543"/>
      <c r="S99" s="542"/>
      <c r="T99" s="541"/>
      <c r="U99" s="545"/>
      <c r="V99" s="542"/>
      <c r="W99" s="541"/>
      <c r="X99" s="49"/>
      <c r="Y99" s="222"/>
      <c r="Z99" s="49"/>
      <c r="AA99" s="46"/>
    </row>
    <row r="100" spans="2:27" x14ac:dyDescent="0.2">
      <c r="B100" s="166">
        <f>'1. LDC Info'!$F$27-5</f>
        <v>2011</v>
      </c>
      <c r="C100" s="44" t="s">
        <v>115</v>
      </c>
      <c r="D100" s="523"/>
      <c r="E100" s="541"/>
      <c r="F100" s="523"/>
      <c r="G100" s="541"/>
      <c r="H100" s="545"/>
      <c r="I100" s="541"/>
      <c r="J100" s="545"/>
      <c r="K100" s="541"/>
      <c r="L100" s="523"/>
      <c r="M100" s="542"/>
      <c r="N100" s="541"/>
      <c r="O100" s="523"/>
      <c r="P100" s="542"/>
      <c r="Q100" s="541"/>
      <c r="R100" s="543"/>
      <c r="S100" s="542"/>
      <c r="T100" s="541"/>
      <c r="U100" s="545"/>
      <c r="V100" s="542"/>
      <c r="W100" s="541"/>
      <c r="X100" s="49"/>
      <c r="Y100" s="222"/>
      <c r="Z100" s="49"/>
      <c r="AA100" s="46"/>
    </row>
    <row r="101" spans="2:27" x14ac:dyDescent="0.2">
      <c r="B101" s="166">
        <f>'1. LDC Info'!$F$27-5</f>
        <v>2011</v>
      </c>
      <c r="C101" s="44" t="s">
        <v>116</v>
      </c>
      <c r="D101" s="523"/>
      <c r="E101" s="541"/>
      <c r="F101" s="523"/>
      <c r="G101" s="541"/>
      <c r="H101" s="545"/>
      <c r="I101" s="541"/>
      <c r="J101" s="545"/>
      <c r="K101" s="541"/>
      <c r="L101" s="523"/>
      <c r="M101" s="542"/>
      <c r="N101" s="541"/>
      <c r="O101" s="523"/>
      <c r="P101" s="542"/>
      <c r="Q101" s="541"/>
      <c r="R101" s="543"/>
      <c r="S101" s="542"/>
      <c r="T101" s="541"/>
      <c r="U101" s="545"/>
      <c r="V101" s="542"/>
      <c r="W101" s="541"/>
      <c r="X101" s="49"/>
      <c r="Y101" s="222"/>
      <c r="Z101" s="49"/>
      <c r="AA101" s="46"/>
    </row>
    <row r="102" spans="2:27" x14ac:dyDescent="0.2">
      <c r="B102" s="166">
        <f>'1. LDC Info'!$F$27-5</f>
        <v>2011</v>
      </c>
      <c r="C102" s="44" t="s">
        <v>117</v>
      </c>
      <c r="D102" s="523"/>
      <c r="E102" s="541"/>
      <c r="F102" s="523"/>
      <c r="G102" s="541"/>
      <c r="H102" s="545"/>
      <c r="I102" s="541"/>
      <c r="J102" s="545"/>
      <c r="K102" s="541"/>
      <c r="L102" s="523"/>
      <c r="M102" s="542"/>
      <c r="N102" s="541"/>
      <c r="O102" s="523"/>
      <c r="P102" s="542"/>
      <c r="Q102" s="541"/>
      <c r="R102" s="543"/>
      <c r="S102" s="542"/>
      <c r="T102" s="541"/>
      <c r="U102" s="545"/>
      <c r="V102" s="542"/>
      <c r="W102" s="541"/>
      <c r="X102" s="49"/>
      <c r="Y102" s="222"/>
      <c r="Z102" s="49"/>
      <c r="AA102" s="46"/>
    </row>
    <row r="103" spans="2:27" x14ac:dyDescent="0.2">
      <c r="B103" s="166">
        <f>'1. LDC Info'!$F$27-5</f>
        <v>2011</v>
      </c>
      <c r="C103" s="44" t="s">
        <v>118</v>
      </c>
      <c r="D103" s="523"/>
      <c r="E103" s="541"/>
      <c r="F103" s="523"/>
      <c r="G103" s="541"/>
      <c r="H103" s="545"/>
      <c r="I103" s="541"/>
      <c r="J103" s="545"/>
      <c r="K103" s="541"/>
      <c r="L103" s="523"/>
      <c r="M103" s="542"/>
      <c r="N103" s="541"/>
      <c r="O103" s="523"/>
      <c r="P103" s="542"/>
      <c r="Q103" s="541"/>
      <c r="R103" s="543"/>
      <c r="S103" s="542"/>
      <c r="T103" s="541"/>
      <c r="U103" s="545"/>
      <c r="V103" s="542"/>
      <c r="W103" s="541"/>
      <c r="X103" s="49"/>
      <c r="Y103" s="222"/>
      <c r="Z103" s="49"/>
      <c r="AA103" s="46"/>
    </row>
    <row r="104" spans="2:27" x14ac:dyDescent="0.2">
      <c r="B104" s="166">
        <f>'1. LDC Info'!$F$27-5</f>
        <v>2011</v>
      </c>
      <c r="C104" s="44" t="s">
        <v>119</v>
      </c>
      <c r="D104" s="523"/>
      <c r="E104" s="541"/>
      <c r="F104" s="523"/>
      <c r="G104" s="541"/>
      <c r="H104" s="545"/>
      <c r="I104" s="541"/>
      <c r="J104" s="545"/>
      <c r="K104" s="541"/>
      <c r="L104" s="523"/>
      <c r="M104" s="542"/>
      <c r="N104" s="541"/>
      <c r="O104" s="523"/>
      <c r="P104" s="542"/>
      <c r="Q104" s="541"/>
      <c r="R104" s="543"/>
      <c r="S104" s="542"/>
      <c r="T104" s="541"/>
      <c r="U104" s="545"/>
      <c r="V104" s="542"/>
      <c r="W104" s="541"/>
      <c r="X104" s="49"/>
      <c r="Y104" s="222"/>
      <c r="Z104" s="49"/>
      <c r="AA104" s="46"/>
    </row>
    <row r="105" spans="2:27" x14ac:dyDescent="0.2">
      <c r="B105" s="166">
        <f>'1. LDC Info'!$F$27-5</f>
        <v>2011</v>
      </c>
      <c r="C105" s="44" t="s">
        <v>109</v>
      </c>
      <c r="D105" s="523"/>
      <c r="E105" s="541"/>
      <c r="F105" s="523"/>
      <c r="G105" s="541"/>
      <c r="H105" s="545"/>
      <c r="I105" s="541"/>
      <c r="J105" s="545"/>
      <c r="K105" s="541"/>
      <c r="L105" s="523"/>
      <c r="M105" s="542"/>
      <c r="N105" s="541"/>
      <c r="O105" s="523"/>
      <c r="P105" s="542"/>
      <c r="Q105" s="541"/>
      <c r="R105" s="543"/>
      <c r="S105" s="542"/>
      <c r="T105" s="541"/>
      <c r="U105" s="545"/>
      <c r="V105" s="542"/>
      <c r="W105" s="541"/>
      <c r="X105" s="49"/>
      <c r="Y105" s="222"/>
      <c r="Z105" s="49"/>
      <c r="AA105" s="46"/>
    </row>
    <row r="106" spans="2:27" x14ac:dyDescent="0.2">
      <c r="B106" s="166">
        <f>'1. LDC Info'!$F$27-5</f>
        <v>2011</v>
      </c>
      <c r="C106" s="44" t="s">
        <v>110</v>
      </c>
      <c r="D106" s="523"/>
      <c r="E106" s="541"/>
      <c r="F106" s="523"/>
      <c r="G106" s="541"/>
      <c r="H106" s="545"/>
      <c r="I106" s="541"/>
      <c r="J106" s="545"/>
      <c r="K106" s="541"/>
      <c r="L106" s="523"/>
      <c r="M106" s="542"/>
      <c r="N106" s="541"/>
      <c r="O106" s="523"/>
      <c r="P106" s="542"/>
      <c r="Q106" s="541"/>
      <c r="R106" s="543"/>
      <c r="S106" s="542"/>
      <c r="T106" s="541"/>
      <c r="U106" s="545"/>
      <c r="V106" s="542"/>
      <c r="W106" s="541"/>
      <c r="X106" s="49"/>
      <c r="Y106" s="222"/>
      <c r="Z106" s="49"/>
      <c r="AA106" s="46"/>
    </row>
    <row r="107" spans="2:27" x14ac:dyDescent="0.2">
      <c r="B107" s="166">
        <f>'1. LDC Info'!$F$27-5</f>
        <v>2011</v>
      </c>
      <c r="C107" s="44" t="s">
        <v>111</v>
      </c>
      <c r="D107" s="523"/>
      <c r="E107" s="541"/>
      <c r="F107" s="523"/>
      <c r="G107" s="541"/>
      <c r="H107" s="545"/>
      <c r="I107" s="541"/>
      <c r="J107" s="545"/>
      <c r="K107" s="541"/>
      <c r="L107" s="523"/>
      <c r="M107" s="542"/>
      <c r="N107" s="541"/>
      <c r="O107" s="523"/>
      <c r="P107" s="542"/>
      <c r="Q107" s="541"/>
      <c r="R107" s="543"/>
      <c r="S107" s="542"/>
      <c r="T107" s="541"/>
      <c r="U107" s="545"/>
      <c r="V107" s="542"/>
      <c r="W107" s="541"/>
      <c r="X107" s="49"/>
      <c r="Y107" s="222"/>
      <c r="Z107" s="49"/>
      <c r="AA107" s="46"/>
    </row>
    <row r="108" spans="2:27" x14ac:dyDescent="0.2">
      <c r="B108" s="166">
        <f>'1. LDC Info'!$F$27-5</f>
        <v>2011</v>
      </c>
      <c r="C108" s="44" t="s">
        <v>108</v>
      </c>
      <c r="D108" s="523">
        <v>79270519.859999999</v>
      </c>
      <c r="E108" s="541">
        <v>9030</v>
      </c>
      <c r="F108" s="523">
        <v>32279016.170000002</v>
      </c>
      <c r="G108" s="541">
        <v>1370</v>
      </c>
      <c r="H108" s="543">
        <v>469307.04</v>
      </c>
      <c r="I108" s="541">
        <v>20</v>
      </c>
      <c r="J108" s="543"/>
      <c r="K108" s="541"/>
      <c r="L108" s="523">
        <v>74853997.430000007</v>
      </c>
      <c r="M108" s="542">
        <v>203575</v>
      </c>
      <c r="N108" s="541">
        <v>145</v>
      </c>
      <c r="O108" s="523">
        <v>2458955</v>
      </c>
      <c r="P108" s="542">
        <v>6840</v>
      </c>
      <c r="Q108" s="541">
        <v>2769</v>
      </c>
      <c r="R108" s="543">
        <v>270899.02</v>
      </c>
      <c r="S108" s="542">
        <v>734</v>
      </c>
      <c r="T108" s="541">
        <v>209</v>
      </c>
      <c r="U108" s="543"/>
      <c r="V108" s="542"/>
      <c r="W108" s="541"/>
      <c r="X108" s="49"/>
      <c r="Y108" s="222"/>
      <c r="Z108" s="49"/>
      <c r="AA108" s="46"/>
    </row>
    <row r="109" spans="2:27" x14ac:dyDescent="0.2">
      <c r="B109" s="166">
        <f>'1. LDC Info'!$F$27-4</f>
        <v>2012</v>
      </c>
      <c r="C109" s="44" t="s">
        <v>112</v>
      </c>
      <c r="D109" s="543"/>
      <c r="E109" s="541">
        <v>9037</v>
      </c>
      <c r="F109" s="543"/>
      <c r="G109" s="541">
        <v>1372</v>
      </c>
      <c r="H109" s="545"/>
      <c r="I109" s="541">
        <v>20</v>
      </c>
      <c r="J109" s="545"/>
      <c r="K109" s="541"/>
      <c r="L109" s="523"/>
      <c r="M109" s="542"/>
      <c r="N109" s="541">
        <v>146</v>
      </c>
      <c r="O109" s="523">
        <v>262300.84999999998</v>
      </c>
      <c r="P109" s="542">
        <v>564.4</v>
      </c>
      <c r="Q109" s="541">
        <v>2769</v>
      </c>
      <c r="R109" s="543"/>
      <c r="S109" s="542"/>
      <c r="T109" s="541">
        <v>209</v>
      </c>
      <c r="U109" s="545"/>
      <c r="V109" s="542"/>
      <c r="W109" s="541"/>
      <c r="X109" s="49"/>
      <c r="Y109" s="222"/>
      <c r="Z109" s="49"/>
      <c r="AA109" s="46"/>
    </row>
    <row r="110" spans="2:27" x14ac:dyDescent="0.2">
      <c r="B110" s="166">
        <f>'1. LDC Info'!$F$27-4</f>
        <v>2012</v>
      </c>
      <c r="C110" s="44" t="s">
        <v>113</v>
      </c>
      <c r="D110" s="543"/>
      <c r="E110" s="541">
        <v>9044</v>
      </c>
      <c r="F110" s="543"/>
      <c r="G110" s="541">
        <v>1368</v>
      </c>
      <c r="H110" s="545"/>
      <c r="I110" s="541">
        <v>20</v>
      </c>
      <c r="J110" s="545"/>
      <c r="K110" s="541"/>
      <c r="L110" s="523"/>
      <c r="M110" s="542"/>
      <c r="N110" s="541">
        <v>144</v>
      </c>
      <c r="O110" s="523">
        <v>255592.26</v>
      </c>
      <c r="P110" s="542">
        <v>564.29999999999995</v>
      </c>
      <c r="Q110" s="541">
        <v>2779</v>
      </c>
      <c r="R110" s="543"/>
      <c r="S110" s="542"/>
      <c r="T110" s="541">
        <v>209</v>
      </c>
      <c r="U110" s="545"/>
      <c r="V110" s="542"/>
      <c r="W110" s="541"/>
      <c r="X110" s="49"/>
      <c r="Y110" s="222"/>
      <c r="Z110" s="49"/>
      <c r="AA110" s="46"/>
    </row>
    <row r="111" spans="2:27" x14ac:dyDescent="0.2">
      <c r="B111" s="166">
        <f>'1. LDC Info'!$F$27-4</f>
        <v>2012</v>
      </c>
      <c r="C111" s="44" t="s">
        <v>114</v>
      </c>
      <c r="D111" s="543"/>
      <c r="E111" s="541">
        <v>9046</v>
      </c>
      <c r="F111" s="543"/>
      <c r="G111" s="541">
        <v>1369</v>
      </c>
      <c r="H111" s="545"/>
      <c r="I111" s="541">
        <v>20</v>
      </c>
      <c r="J111" s="545"/>
      <c r="K111" s="541"/>
      <c r="L111" s="523"/>
      <c r="M111" s="542"/>
      <c r="N111" s="541">
        <v>143</v>
      </c>
      <c r="O111" s="523">
        <v>220039.72</v>
      </c>
      <c r="P111" s="542">
        <v>564.29999999999995</v>
      </c>
      <c r="Q111" s="541">
        <v>2779</v>
      </c>
      <c r="R111" s="543"/>
      <c r="S111" s="542"/>
      <c r="T111" s="541">
        <v>208</v>
      </c>
      <c r="U111" s="545"/>
      <c r="V111" s="542"/>
      <c r="W111" s="541"/>
      <c r="X111" s="49"/>
      <c r="Y111" s="222"/>
      <c r="Z111" s="49"/>
      <c r="AA111" s="46"/>
    </row>
    <row r="112" spans="2:27" x14ac:dyDescent="0.2">
      <c r="B112" s="166">
        <f>'1. LDC Info'!$F$27-4</f>
        <v>2012</v>
      </c>
      <c r="C112" s="44" t="s">
        <v>115</v>
      </c>
      <c r="D112" s="543"/>
      <c r="E112" s="541">
        <v>9048</v>
      </c>
      <c r="F112" s="543"/>
      <c r="G112" s="541">
        <v>1369</v>
      </c>
      <c r="H112" s="545"/>
      <c r="I112" s="541">
        <v>20</v>
      </c>
      <c r="J112" s="545"/>
      <c r="K112" s="541"/>
      <c r="L112" s="523"/>
      <c r="M112" s="542"/>
      <c r="N112" s="541">
        <v>144</v>
      </c>
      <c r="O112" s="523">
        <v>210681.33</v>
      </c>
      <c r="P112" s="542">
        <v>564.29999999999995</v>
      </c>
      <c r="Q112" s="541">
        <v>2779</v>
      </c>
      <c r="R112" s="543"/>
      <c r="S112" s="542"/>
      <c r="T112" s="541">
        <v>208</v>
      </c>
      <c r="U112" s="545"/>
      <c r="V112" s="542"/>
      <c r="W112" s="541"/>
      <c r="X112" s="49"/>
      <c r="Y112" s="222"/>
      <c r="Z112" s="49"/>
      <c r="AA112" s="46"/>
    </row>
    <row r="113" spans="2:27" x14ac:dyDescent="0.2">
      <c r="B113" s="166">
        <f>'1. LDC Info'!$F$27-4</f>
        <v>2012</v>
      </c>
      <c r="C113" s="44" t="s">
        <v>116</v>
      </c>
      <c r="D113" s="543"/>
      <c r="E113" s="541">
        <v>9050</v>
      </c>
      <c r="F113" s="543"/>
      <c r="G113" s="541">
        <v>1369</v>
      </c>
      <c r="H113" s="545"/>
      <c r="I113" s="541">
        <v>20</v>
      </c>
      <c r="J113" s="545"/>
      <c r="K113" s="541"/>
      <c r="L113" s="523"/>
      <c r="M113" s="542"/>
      <c r="N113" s="541">
        <v>144</v>
      </c>
      <c r="O113" s="523">
        <v>178655.89</v>
      </c>
      <c r="P113" s="542">
        <v>564.29999999999995</v>
      </c>
      <c r="Q113" s="541">
        <v>2779</v>
      </c>
      <c r="R113" s="543"/>
      <c r="S113" s="542"/>
      <c r="T113" s="541">
        <v>208</v>
      </c>
      <c r="U113" s="545"/>
      <c r="V113" s="542"/>
      <c r="W113" s="541"/>
      <c r="X113" s="49"/>
      <c r="Y113" s="222"/>
      <c r="Z113" s="49"/>
      <c r="AA113" s="46"/>
    </row>
    <row r="114" spans="2:27" x14ac:dyDescent="0.2">
      <c r="B114" s="166">
        <f>'1. LDC Info'!$F$27-4</f>
        <v>2012</v>
      </c>
      <c r="C114" s="44" t="s">
        <v>117</v>
      </c>
      <c r="D114" s="543"/>
      <c r="E114" s="541">
        <v>9054</v>
      </c>
      <c r="F114" s="543"/>
      <c r="G114" s="541">
        <v>1367</v>
      </c>
      <c r="H114" s="545"/>
      <c r="I114" s="541">
        <v>20</v>
      </c>
      <c r="J114" s="545"/>
      <c r="K114" s="541"/>
      <c r="L114" s="523"/>
      <c r="M114" s="542"/>
      <c r="N114" s="541">
        <v>144</v>
      </c>
      <c r="O114" s="523">
        <v>162265.57999999999</v>
      </c>
      <c r="P114" s="542">
        <v>564.1</v>
      </c>
      <c r="Q114" s="541">
        <v>2779</v>
      </c>
      <c r="R114" s="543"/>
      <c r="S114" s="542"/>
      <c r="T114" s="541">
        <v>208</v>
      </c>
      <c r="U114" s="545"/>
      <c r="V114" s="542"/>
      <c r="W114" s="541"/>
      <c r="X114" s="49"/>
      <c r="Y114" s="222"/>
      <c r="Z114" s="49"/>
      <c r="AA114" s="46"/>
    </row>
    <row r="115" spans="2:27" x14ac:dyDescent="0.2">
      <c r="B115" s="166">
        <f>'1. LDC Info'!$F$27-4</f>
        <v>2012</v>
      </c>
      <c r="C115" s="44" t="s">
        <v>118</v>
      </c>
      <c r="D115" s="543"/>
      <c r="E115" s="541">
        <v>9065</v>
      </c>
      <c r="F115" s="543"/>
      <c r="G115" s="541">
        <v>1364</v>
      </c>
      <c r="H115" s="545"/>
      <c r="I115" s="541">
        <v>20</v>
      </c>
      <c r="J115" s="545"/>
      <c r="K115" s="541"/>
      <c r="L115" s="523"/>
      <c r="M115" s="542"/>
      <c r="N115" s="541">
        <v>144</v>
      </c>
      <c r="O115" s="523">
        <v>146176.49</v>
      </c>
      <c r="P115" s="542">
        <v>564.1</v>
      </c>
      <c r="Q115" s="541">
        <v>2779</v>
      </c>
      <c r="R115" s="543"/>
      <c r="S115" s="542"/>
      <c r="T115" s="541">
        <v>208</v>
      </c>
      <c r="U115" s="545"/>
      <c r="V115" s="542"/>
      <c r="W115" s="541"/>
      <c r="X115" s="49"/>
      <c r="Y115" s="222"/>
      <c r="Z115" s="49"/>
      <c r="AA115" s="46"/>
    </row>
    <row r="116" spans="2:27" x14ac:dyDescent="0.2">
      <c r="B116" s="166">
        <f>'1. LDC Info'!$F$27-4</f>
        <v>2012</v>
      </c>
      <c r="C116" s="44" t="s">
        <v>119</v>
      </c>
      <c r="D116" s="543"/>
      <c r="E116" s="541">
        <v>9087</v>
      </c>
      <c r="F116" s="543"/>
      <c r="G116" s="541">
        <v>1364</v>
      </c>
      <c r="H116" s="545"/>
      <c r="I116" s="541">
        <v>20</v>
      </c>
      <c r="J116" s="545"/>
      <c r="K116" s="541"/>
      <c r="L116" s="523"/>
      <c r="M116" s="542"/>
      <c r="N116" s="541">
        <v>144</v>
      </c>
      <c r="O116" s="523">
        <v>156711.39000000001</v>
      </c>
      <c r="P116" s="542">
        <v>563.79999999999995</v>
      </c>
      <c r="Q116" s="541">
        <v>2779</v>
      </c>
      <c r="R116" s="543"/>
      <c r="S116" s="542"/>
      <c r="T116" s="541">
        <v>208</v>
      </c>
      <c r="U116" s="545"/>
      <c r="V116" s="542"/>
      <c r="W116" s="541"/>
      <c r="X116" s="49"/>
      <c r="Y116" s="222"/>
      <c r="Z116" s="49"/>
      <c r="AA116" s="46"/>
    </row>
    <row r="117" spans="2:27" x14ac:dyDescent="0.2">
      <c r="B117" s="166">
        <f>'1. LDC Info'!$F$27-4</f>
        <v>2012</v>
      </c>
      <c r="C117" s="44" t="s">
        <v>109</v>
      </c>
      <c r="D117" s="543"/>
      <c r="E117" s="541">
        <v>9097</v>
      </c>
      <c r="F117" s="543"/>
      <c r="G117" s="541">
        <v>1360</v>
      </c>
      <c r="H117" s="545"/>
      <c r="I117" s="541">
        <v>20</v>
      </c>
      <c r="J117" s="545"/>
      <c r="K117" s="541"/>
      <c r="L117" s="523"/>
      <c r="M117" s="542"/>
      <c r="N117" s="541">
        <v>143</v>
      </c>
      <c r="O117" s="523">
        <v>176433.4</v>
      </c>
      <c r="P117" s="542">
        <v>563.70000000000005</v>
      </c>
      <c r="Q117" s="541">
        <v>2779</v>
      </c>
      <c r="R117" s="543"/>
      <c r="S117" s="542"/>
      <c r="T117" s="541">
        <v>208</v>
      </c>
      <c r="U117" s="545"/>
      <c r="V117" s="542"/>
      <c r="W117" s="541"/>
      <c r="X117" s="49"/>
      <c r="Y117" s="222"/>
      <c r="Z117" s="49"/>
      <c r="AA117" s="46"/>
    </row>
    <row r="118" spans="2:27" x14ac:dyDescent="0.2">
      <c r="B118" s="166">
        <f>'1. LDC Info'!$F$27-4</f>
        <v>2012</v>
      </c>
      <c r="C118" s="44" t="s">
        <v>110</v>
      </c>
      <c r="D118" s="543"/>
      <c r="E118" s="541">
        <v>9114</v>
      </c>
      <c r="F118" s="543"/>
      <c r="G118" s="541">
        <v>1359</v>
      </c>
      <c r="H118" s="545"/>
      <c r="I118" s="541">
        <v>20</v>
      </c>
      <c r="J118" s="545"/>
      <c r="K118" s="541"/>
      <c r="L118" s="523"/>
      <c r="M118" s="542"/>
      <c r="N118" s="541">
        <v>144</v>
      </c>
      <c r="O118" s="523">
        <v>194800.14</v>
      </c>
      <c r="P118" s="542">
        <v>563.70000000000005</v>
      </c>
      <c r="Q118" s="541">
        <v>2779</v>
      </c>
      <c r="R118" s="543"/>
      <c r="S118" s="542"/>
      <c r="T118" s="541">
        <v>208</v>
      </c>
      <c r="U118" s="545"/>
      <c r="V118" s="542"/>
      <c r="W118" s="541"/>
      <c r="X118" s="49"/>
      <c r="Y118" s="222"/>
      <c r="Z118" s="49"/>
      <c r="AA118" s="46"/>
    </row>
    <row r="119" spans="2:27" x14ac:dyDescent="0.2">
      <c r="B119" s="166">
        <f>'1. LDC Info'!$F$27-4</f>
        <v>2012</v>
      </c>
      <c r="C119" s="44" t="s">
        <v>111</v>
      </c>
      <c r="D119" s="543"/>
      <c r="E119" s="541">
        <v>9128</v>
      </c>
      <c r="F119" s="543"/>
      <c r="G119" s="541">
        <v>1354</v>
      </c>
      <c r="H119" s="545"/>
      <c r="I119" s="541">
        <v>20</v>
      </c>
      <c r="J119" s="545"/>
      <c r="K119" s="541"/>
      <c r="L119" s="523"/>
      <c r="M119" s="542"/>
      <c r="N119" s="541">
        <v>144</v>
      </c>
      <c r="O119" s="523">
        <v>227118.07999999999</v>
      </c>
      <c r="P119" s="542">
        <v>563.70000000000005</v>
      </c>
      <c r="Q119" s="541">
        <v>2779</v>
      </c>
      <c r="R119" s="543"/>
      <c r="S119" s="542"/>
      <c r="T119" s="541">
        <v>208</v>
      </c>
      <c r="U119" s="545"/>
      <c r="V119" s="542"/>
      <c r="W119" s="541"/>
      <c r="X119" s="49"/>
      <c r="Y119" s="222"/>
      <c r="Z119" s="49"/>
      <c r="AA119" s="46"/>
    </row>
    <row r="120" spans="2:27" x14ac:dyDescent="0.2">
      <c r="B120" s="166">
        <f>'1. LDC Info'!$F$27-4</f>
        <v>2012</v>
      </c>
      <c r="C120" s="44" t="s">
        <v>108</v>
      </c>
      <c r="D120" s="523">
        <v>78553743.920000002</v>
      </c>
      <c r="E120" s="541">
        <v>9136</v>
      </c>
      <c r="F120" s="523">
        <v>31948521.120000001</v>
      </c>
      <c r="G120" s="541">
        <v>1351</v>
      </c>
      <c r="H120" s="543">
        <v>448159.09</v>
      </c>
      <c r="I120" s="541">
        <v>20</v>
      </c>
      <c r="J120" s="543"/>
      <c r="K120" s="541"/>
      <c r="L120" s="523">
        <v>74516293.329999998</v>
      </c>
      <c r="M120" s="542">
        <v>207916</v>
      </c>
      <c r="N120" s="541">
        <v>144</v>
      </c>
      <c r="O120" s="523">
        <v>241914.81</v>
      </c>
      <c r="P120" s="542">
        <v>563.70000000000005</v>
      </c>
      <c r="Q120" s="541">
        <v>2780</v>
      </c>
      <c r="R120" s="543">
        <v>243747.31</v>
      </c>
      <c r="S120" s="542">
        <v>713</v>
      </c>
      <c r="T120" s="541">
        <v>208</v>
      </c>
      <c r="U120" s="543"/>
      <c r="V120" s="542"/>
      <c r="W120" s="541"/>
      <c r="X120" s="49"/>
      <c r="Y120" s="222"/>
      <c r="Z120" s="49"/>
      <c r="AA120" s="46"/>
    </row>
    <row r="121" spans="2:27" x14ac:dyDescent="0.2">
      <c r="B121" s="166">
        <f>'1. LDC Info'!$F$27-3</f>
        <v>2013</v>
      </c>
      <c r="C121" s="44" t="s">
        <v>112</v>
      </c>
      <c r="D121" s="543"/>
      <c r="E121" s="541">
        <v>9140</v>
      </c>
      <c r="F121" s="543"/>
      <c r="G121" s="541">
        <v>1343</v>
      </c>
      <c r="H121" s="544"/>
      <c r="I121" s="541">
        <v>20</v>
      </c>
      <c r="J121" s="544"/>
      <c r="K121" s="541"/>
      <c r="L121" s="523"/>
      <c r="M121" s="542"/>
      <c r="N121" s="541">
        <v>145</v>
      </c>
      <c r="O121" s="523">
        <v>261973.09</v>
      </c>
      <c r="P121" s="542">
        <v>563.6</v>
      </c>
      <c r="Q121" s="541">
        <v>2780</v>
      </c>
      <c r="R121" s="543"/>
      <c r="S121" s="542"/>
      <c r="T121" s="541">
        <v>208</v>
      </c>
      <c r="U121" s="544"/>
      <c r="V121" s="542"/>
      <c r="W121" s="541"/>
      <c r="X121" s="224"/>
      <c r="Y121" s="222"/>
      <c r="Z121" s="224"/>
      <c r="AA121" s="46"/>
    </row>
    <row r="122" spans="2:27" x14ac:dyDescent="0.2">
      <c r="B122" s="166">
        <f>'1. LDC Info'!$F$27-3</f>
        <v>2013</v>
      </c>
      <c r="C122" s="44" t="s">
        <v>113</v>
      </c>
      <c r="D122" s="543"/>
      <c r="E122" s="541">
        <v>9144</v>
      </c>
      <c r="F122" s="543"/>
      <c r="G122" s="541">
        <v>1342</v>
      </c>
      <c r="H122" s="544"/>
      <c r="I122" s="541">
        <v>20</v>
      </c>
      <c r="J122" s="544"/>
      <c r="K122" s="541"/>
      <c r="L122" s="523"/>
      <c r="M122" s="542"/>
      <c r="N122" s="541">
        <v>145</v>
      </c>
      <c r="O122" s="523">
        <v>255189.1</v>
      </c>
      <c r="P122" s="542">
        <v>563.4</v>
      </c>
      <c r="Q122" s="541">
        <v>2780</v>
      </c>
      <c r="R122" s="543"/>
      <c r="S122" s="542"/>
      <c r="T122" s="541">
        <v>208</v>
      </c>
      <c r="U122" s="544"/>
      <c r="V122" s="542"/>
      <c r="W122" s="541"/>
      <c r="X122" s="224"/>
      <c r="Y122" s="222"/>
      <c r="Z122" s="224"/>
      <c r="AA122" s="46"/>
    </row>
    <row r="123" spans="2:27" x14ac:dyDescent="0.2">
      <c r="B123" s="166">
        <f>'1. LDC Info'!$F$27-3</f>
        <v>2013</v>
      </c>
      <c r="C123" s="44" t="s">
        <v>114</v>
      </c>
      <c r="D123" s="543"/>
      <c r="E123" s="541">
        <v>9156</v>
      </c>
      <c r="F123" s="543"/>
      <c r="G123" s="541">
        <v>1340</v>
      </c>
      <c r="H123" s="544"/>
      <c r="I123" s="541">
        <v>20</v>
      </c>
      <c r="J123" s="544"/>
      <c r="K123" s="541"/>
      <c r="L123" s="523"/>
      <c r="M123" s="542"/>
      <c r="N123" s="541">
        <v>145</v>
      </c>
      <c r="O123" s="523">
        <v>212348.82</v>
      </c>
      <c r="P123" s="542">
        <v>563.1</v>
      </c>
      <c r="Q123" s="541">
        <v>2780</v>
      </c>
      <c r="R123" s="543"/>
      <c r="S123" s="542"/>
      <c r="T123" s="541">
        <v>205</v>
      </c>
      <c r="U123" s="544"/>
      <c r="V123" s="542"/>
      <c r="W123" s="541"/>
      <c r="X123" s="224"/>
      <c r="Y123" s="222"/>
      <c r="Z123" s="224"/>
      <c r="AA123" s="46"/>
    </row>
    <row r="124" spans="2:27" x14ac:dyDescent="0.2">
      <c r="B124" s="166">
        <f>'1. LDC Info'!$F$27-3</f>
        <v>2013</v>
      </c>
      <c r="C124" s="44" t="s">
        <v>115</v>
      </c>
      <c r="D124" s="543"/>
      <c r="E124" s="541">
        <v>9157</v>
      </c>
      <c r="F124" s="543"/>
      <c r="G124" s="541">
        <v>1339</v>
      </c>
      <c r="H124" s="544"/>
      <c r="I124" s="541">
        <v>20</v>
      </c>
      <c r="J124" s="544"/>
      <c r="K124" s="541"/>
      <c r="L124" s="523"/>
      <c r="M124" s="542"/>
      <c r="N124" s="541">
        <v>145</v>
      </c>
      <c r="O124" s="523">
        <v>210199.73</v>
      </c>
      <c r="P124" s="542">
        <v>563</v>
      </c>
      <c r="Q124" s="541">
        <v>2781</v>
      </c>
      <c r="R124" s="543"/>
      <c r="S124" s="542"/>
      <c r="T124" s="541">
        <v>205</v>
      </c>
      <c r="U124" s="544"/>
      <c r="V124" s="542"/>
      <c r="W124" s="541"/>
      <c r="X124" s="224"/>
      <c r="Y124" s="222"/>
      <c r="Z124" s="224"/>
      <c r="AA124" s="46"/>
    </row>
    <row r="125" spans="2:27" x14ac:dyDescent="0.2">
      <c r="B125" s="166">
        <f>'1. LDC Info'!$F$27-3</f>
        <v>2013</v>
      </c>
      <c r="C125" s="44" t="s">
        <v>116</v>
      </c>
      <c r="D125" s="543"/>
      <c r="E125" s="541">
        <v>9173</v>
      </c>
      <c r="F125" s="543"/>
      <c r="G125" s="541">
        <v>1336</v>
      </c>
      <c r="H125" s="544"/>
      <c r="I125" s="541">
        <v>20</v>
      </c>
      <c r="J125" s="544"/>
      <c r="K125" s="541"/>
      <c r="L125" s="523"/>
      <c r="M125" s="542"/>
      <c r="N125" s="541">
        <v>145</v>
      </c>
      <c r="O125" s="523">
        <v>178247.5</v>
      </c>
      <c r="P125" s="542">
        <v>563</v>
      </c>
      <c r="Q125" s="541">
        <v>2781</v>
      </c>
      <c r="R125" s="543"/>
      <c r="S125" s="542"/>
      <c r="T125" s="541">
        <v>205</v>
      </c>
      <c r="U125" s="544"/>
      <c r="V125" s="542"/>
      <c r="W125" s="541"/>
      <c r="X125" s="224"/>
      <c r="Y125" s="222"/>
      <c r="Z125" s="224"/>
      <c r="AA125" s="46"/>
    </row>
    <row r="126" spans="2:27" x14ac:dyDescent="0.2">
      <c r="B126" s="166">
        <f>'1. LDC Info'!$F$27-3</f>
        <v>2013</v>
      </c>
      <c r="C126" s="44" t="s">
        <v>117</v>
      </c>
      <c r="D126" s="543"/>
      <c r="E126" s="541">
        <v>9192</v>
      </c>
      <c r="F126" s="543"/>
      <c r="G126" s="541">
        <v>1334</v>
      </c>
      <c r="H126" s="544"/>
      <c r="I126" s="541">
        <v>20</v>
      </c>
      <c r="J126" s="544"/>
      <c r="K126" s="541"/>
      <c r="L126" s="523"/>
      <c r="M126" s="542"/>
      <c r="N126" s="541">
        <v>145</v>
      </c>
      <c r="O126" s="523">
        <v>161908.87</v>
      </c>
      <c r="P126" s="542">
        <v>562.79999999999995</v>
      </c>
      <c r="Q126" s="541">
        <v>2781</v>
      </c>
      <c r="R126" s="543"/>
      <c r="S126" s="542"/>
      <c r="T126" s="541">
        <v>205</v>
      </c>
      <c r="U126" s="544"/>
      <c r="V126" s="542"/>
      <c r="W126" s="541"/>
      <c r="X126" s="224"/>
      <c r="Y126" s="222"/>
      <c r="Z126" s="224"/>
      <c r="AA126" s="46"/>
    </row>
    <row r="127" spans="2:27" x14ac:dyDescent="0.2">
      <c r="B127" s="166">
        <f>'1. LDC Info'!$F$27-3</f>
        <v>2013</v>
      </c>
      <c r="C127" s="44" t="s">
        <v>118</v>
      </c>
      <c r="D127" s="543"/>
      <c r="E127" s="541">
        <v>9204</v>
      </c>
      <c r="F127" s="543"/>
      <c r="G127" s="541">
        <v>1330</v>
      </c>
      <c r="H127" s="544"/>
      <c r="I127" s="541">
        <v>20</v>
      </c>
      <c r="J127" s="544"/>
      <c r="K127" s="541"/>
      <c r="L127" s="523"/>
      <c r="M127" s="542"/>
      <c r="N127" s="541">
        <v>145</v>
      </c>
      <c r="O127" s="523">
        <v>145891.69</v>
      </c>
      <c r="P127" s="542">
        <v>562.79999999999995</v>
      </c>
      <c r="Q127" s="541">
        <v>2790</v>
      </c>
      <c r="R127" s="543"/>
      <c r="S127" s="542"/>
      <c r="T127" s="541">
        <v>205</v>
      </c>
      <c r="U127" s="544"/>
      <c r="V127" s="542"/>
      <c r="W127" s="541"/>
      <c r="X127" s="224"/>
      <c r="Y127" s="222"/>
      <c r="Z127" s="224"/>
      <c r="AA127" s="46"/>
    </row>
    <row r="128" spans="2:27" x14ac:dyDescent="0.2">
      <c r="B128" s="166">
        <f>'1. LDC Info'!$F$27-3</f>
        <v>2013</v>
      </c>
      <c r="C128" s="44" t="s">
        <v>119</v>
      </c>
      <c r="D128" s="543"/>
      <c r="E128" s="541">
        <v>9210</v>
      </c>
      <c r="F128" s="543"/>
      <c r="G128" s="541">
        <v>1325</v>
      </c>
      <c r="H128" s="544"/>
      <c r="I128" s="541">
        <v>20</v>
      </c>
      <c r="J128" s="544"/>
      <c r="K128" s="541"/>
      <c r="L128" s="523"/>
      <c r="M128" s="542"/>
      <c r="N128" s="541">
        <v>144</v>
      </c>
      <c r="O128" s="523">
        <v>156688.64000000001</v>
      </c>
      <c r="P128" s="542">
        <v>565.1</v>
      </c>
      <c r="Q128" s="541">
        <v>2790</v>
      </c>
      <c r="R128" s="543"/>
      <c r="S128" s="542"/>
      <c r="T128" s="541">
        <v>205</v>
      </c>
      <c r="U128" s="544"/>
      <c r="V128" s="542"/>
      <c r="W128" s="541"/>
      <c r="X128" s="224"/>
      <c r="Y128" s="222"/>
      <c r="Z128" s="224"/>
      <c r="AA128" s="46"/>
    </row>
    <row r="129" spans="2:27" x14ac:dyDescent="0.2">
      <c r="B129" s="166">
        <f>'1. LDC Info'!$F$27-3</f>
        <v>2013</v>
      </c>
      <c r="C129" s="44" t="s">
        <v>109</v>
      </c>
      <c r="D129" s="543"/>
      <c r="E129" s="541">
        <v>9217</v>
      </c>
      <c r="F129" s="543"/>
      <c r="G129" s="541">
        <v>1325</v>
      </c>
      <c r="H129" s="544"/>
      <c r="I129" s="541">
        <v>20</v>
      </c>
      <c r="J129" s="544"/>
      <c r="K129" s="541"/>
      <c r="L129" s="523"/>
      <c r="M129" s="542"/>
      <c r="N129" s="541">
        <v>145</v>
      </c>
      <c r="O129" s="523">
        <v>176876.16</v>
      </c>
      <c r="P129" s="542">
        <v>565.1</v>
      </c>
      <c r="Q129" s="541">
        <v>2794</v>
      </c>
      <c r="R129" s="543"/>
      <c r="S129" s="542"/>
      <c r="T129" s="541">
        <v>205</v>
      </c>
      <c r="U129" s="544"/>
      <c r="V129" s="542"/>
      <c r="W129" s="541"/>
      <c r="X129" s="224"/>
      <c r="Y129" s="222"/>
      <c r="Z129" s="224"/>
      <c r="AA129" s="46"/>
    </row>
    <row r="130" spans="2:27" x14ac:dyDescent="0.2">
      <c r="B130" s="166">
        <f>'1. LDC Info'!$F$27-3</f>
        <v>2013</v>
      </c>
      <c r="C130" s="44" t="s">
        <v>110</v>
      </c>
      <c r="D130" s="543"/>
      <c r="E130" s="541">
        <v>9230</v>
      </c>
      <c r="F130" s="543"/>
      <c r="G130" s="541">
        <v>1325</v>
      </c>
      <c r="H130" s="544"/>
      <c r="I130" s="541">
        <v>20</v>
      </c>
      <c r="J130" s="544"/>
      <c r="K130" s="541"/>
      <c r="L130" s="523"/>
      <c r="M130" s="542"/>
      <c r="N130" s="541">
        <v>146</v>
      </c>
      <c r="O130" s="523">
        <v>195222.49</v>
      </c>
      <c r="P130" s="542">
        <v>565</v>
      </c>
      <c r="Q130" s="541">
        <v>2794</v>
      </c>
      <c r="R130" s="543"/>
      <c r="S130" s="542"/>
      <c r="T130" s="541">
        <v>205</v>
      </c>
      <c r="U130" s="544"/>
      <c r="V130" s="542"/>
      <c r="W130" s="541"/>
      <c r="X130" s="224"/>
      <c r="Y130" s="222"/>
      <c r="Z130" s="224"/>
      <c r="AA130" s="46"/>
    </row>
    <row r="131" spans="2:27" x14ac:dyDescent="0.2">
      <c r="B131" s="166">
        <f>'1. LDC Info'!$F$27-3</f>
        <v>2013</v>
      </c>
      <c r="C131" s="44" t="s">
        <v>111</v>
      </c>
      <c r="D131" s="543"/>
      <c r="E131" s="541">
        <v>9245</v>
      </c>
      <c r="F131" s="543"/>
      <c r="G131" s="541">
        <v>1323</v>
      </c>
      <c r="H131" s="544"/>
      <c r="I131" s="541">
        <v>20</v>
      </c>
      <c r="J131" s="544"/>
      <c r="K131" s="541"/>
      <c r="L131" s="523"/>
      <c r="M131" s="542"/>
      <c r="N131" s="541">
        <v>146</v>
      </c>
      <c r="O131" s="523">
        <v>227442.43</v>
      </c>
      <c r="P131" s="542">
        <v>564.5</v>
      </c>
      <c r="Q131" s="541">
        <v>2794</v>
      </c>
      <c r="R131" s="543"/>
      <c r="S131" s="542"/>
      <c r="T131" s="541">
        <v>205</v>
      </c>
      <c r="U131" s="544"/>
      <c r="V131" s="542"/>
      <c r="W131" s="541"/>
      <c r="X131" s="224"/>
      <c r="Y131" s="222"/>
      <c r="Z131" s="224"/>
      <c r="AA131" s="46"/>
    </row>
    <row r="132" spans="2:27" x14ac:dyDescent="0.2">
      <c r="B132" s="166">
        <f>'1. LDC Info'!$F$27-3</f>
        <v>2013</v>
      </c>
      <c r="C132" s="44" t="s">
        <v>108</v>
      </c>
      <c r="D132" s="523">
        <v>80138213.859999999</v>
      </c>
      <c r="E132" s="541">
        <v>9250</v>
      </c>
      <c r="F132" s="523">
        <v>31708039.23</v>
      </c>
      <c r="G132" s="541">
        <v>1322</v>
      </c>
      <c r="H132" s="543">
        <v>453470.7</v>
      </c>
      <c r="I132" s="541">
        <v>20</v>
      </c>
      <c r="J132" s="543"/>
      <c r="K132" s="541"/>
      <c r="L132" s="523">
        <v>73596923.409999996</v>
      </c>
      <c r="M132" s="542">
        <v>216501</v>
      </c>
      <c r="N132" s="541">
        <v>146</v>
      </c>
      <c r="O132" s="523">
        <v>242260.29</v>
      </c>
      <c r="P132" s="542">
        <v>564.5</v>
      </c>
      <c r="Q132" s="541">
        <v>2794</v>
      </c>
      <c r="R132" s="543">
        <v>270899.02</v>
      </c>
      <c r="S132" s="542">
        <v>700</v>
      </c>
      <c r="T132" s="541">
        <v>205</v>
      </c>
      <c r="U132" s="543"/>
      <c r="V132" s="542"/>
      <c r="W132" s="541"/>
      <c r="X132" s="224"/>
      <c r="Y132" s="222"/>
      <c r="Z132" s="224"/>
      <c r="AA132" s="46"/>
    </row>
    <row r="133" spans="2:27" x14ac:dyDescent="0.2">
      <c r="B133" s="166">
        <f>'1. LDC Info'!$F$27-2</f>
        <v>2014</v>
      </c>
      <c r="C133" s="44" t="s">
        <v>112</v>
      </c>
      <c r="D133" s="543"/>
      <c r="E133" s="541">
        <v>9252</v>
      </c>
      <c r="F133" s="543"/>
      <c r="G133" s="541">
        <v>1321</v>
      </c>
      <c r="H133" s="544"/>
      <c r="I133" s="541">
        <v>20</v>
      </c>
      <c r="J133" s="544"/>
      <c r="K133" s="541"/>
      <c r="L133" s="523"/>
      <c r="M133" s="542"/>
      <c r="N133" s="541">
        <v>146</v>
      </c>
      <c r="O133" s="523">
        <v>262421.65999999997</v>
      </c>
      <c r="P133" s="542">
        <v>564.6</v>
      </c>
      <c r="Q133" s="541">
        <v>2794</v>
      </c>
      <c r="R133" s="543"/>
      <c r="S133" s="542"/>
      <c r="T133" s="541">
        <v>206</v>
      </c>
      <c r="U133" s="544"/>
      <c r="V133" s="542"/>
      <c r="W133" s="541"/>
      <c r="X133" s="224"/>
      <c r="Y133" s="222"/>
      <c r="Z133" s="224"/>
      <c r="AA133" s="46"/>
    </row>
    <row r="134" spans="2:27" x14ac:dyDescent="0.2">
      <c r="B134" s="166">
        <f>'1. LDC Info'!$F$27-2</f>
        <v>2014</v>
      </c>
      <c r="C134" s="44" t="s">
        <v>113</v>
      </c>
      <c r="D134" s="543"/>
      <c r="E134" s="541">
        <v>9258</v>
      </c>
      <c r="F134" s="543"/>
      <c r="G134" s="541">
        <v>1320</v>
      </c>
      <c r="H134" s="544"/>
      <c r="I134" s="541">
        <v>20</v>
      </c>
      <c r="J134" s="544"/>
      <c r="K134" s="541"/>
      <c r="L134" s="523"/>
      <c r="M134" s="542"/>
      <c r="N134" s="541">
        <v>146</v>
      </c>
      <c r="O134" s="523">
        <v>255671.08</v>
      </c>
      <c r="P134" s="542">
        <v>564.6</v>
      </c>
      <c r="Q134" s="541">
        <v>2794</v>
      </c>
      <c r="R134" s="543"/>
      <c r="S134" s="542"/>
      <c r="T134" s="541">
        <v>206</v>
      </c>
      <c r="U134" s="544"/>
      <c r="V134" s="542"/>
      <c r="W134" s="541"/>
      <c r="X134" s="224"/>
      <c r="Y134" s="222"/>
      <c r="Z134" s="224"/>
      <c r="AA134" s="46"/>
    </row>
    <row r="135" spans="2:27" x14ac:dyDescent="0.2">
      <c r="B135" s="166">
        <f>'1. LDC Info'!$F$27-2</f>
        <v>2014</v>
      </c>
      <c r="C135" s="44" t="s">
        <v>114</v>
      </c>
      <c r="D135" s="543"/>
      <c r="E135" s="541">
        <v>9259</v>
      </c>
      <c r="F135" s="543"/>
      <c r="G135" s="541">
        <v>1318</v>
      </c>
      <c r="H135" s="544"/>
      <c r="I135" s="541">
        <v>20</v>
      </c>
      <c r="J135" s="544"/>
      <c r="K135" s="541"/>
      <c r="L135" s="523"/>
      <c r="M135" s="542"/>
      <c r="N135" s="541">
        <v>146</v>
      </c>
      <c r="O135" s="523">
        <v>212844.69</v>
      </c>
      <c r="P135" s="542">
        <v>564.5</v>
      </c>
      <c r="Q135" s="541">
        <v>2794</v>
      </c>
      <c r="R135" s="543"/>
      <c r="S135" s="542"/>
      <c r="T135" s="541">
        <v>206</v>
      </c>
      <c r="U135" s="544"/>
      <c r="V135" s="542"/>
      <c r="W135" s="541"/>
      <c r="X135" s="224"/>
      <c r="Y135" s="222"/>
      <c r="Z135" s="224"/>
      <c r="AA135" s="46"/>
    </row>
    <row r="136" spans="2:27" x14ac:dyDescent="0.2">
      <c r="B136" s="166">
        <f>'1. LDC Info'!$F$27-2</f>
        <v>2014</v>
      </c>
      <c r="C136" s="44" t="s">
        <v>115</v>
      </c>
      <c r="D136" s="543"/>
      <c r="E136" s="541">
        <v>9263</v>
      </c>
      <c r="F136" s="543"/>
      <c r="G136" s="541">
        <v>1316</v>
      </c>
      <c r="H136" s="544"/>
      <c r="I136" s="541">
        <v>20</v>
      </c>
      <c r="J136" s="544"/>
      <c r="K136" s="541"/>
      <c r="L136" s="523"/>
      <c r="M136" s="542"/>
      <c r="N136" s="541">
        <v>146</v>
      </c>
      <c r="O136" s="523">
        <v>210690.67</v>
      </c>
      <c r="P136" s="542">
        <v>564.4</v>
      </c>
      <c r="Q136" s="541">
        <v>2794</v>
      </c>
      <c r="R136" s="543"/>
      <c r="S136" s="542"/>
      <c r="T136" s="541">
        <v>206</v>
      </c>
      <c r="U136" s="544"/>
      <c r="V136" s="542"/>
      <c r="W136" s="541"/>
      <c r="X136" s="224"/>
      <c r="Y136" s="222"/>
      <c r="Z136" s="224"/>
      <c r="AA136" s="46"/>
    </row>
    <row r="137" spans="2:27" x14ac:dyDescent="0.2">
      <c r="B137" s="166">
        <f>'1. LDC Info'!$F$27-2</f>
        <v>2014</v>
      </c>
      <c r="C137" s="44" t="s">
        <v>116</v>
      </c>
      <c r="D137" s="543"/>
      <c r="E137" s="541">
        <v>9258</v>
      </c>
      <c r="F137" s="543"/>
      <c r="G137" s="541">
        <v>1316</v>
      </c>
      <c r="H137" s="544"/>
      <c r="I137" s="541">
        <v>20</v>
      </c>
      <c r="J137" s="544"/>
      <c r="K137" s="541"/>
      <c r="L137" s="523"/>
      <c r="M137" s="542"/>
      <c r="N137" s="541">
        <v>146</v>
      </c>
      <c r="O137" s="523">
        <v>178663.8</v>
      </c>
      <c r="P137" s="542">
        <v>564.4</v>
      </c>
      <c r="Q137" s="541">
        <v>2794</v>
      </c>
      <c r="R137" s="543"/>
      <c r="S137" s="542"/>
      <c r="T137" s="541">
        <v>206</v>
      </c>
      <c r="U137" s="544"/>
      <c r="V137" s="542"/>
      <c r="W137" s="541"/>
      <c r="X137" s="224"/>
      <c r="Y137" s="222"/>
      <c r="Z137" s="224"/>
      <c r="AA137" s="46"/>
    </row>
    <row r="138" spans="2:27" x14ac:dyDescent="0.2">
      <c r="B138" s="166">
        <f>'1. LDC Info'!$F$27-2</f>
        <v>2014</v>
      </c>
      <c r="C138" s="44" t="s">
        <v>117</v>
      </c>
      <c r="D138" s="543"/>
      <c r="E138" s="541">
        <v>9285</v>
      </c>
      <c r="F138" s="543"/>
      <c r="G138" s="541">
        <v>1315</v>
      </c>
      <c r="H138" s="544"/>
      <c r="I138" s="541">
        <v>20</v>
      </c>
      <c r="J138" s="544"/>
      <c r="K138" s="541"/>
      <c r="L138" s="523"/>
      <c r="M138" s="542"/>
      <c r="N138" s="541">
        <v>145</v>
      </c>
      <c r="O138" s="523">
        <v>164284.17000000001</v>
      </c>
      <c r="P138" s="542">
        <v>564.55999999999995</v>
      </c>
      <c r="Q138" s="541">
        <v>2795</v>
      </c>
      <c r="R138" s="543"/>
      <c r="S138" s="542"/>
      <c r="T138" s="541">
        <v>203</v>
      </c>
      <c r="U138" s="544"/>
      <c r="V138" s="542"/>
      <c r="W138" s="541"/>
      <c r="X138" s="224"/>
      <c r="Y138" s="222"/>
      <c r="Z138" s="224"/>
      <c r="AA138" s="46"/>
    </row>
    <row r="139" spans="2:27" x14ac:dyDescent="0.2">
      <c r="B139" s="166">
        <f>'1. LDC Info'!$F$27-2</f>
        <v>2014</v>
      </c>
      <c r="C139" s="44" t="s">
        <v>118</v>
      </c>
      <c r="D139" s="543"/>
      <c r="E139" s="541">
        <v>9297</v>
      </c>
      <c r="F139" s="543"/>
      <c r="G139" s="541">
        <v>1315</v>
      </c>
      <c r="H139" s="544"/>
      <c r="I139" s="541">
        <v>20</v>
      </c>
      <c r="J139" s="544"/>
      <c r="K139" s="541"/>
      <c r="L139" s="523"/>
      <c r="M139" s="542"/>
      <c r="N139" s="541">
        <v>145</v>
      </c>
      <c r="O139" s="523">
        <v>151351.56</v>
      </c>
      <c r="P139" s="542">
        <v>564.5</v>
      </c>
      <c r="Q139" s="541">
        <v>2795</v>
      </c>
      <c r="R139" s="543"/>
      <c r="S139" s="542"/>
      <c r="T139" s="541">
        <v>203</v>
      </c>
      <c r="U139" s="544"/>
      <c r="V139" s="542"/>
      <c r="W139" s="541"/>
      <c r="X139" s="224"/>
      <c r="Y139" s="222"/>
      <c r="Z139" s="224"/>
      <c r="AA139" s="46"/>
    </row>
    <row r="140" spans="2:27" x14ac:dyDescent="0.2">
      <c r="B140" s="166">
        <f>'1. LDC Info'!$F$27-2</f>
        <v>2014</v>
      </c>
      <c r="C140" s="44" t="s">
        <v>119</v>
      </c>
      <c r="D140" s="543"/>
      <c r="E140" s="541">
        <v>9309</v>
      </c>
      <c r="F140" s="543"/>
      <c r="G140" s="541">
        <v>1315</v>
      </c>
      <c r="H140" s="544"/>
      <c r="I140" s="541">
        <v>20</v>
      </c>
      <c r="J140" s="544"/>
      <c r="K140" s="541"/>
      <c r="L140" s="523"/>
      <c r="M140" s="542"/>
      <c r="N140" s="541">
        <v>145</v>
      </c>
      <c r="O140" s="523">
        <v>163159.57999999999</v>
      </c>
      <c r="P140" s="542">
        <v>564.5</v>
      </c>
      <c r="Q140" s="541">
        <v>2795</v>
      </c>
      <c r="R140" s="543"/>
      <c r="S140" s="542"/>
      <c r="T140" s="541">
        <v>203</v>
      </c>
      <c r="U140" s="544"/>
      <c r="V140" s="542"/>
      <c r="W140" s="541"/>
      <c r="X140" s="224"/>
      <c r="Y140" s="222"/>
      <c r="Z140" s="224"/>
      <c r="AA140" s="46"/>
    </row>
    <row r="141" spans="2:27" x14ac:dyDescent="0.2">
      <c r="B141" s="166">
        <f>'1. LDC Info'!$F$27-2</f>
        <v>2014</v>
      </c>
      <c r="C141" s="44" t="s">
        <v>109</v>
      </c>
      <c r="D141" s="543"/>
      <c r="E141" s="541">
        <v>9322</v>
      </c>
      <c r="F141" s="543"/>
      <c r="G141" s="541">
        <v>1316</v>
      </c>
      <c r="H141" s="544"/>
      <c r="I141" s="541">
        <v>20</v>
      </c>
      <c r="J141" s="544"/>
      <c r="K141" s="541"/>
      <c r="L141" s="523"/>
      <c r="M141" s="542"/>
      <c r="N141" s="541">
        <v>145</v>
      </c>
      <c r="O141" s="523">
        <v>181775.34</v>
      </c>
      <c r="P141" s="542">
        <v>564.37</v>
      </c>
      <c r="Q141" s="541">
        <v>2794</v>
      </c>
      <c r="R141" s="543"/>
      <c r="S141" s="542"/>
      <c r="T141" s="541">
        <v>203</v>
      </c>
      <c r="U141" s="544"/>
      <c r="V141" s="542"/>
      <c r="W141" s="541"/>
      <c r="X141" s="224"/>
      <c r="Y141" s="222"/>
      <c r="Z141" s="224"/>
      <c r="AA141" s="46"/>
    </row>
    <row r="142" spans="2:27" x14ac:dyDescent="0.2">
      <c r="B142" s="166">
        <f>'1. LDC Info'!$F$27-2</f>
        <v>2014</v>
      </c>
      <c r="C142" s="44" t="s">
        <v>110</v>
      </c>
      <c r="D142" s="543"/>
      <c r="E142" s="541">
        <v>9324</v>
      </c>
      <c r="F142" s="543"/>
      <c r="G142" s="541">
        <v>1314</v>
      </c>
      <c r="H142" s="544"/>
      <c r="I142" s="541">
        <v>20</v>
      </c>
      <c r="J142" s="544"/>
      <c r="K142" s="541"/>
      <c r="L142" s="523"/>
      <c r="M142" s="542"/>
      <c r="N142" s="541">
        <v>146</v>
      </c>
      <c r="O142" s="523">
        <v>197343.16</v>
      </c>
      <c r="P142" s="542">
        <v>564.32000000000005</v>
      </c>
      <c r="Q142" s="541">
        <v>2794</v>
      </c>
      <c r="R142" s="543"/>
      <c r="S142" s="542"/>
      <c r="T142" s="541">
        <v>202</v>
      </c>
      <c r="U142" s="544"/>
      <c r="V142" s="542"/>
      <c r="W142" s="541"/>
      <c r="X142" s="224"/>
      <c r="Y142" s="222"/>
      <c r="Z142" s="224"/>
      <c r="AA142" s="46"/>
    </row>
    <row r="143" spans="2:27" x14ac:dyDescent="0.2">
      <c r="B143" s="166">
        <f>'1. LDC Info'!$F$27-2</f>
        <v>2014</v>
      </c>
      <c r="C143" s="44" t="s">
        <v>111</v>
      </c>
      <c r="D143" s="543"/>
      <c r="E143" s="541">
        <v>9342</v>
      </c>
      <c r="F143" s="543"/>
      <c r="G143" s="541">
        <v>1316</v>
      </c>
      <c r="H143" s="544"/>
      <c r="I143" s="541">
        <v>20</v>
      </c>
      <c r="J143" s="544"/>
      <c r="K143" s="541"/>
      <c r="L143" s="523"/>
      <c r="M143" s="542"/>
      <c r="N143" s="541">
        <v>147</v>
      </c>
      <c r="O143" s="523">
        <v>225975.94</v>
      </c>
      <c r="P143" s="542">
        <v>562.16</v>
      </c>
      <c r="Q143" s="541">
        <v>2794</v>
      </c>
      <c r="R143" s="543"/>
      <c r="S143" s="542"/>
      <c r="T143" s="541">
        <v>202</v>
      </c>
      <c r="U143" s="544"/>
      <c r="V143" s="542"/>
      <c r="W143" s="541"/>
      <c r="X143" s="224"/>
      <c r="Y143" s="222"/>
      <c r="Z143" s="224"/>
      <c r="AA143" s="46"/>
    </row>
    <row r="144" spans="2:27" x14ac:dyDescent="0.2">
      <c r="B144" s="166">
        <f>'1. LDC Info'!$F$27-2</f>
        <v>2014</v>
      </c>
      <c r="C144" s="44" t="s">
        <v>108</v>
      </c>
      <c r="D144" s="523">
        <v>79483998.230000004</v>
      </c>
      <c r="E144" s="541">
        <v>9358</v>
      </c>
      <c r="F144" s="523">
        <v>31649726.120000001</v>
      </c>
      <c r="G144" s="541">
        <v>1315</v>
      </c>
      <c r="H144" s="543">
        <v>454406.25</v>
      </c>
      <c r="I144" s="541">
        <v>20</v>
      </c>
      <c r="J144" s="543"/>
      <c r="K144" s="541"/>
      <c r="L144" s="523">
        <v>72512848.979999989</v>
      </c>
      <c r="M144" s="542">
        <v>206399</v>
      </c>
      <c r="N144" s="541">
        <v>147</v>
      </c>
      <c r="O144" s="523">
        <v>235609.92</v>
      </c>
      <c r="P144" s="542">
        <v>563.04999999999995</v>
      </c>
      <c r="Q144" s="541">
        <v>2811</v>
      </c>
      <c r="R144" s="543">
        <v>245570.47</v>
      </c>
      <c r="S144" s="542">
        <v>683.5</v>
      </c>
      <c r="T144" s="541">
        <v>202</v>
      </c>
      <c r="U144" s="543"/>
      <c r="V144" s="542"/>
      <c r="W144" s="541"/>
      <c r="X144" s="224"/>
      <c r="Y144" s="222"/>
      <c r="Z144" s="224"/>
      <c r="AA144" s="46"/>
    </row>
    <row r="145" spans="2:27" x14ac:dyDescent="0.2">
      <c r="B145" s="166">
        <f>'1. LDC Info'!$F$27-1</f>
        <v>2015</v>
      </c>
      <c r="C145" s="44" t="s">
        <v>112</v>
      </c>
      <c r="D145" s="2"/>
      <c r="E145" s="222"/>
      <c r="F145" s="2"/>
      <c r="G145" s="222"/>
      <c r="H145" s="224"/>
      <c r="I145" s="222"/>
      <c r="J145" s="284"/>
      <c r="K145" s="284"/>
      <c r="L145" s="45"/>
      <c r="M145" s="48"/>
      <c r="N145" s="222"/>
      <c r="O145" s="45"/>
      <c r="P145" s="48"/>
      <c r="Q145" s="222"/>
      <c r="R145" s="2"/>
      <c r="S145" s="27"/>
      <c r="T145" s="222"/>
      <c r="U145" s="224"/>
      <c r="V145" s="521"/>
      <c r="W145" s="222"/>
      <c r="X145" s="224"/>
      <c r="Y145" s="222"/>
      <c r="Z145" s="224"/>
      <c r="AA145" s="46"/>
    </row>
    <row r="146" spans="2:27" x14ac:dyDescent="0.2">
      <c r="B146" s="166">
        <f>'1. LDC Info'!$F$27-1</f>
        <v>2015</v>
      </c>
      <c r="C146" s="44" t="s">
        <v>113</v>
      </c>
      <c r="D146" s="2"/>
      <c r="E146" s="222"/>
      <c r="F146" s="2"/>
      <c r="G146" s="222"/>
      <c r="H146" s="224"/>
      <c r="I146" s="222"/>
      <c r="J146" s="284"/>
      <c r="K146" s="284"/>
      <c r="L146" s="45"/>
      <c r="M146" s="48"/>
      <c r="N146" s="222"/>
      <c r="O146" s="45"/>
      <c r="P146" s="48"/>
      <c r="Q146" s="222"/>
      <c r="R146" s="2"/>
      <c r="S146" s="27"/>
      <c r="T146" s="222"/>
      <c r="U146" s="224"/>
      <c r="V146" s="521"/>
      <c r="W146" s="222"/>
      <c r="X146" s="224"/>
      <c r="Y146" s="222"/>
      <c r="Z146" s="224"/>
      <c r="AA146" s="46"/>
    </row>
    <row r="147" spans="2:27" x14ac:dyDescent="0.2">
      <c r="B147" s="166">
        <f>'1. LDC Info'!$F$27-1</f>
        <v>2015</v>
      </c>
      <c r="C147" s="44" t="s">
        <v>114</v>
      </c>
      <c r="D147" s="2"/>
      <c r="E147" s="222"/>
      <c r="F147" s="2"/>
      <c r="G147" s="222"/>
      <c r="H147" s="224"/>
      <c r="I147" s="222"/>
      <c r="J147" s="284"/>
      <c r="K147" s="284"/>
      <c r="L147" s="45"/>
      <c r="M147" s="48"/>
      <c r="N147" s="222"/>
      <c r="O147" s="45"/>
      <c r="P147" s="48"/>
      <c r="Q147" s="222"/>
      <c r="R147" s="2"/>
      <c r="S147" s="27"/>
      <c r="T147" s="222"/>
      <c r="U147" s="224"/>
      <c r="V147" s="521"/>
      <c r="W147" s="222"/>
      <c r="X147" s="224"/>
      <c r="Y147" s="222"/>
      <c r="Z147" s="224"/>
      <c r="AA147" s="46"/>
    </row>
    <row r="148" spans="2:27" x14ac:dyDescent="0.2">
      <c r="B148" s="166">
        <f>'1. LDC Info'!$F$27-1</f>
        <v>2015</v>
      </c>
      <c r="C148" s="44" t="s">
        <v>115</v>
      </c>
      <c r="D148" s="2"/>
      <c r="E148" s="222"/>
      <c r="F148" s="2"/>
      <c r="G148" s="222"/>
      <c r="H148" s="224"/>
      <c r="I148" s="222"/>
      <c r="J148" s="284"/>
      <c r="K148" s="284"/>
      <c r="L148" s="45"/>
      <c r="M148" s="48"/>
      <c r="N148" s="222"/>
      <c r="O148" s="45"/>
      <c r="P148" s="48"/>
      <c r="Q148" s="222"/>
      <c r="R148" s="2"/>
      <c r="S148" s="27"/>
      <c r="T148" s="222"/>
      <c r="U148" s="224"/>
      <c r="V148" s="521"/>
      <c r="W148" s="222"/>
      <c r="X148" s="224"/>
      <c r="Y148" s="222"/>
      <c r="Z148" s="224"/>
      <c r="AA148" s="46"/>
    </row>
    <row r="149" spans="2:27" x14ac:dyDescent="0.2">
      <c r="B149" s="166">
        <f>'1. LDC Info'!$F$27-1</f>
        <v>2015</v>
      </c>
      <c r="C149" s="44" t="s">
        <v>116</v>
      </c>
      <c r="D149" s="2"/>
      <c r="E149" s="222"/>
      <c r="F149" s="2"/>
      <c r="G149" s="222"/>
      <c r="H149" s="224"/>
      <c r="I149" s="222"/>
      <c r="J149" s="284"/>
      <c r="K149" s="284"/>
      <c r="L149" s="45"/>
      <c r="M149" s="48"/>
      <c r="N149" s="222"/>
      <c r="O149" s="45"/>
      <c r="P149" s="48"/>
      <c r="Q149" s="222"/>
      <c r="R149" s="2"/>
      <c r="S149" s="27"/>
      <c r="T149" s="222"/>
      <c r="U149" s="224"/>
      <c r="V149" s="521"/>
      <c r="W149" s="222"/>
      <c r="X149" s="224"/>
      <c r="Y149" s="222"/>
      <c r="Z149" s="224"/>
      <c r="AA149" s="46"/>
    </row>
    <row r="150" spans="2:27" x14ac:dyDescent="0.2">
      <c r="B150" s="166">
        <f>'1. LDC Info'!$F$27-1</f>
        <v>2015</v>
      </c>
      <c r="C150" s="44" t="s">
        <v>117</v>
      </c>
      <c r="D150" s="2"/>
      <c r="E150" s="222"/>
      <c r="F150" s="2"/>
      <c r="G150" s="222"/>
      <c r="H150" s="224"/>
      <c r="I150" s="222"/>
      <c r="J150" s="284"/>
      <c r="K150" s="284"/>
      <c r="L150" s="45"/>
      <c r="M150" s="48"/>
      <c r="N150" s="222"/>
      <c r="O150" s="2"/>
      <c r="P150" s="27"/>
      <c r="Q150" s="222"/>
      <c r="R150" s="2"/>
      <c r="S150" s="27"/>
      <c r="T150" s="222"/>
      <c r="U150" s="224"/>
      <c r="V150" s="521"/>
      <c r="W150" s="222"/>
      <c r="X150" s="224"/>
      <c r="Y150" s="222"/>
      <c r="Z150" s="224"/>
      <c r="AA150" s="46"/>
    </row>
    <row r="151" spans="2:27" x14ac:dyDescent="0.2">
      <c r="B151" s="166">
        <f>'1. LDC Info'!$F$27-1</f>
        <v>2015</v>
      </c>
      <c r="C151" s="44" t="s">
        <v>118</v>
      </c>
      <c r="D151" s="2"/>
      <c r="E151" s="222"/>
      <c r="F151" s="2"/>
      <c r="G151" s="222"/>
      <c r="H151" s="224"/>
      <c r="I151" s="222"/>
      <c r="J151" s="284"/>
      <c r="K151" s="284"/>
      <c r="L151" s="45"/>
      <c r="M151" s="48"/>
      <c r="N151" s="222"/>
      <c r="O151" s="2"/>
      <c r="P151" s="27"/>
      <c r="Q151" s="222"/>
      <c r="R151" s="2"/>
      <c r="S151" s="27"/>
      <c r="T151" s="222"/>
      <c r="U151" s="224"/>
      <c r="V151" s="521"/>
      <c r="W151" s="222"/>
      <c r="X151" s="224"/>
      <c r="Y151" s="222"/>
      <c r="Z151" s="224"/>
      <c r="AA151" s="46"/>
    </row>
    <row r="152" spans="2:27" x14ac:dyDescent="0.2">
      <c r="B152" s="166">
        <f>'1. LDC Info'!$F$27-1</f>
        <v>2015</v>
      </c>
      <c r="C152" s="44" t="s">
        <v>119</v>
      </c>
      <c r="D152" s="2"/>
      <c r="E152" s="222"/>
      <c r="F152" s="2"/>
      <c r="G152" s="222"/>
      <c r="H152" s="224"/>
      <c r="I152" s="222"/>
      <c r="J152" s="284"/>
      <c r="K152" s="284"/>
      <c r="L152" s="45"/>
      <c r="M152" s="48"/>
      <c r="N152" s="222"/>
      <c r="O152" s="2"/>
      <c r="P152" s="27"/>
      <c r="Q152" s="222"/>
      <c r="R152" s="2"/>
      <c r="S152" s="27"/>
      <c r="T152" s="222"/>
      <c r="U152" s="224"/>
      <c r="V152" s="521"/>
      <c r="W152" s="222"/>
      <c r="X152" s="224"/>
      <c r="Y152" s="222"/>
      <c r="Z152" s="224"/>
      <c r="AA152" s="46"/>
    </row>
    <row r="153" spans="2:27" x14ac:dyDescent="0.2">
      <c r="B153" s="166">
        <f>'1. LDC Info'!$F$27-1</f>
        <v>2015</v>
      </c>
      <c r="C153" s="44" t="s">
        <v>109</v>
      </c>
      <c r="D153" s="2"/>
      <c r="E153" s="222"/>
      <c r="F153" s="2"/>
      <c r="G153" s="222"/>
      <c r="H153" s="224"/>
      <c r="I153" s="222"/>
      <c r="J153" s="284"/>
      <c r="K153" s="284"/>
      <c r="L153" s="45"/>
      <c r="M153" s="48"/>
      <c r="N153" s="222"/>
      <c r="O153" s="2"/>
      <c r="P153" s="27"/>
      <c r="Q153" s="222"/>
      <c r="R153" s="2"/>
      <c r="S153" s="27"/>
      <c r="T153" s="222"/>
      <c r="U153" s="224"/>
      <c r="V153" s="521"/>
      <c r="W153" s="222"/>
      <c r="X153" s="224"/>
      <c r="Y153" s="222"/>
      <c r="Z153" s="224"/>
      <c r="AA153" s="46"/>
    </row>
    <row r="154" spans="2:27" x14ac:dyDescent="0.2">
      <c r="B154" s="166">
        <f>'1. LDC Info'!$F$27-1</f>
        <v>2015</v>
      </c>
      <c r="C154" s="44" t="s">
        <v>110</v>
      </c>
      <c r="D154" s="2"/>
      <c r="E154" s="222"/>
      <c r="F154" s="50"/>
      <c r="G154" s="222"/>
      <c r="H154" s="224"/>
      <c r="I154" s="222"/>
      <c r="J154" s="284"/>
      <c r="K154" s="284"/>
      <c r="L154" s="45"/>
      <c r="M154" s="48"/>
      <c r="N154" s="222"/>
      <c r="O154" s="2"/>
      <c r="P154" s="27"/>
      <c r="Q154" s="222"/>
      <c r="R154" s="2"/>
      <c r="S154" s="27"/>
      <c r="T154" s="222"/>
      <c r="U154" s="224"/>
      <c r="V154" s="521"/>
      <c r="W154" s="222"/>
      <c r="X154" s="224"/>
      <c r="Y154" s="222"/>
      <c r="Z154" s="224"/>
      <c r="AA154" s="46"/>
    </row>
    <row r="155" spans="2:27" x14ac:dyDescent="0.2">
      <c r="B155" s="166">
        <f>'1. LDC Info'!$F$27-1</f>
        <v>2015</v>
      </c>
      <c r="C155" s="44" t="s">
        <v>111</v>
      </c>
      <c r="D155" s="2"/>
      <c r="E155" s="222"/>
      <c r="F155" s="2"/>
      <c r="G155" s="222"/>
      <c r="H155" s="224"/>
      <c r="I155" s="222"/>
      <c r="J155" s="284"/>
      <c r="K155" s="284"/>
      <c r="L155" s="45"/>
      <c r="M155" s="48"/>
      <c r="N155" s="222"/>
      <c r="O155" s="2"/>
      <c r="P155" s="27"/>
      <c r="Q155" s="222"/>
      <c r="R155" s="2"/>
      <c r="S155" s="27"/>
      <c r="T155" s="222"/>
      <c r="U155" s="224"/>
      <c r="V155" s="521"/>
      <c r="W155" s="222"/>
      <c r="X155" s="224"/>
      <c r="Y155" s="222"/>
      <c r="Z155" s="224"/>
      <c r="AA155" s="46"/>
    </row>
    <row r="156" spans="2:27" x14ac:dyDescent="0.2">
      <c r="B156" s="166">
        <f>'1. LDC Info'!$F$27-1</f>
        <v>2015</v>
      </c>
      <c r="C156" s="44" t="s">
        <v>108</v>
      </c>
      <c r="D156" s="523"/>
      <c r="E156" s="222"/>
      <c r="F156" s="523"/>
      <c r="G156" s="541"/>
      <c r="H156" s="543"/>
      <c r="I156" s="222"/>
      <c r="J156" s="543"/>
      <c r="K156" s="541"/>
      <c r="L156" s="523"/>
      <c r="M156" s="542"/>
      <c r="N156" s="541"/>
      <c r="O156" s="543"/>
      <c r="P156" s="542"/>
      <c r="Q156" s="222"/>
      <c r="R156" s="543"/>
      <c r="S156" s="542"/>
      <c r="T156" s="541"/>
      <c r="U156" s="543"/>
      <c r="V156" s="542"/>
      <c r="W156" s="541"/>
      <c r="X156" s="224"/>
      <c r="Y156" s="222"/>
      <c r="Z156" s="224"/>
      <c r="AA156" s="46"/>
    </row>
    <row r="157" spans="2:27" x14ac:dyDescent="0.2">
      <c r="B157" s="166" t="str">
        <f>'1. LDC Info'!$F$27</f>
        <v>2016</v>
      </c>
      <c r="C157" s="44" t="s">
        <v>112</v>
      </c>
      <c r="D157" s="45"/>
      <c r="E157" s="222"/>
      <c r="F157" s="45"/>
      <c r="G157" s="222"/>
      <c r="H157" s="224"/>
      <c r="I157" s="222"/>
      <c r="J157" s="284"/>
      <c r="K157" s="284"/>
      <c r="L157" s="45"/>
      <c r="M157" s="48"/>
      <c r="N157" s="222"/>
      <c r="O157" s="2"/>
      <c r="P157" s="27"/>
      <c r="Q157" s="222"/>
      <c r="R157" s="45"/>
      <c r="S157" s="27"/>
      <c r="T157" s="222"/>
      <c r="U157" s="224"/>
      <c r="V157" s="521"/>
      <c r="W157" s="222"/>
      <c r="X157" s="224"/>
      <c r="Y157" s="222"/>
      <c r="Z157" s="224"/>
      <c r="AA157" s="46"/>
    </row>
    <row r="158" spans="2:27" x14ac:dyDescent="0.2">
      <c r="B158" s="166" t="str">
        <f>'1. LDC Info'!$F$27</f>
        <v>2016</v>
      </c>
      <c r="C158" s="44" t="s">
        <v>113</v>
      </c>
      <c r="D158" s="45"/>
      <c r="E158" s="46"/>
      <c r="F158" s="45"/>
      <c r="G158" s="46"/>
      <c r="H158" s="224"/>
      <c r="I158" s="222"/>
      <c r="J158" s="284"/>
      <c r="K158" s="284"/>
      <c r="L158" s="45"/>
      <c r="M158" s="48"/>
      <c r="N158" s="46"/>
      <c r="O158" s="2"/>
      <c r="P158" s="27"/>
      <c r="Q158" s="46"/>
      <c r="R158" s="45"/>
      <c r="S158" s="27"/>
      <c r="T158" s="46"/>
      <c r="U158" s="47"/>
      <c r="V158" s="521"/>
      <c r="W158" s="46"/>
      <c r="X158" s="47"/>
      <c r="Y158" s="46"/>
      <c r="Z158" s="47"/>
      <c r="AA158" s="46"/>
    </row>
    <row r="159" spans="2:27" x14ac:dyDescent="0.2">
      <c r="B159" s="166" t="str">
        <f>'1. LDC Info'!$F$27</f>
        <v>2016</v>
      </c>
      <c r="C159" s="44" t="s">
        <v>114</v>
      </c>
      <c r="D159" s="51"/>
      <c r="E159" s="46"/>
      <c r="F159" s="51"/>
      <c r="G159" s="46"/>
      <c r="H159" s="224"/>
      <c r="I159" s="222"/>
      <c r="J159" s="284"/>
      <c r="K159" s="284"/>
      <c r="L159" s="45"/>
      <c r="M159" s="48"/>
      <c r="N159" s="46"/>
      <c r="O159" s="2"/>
      <c r="P159" s="27"/>
      <c r="Q159" s="46"/>
      <c r="R159" s="51"/>
      <c r="S159" s="27"/>
      <c r="T159" s="46"/>
      <c r="U159" s="47"/>
      <c r="V159" s="521"/>
      <c r="W159" s="46"/>
      <c r="X159" s="47"/>
      <c r="Y159" s="46"/>
      <c r="Z159" s="47"/>
      <c r="AA159" s="46"/>
    </row>
    <row r="160" spans="2:27" x14ac:dyDescent="0.2">
      <c r="B160" s="166" t="str">
        <f>'1. LDC Info'!$F$27</f>
        <v>2016</v>
      </c>
      <c r="C160" s="44" t="s">
        <v>115</v>
      </c>
      <c r="D160" s="45"/>
      <c r="E160" s="46"/>
      <c r="F160" s="45"/>
      <c r="G160" s="46"/>
      <c r="H160" s="224"/>
      <c r="I160" s="222"/>
      <c r="J160" s="284"/>
      <c r="K160" s="284"/>
      <c r="L160" s="45"/>
      <c r="M160" s="48"/>
      <c r="N160" s="46"/>
      <c r="O160" s="2"/>
      <c r="P160" s="27"/>
      <c r="Q160" s="46"/>
      <c r="R160" s="45"/>
      <c r="S160" s="27"/>
      <c r="T160" s="46"/>
      <c r="U160" s="47"/>
      <c r="V160" s="521"/>
      <c r="W160" s="46"/>
      <c r="X160" s="47"/>
      <c r="Y160" s="46"/>
      <c r="Z160" s="47"/>
      <c r="AA160" s="46"/>
    </row>
    <row r="161" spans="2:27" x14ac:dyDescent="0.2">
      <c r="B161" s="166" t="str">
        <f>'1. LDC Info'!$F$27</f>
        <v>2016</v>
      </c>
      <c r="C161" s="44" t="s">
        <v>116</v>
      </c>
      <c r="D161" s="45"/>
      <c r="E161" s="46"/>
      <c r="F161" s="45"/>
      <c r="G161" s="46"/>
      <c r="H161" s="224"/>
      <c r="I161" s="222"/>
      <c r="J161" s="284"/>
      <c r="K161" s="284"/>
      <c r="L161" s="45"/>
      <c r="M161" s="48"/>
      <c r="N161" s="46"/>
      <c r="O161" s="2"/>
      <c r="P161" s="27"/>
      <c r="Q161" s="46"/>
      <c r="R161" s="45"/>
      <c r="S161" s="27"/>
      <c r="T161" s="46"/>
      <c r="U161" s="47"/>
      <c r="V161" s="521"/>
      <c r="W161" s="46"/>
      <c r="X161" s="47"/>
      <c r="Y161" s="46"/>
      <c r="Z161" s="47"/>
      <c r="AA161" s="46"/>
    </row>
    <row r="162" spans="2:27" x14ac:dyDescent="0.2">
      <c r="B162" s="166" t="str">
        <f>'1. LDC Info'!$F$27</f>
        <v>2016</v>
      </c>
      <c r="C162" s="44" t="s">
        <v>117</v>
      </c>
      <c r="D162" s="45"/>
      <c r="E162" s="46"/>
      <c r="F162" s="45"/>
      <c r="G162" s="46"/>
      <c r="H162" s="224"/>
      <c r="I162" s="222"/>
      <c r="J162" s="284"/>
      <c r="K162" s="284"/>
      <c r="L162" s="45"/>
      <c r="M162" s="48"/>
      <c r="N162" s="46"/>
      <c r="O162" s="2"/>
      <c r="P162" s="27"/>
      <c r="Q162" s="46"/>
      <c r="R162" s="45"/>
      <c r="S162" s="27"/>
      <c r="T162" s="46"/>
      <c r="U162" s="47"/>
      <c r="V162" s="521"/>
      <c r="W162" s="46"/>
      <c r="X162" s="47"/>
      <c r="Y162" s="46"/>
      <c r="Z162" s="47"/>
      <c r="AA162" s="46"/>
    </row>
    <row r="163" spans="2:27" x14ac:dyDescent="0.2">
      <c r="B163" s="166" t="str">
        <f>'1. LDC Info'!$F$27</f>
        <v>2016</v>
      </c>
      <c r="C163" s="44" t="s">
        <v>118</v>
      </c>
      <c r="D163" s="45"/>
      <c r="E163" s="46"/>
      <c r="F163" s="45"/>
      <c r="G163" s="46"/>
      <c r="H163" s="224"/>
      <c r="I163" s="222"/>
      <c r="J163" s="284"/>
      <c r="K163" s="284"/>
      <c r="L163" s="45"/>
      <c r="M163" s="48"/>
      <c r="N163" s="46"/>
      <c r="O163" s="2"/>
      <c r="P163" s="27"/>
      <c r="Q163" s="46"/>
      <c r="R163" s="45"/>
      <c r="S163" s="27"/>
      <c r="T163" s="46"/>
      <c r="U163" s="47"/>
      <c r="V163" s="521"/>
      <c r="W163" s="46"/>
      <c r="X163" s="47"/>
      <c r="Y163" s="46"/>
      <c r="Z163" s="47"/>
      <c r="AA163" s="46"/>
    </row>
    <row r="164" spans="2:27" x14ac:dyDescent="0.2">
      <c r="B164" s="166" t="str">
        <f>'1. LDC Info'!$F$27</f>
        <v>2016</v>
      </c>
      <c r="C164" s="44" t="s">
        <v>119</v>
      </c>
      <c r="D164" s="45"/>
      <c r="E164" s="46"/>
      <c r="F164" s="45"/>
      <c r="G164" s="46"/>
      <c r="H164" s="224"/>
      <c r="I164" s="222"/>
      <c r="J164" s="284"/>
      <c r="K164" s="284"/>
      <c r="L164" s="45"/>
      <c r="M164" s="48"/>
      <c r="N164" s="46"/>
      <c r="O164" s="2"/>
      <c r="P164" s="27"/>
      <c r="Q164" s="46"/>
      <c r="R164" s="45"/>
      <c r="S164" s="27"/>
      <c r="T164" s="46"/>
      <c r="U164" s="47"/>
      <c r="V164" s="521"/>
      <c r="W164" s="46"/>
      <c r="X164" s="47"/>
      <c r="Y164" s="46"/>
      <c r="Z164" s="47"/>
      <c r="AA164" s="46"/>
    </row>
    <row r="165" spans="2:27" x14ac:dyDescent="0.2">
      <c r="B165" s="166" t="str">
        <f>'1. LDC Info'!$F$27</f>
        <v>2016</v>
      </c>
      <c r="C165" s="44" t="s">
        <v>109</v>
      </c>
      <c r="D165" s="52"/>
      <c r="E165" s="46"/>
      <c r="F165" s="52"/>
      <c r="G165" s="46"/>
      <c r="H165" s="224"/>
      <c r="I165" s="222"/>
      <c r="J165" s="284"/>
      <c r="K165" s="284"/>
      <c r="L165" s="45"/>
      <c r="M165" s="48"/>
      <c r="N165" s="46"/>
      <c r="O165" s="2"/>
      <c r="P165" s="27"/>
      <c r="Q165" s="46"/>
      <c r="R165" s="52"/>
      <c r="S165" s="27"/>
      <c r="T165" s="46"/>
      <c r="U165" s="47"/>
      <c r="V165" s="521"/>
      <c r="W165" s="46"/>
      <c r="X165" s="47"/>
      <c r="Y165" s="46"/>
      <c r="Z165" s="47"/>
      <c r="AA165" s="46"/>
    </row>
    <row r="166" spans="2:27" x14ac:dyDescent="0.2">
      <c r="B166" s="166" t="str">
        <f>'1. LDC Info'!$F$27</f>
        <v>2016</v>
      </c>
      <c r="C166" s="44" t="s">
        <v>110</v>
      </c>
      <c r="D166" s="45"/>
      <c r="E166" s="46"/>
      <c r="F166" s="45"/>
      <c r="G166" s="46"/>
      <c r="H166" s="224"/>
      <c r="I166" s="222"/>
      <c r="J166" s="284"/>
      <c r="K166" s="284"/>
      <c r="L166" s="45"/>
      <c r="M166" s="48"/>
      <c r="N166" s="46"/>
      <c r="O166" s="2"/>
      <c r="P166" s="27"/>
      <c r="Q166" s="46"/>
      <c r="R166" s="45"/>
      <c r="S166" s="27"/>
      <c r="T166" s="46"/>
      <c r="U166" s="47"/>
      <c r="V166" s="521"/>
      <c r="W166" s="46"/>
      <c r="X166" s="47"/>
      <c r="Y166" s="46"/>
      <c r="Z166" s="47"/>
      <c r="AA166" s="46"/>
    </row>
    <row r="167" spans="2:27" x14ac:dyDescent="0.2">
      <c r="B167" s="166" t="str">
        <f>'1. LDC Info'!$F$27</f>
        <v>2016</v>
      </c>
      <c r="C167" s="44" t="s">
        <v>111</v>
      </c>
      <c r="D167" s="45"/>
      <c r="E167" s="46"/>
      <c r="F167" s="45"/>
      <c r="G167" s="46"/>
      <c r="H167" s="224"/>
      <c r="I167" s="222"/>
      <c r="J167" s="284"/>
      <c r="K167" s="284"/>
      <c r="L167" s="45"/>
      <c r="M167" s="48"/>
      <c r="N167" s="46"/>
      <c r="O167" s="2"/>
      <c r="P167" s="27"/>
      <c r="Q167" s="46"/>
      <c r="R167" s="45"/>
      <c r="S167" s="27"/>
      <c r="T167" s="46"/>
      <c r="U167" s="47"/>
      <c r="V167" s="521"/>
      <c r="W167" s="46"/>
      <c r="X167" s="47"/>
      <c r="Y167" s="46"/>
      <c r="Z167" s="47"/>
      <c r="AA167" s="46"/>
    </row>
    <row r="168" spans="2:27" ht="13.5" thickBot="1" x14ac:dyDescent="0.25">
      <c r="B168" s="166" t="str">
        <f>'1. LDC Info'!$F$27</f>
        <v>2016</v>
      </c>
      <c r="C168" s="44" t="s">
        <v>108</v>
      </c>
      <c r="D168" s="53"/>
      <c r="E168" s="54"/>
      <c r="F168" s="53"/>
      <c r="G168" s="54"/>
      <c r="H168" s="56"/>
      <c r="I168" s="54"/>
      <c r="J168" s="285"/>
      <c r="K168" s="285"/>
      <c r="L168" s="53"/>
      <c r="M168" s="55"/>
      <c r="N168" s="54"/>
      <c r="O168" s="144"/>
      <c r="P168" s="28"/>
      <c r="Q168" s="54"/>
      <c r="R168" s="53"/>
      <c r="S168" s="28"/>
      <c r="T168" s="54"/>
      <c r="U168" s="56"/>
      <c r="V168" s="516"/>
      <c r="W168" s="54"/>
      <c r="X168" s="56"/>
      <c r="Y168" s="54"/>
      <c r="Z168" s="56"/>
      <c r="AA168" s="54"/>
    </row>
    <row r="169" spans="2:27" x14ac:dyDescent="0.2">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row>
    <row r="170" spans="2:27" x14ac:dyDescent="0.2">
      <c r="D170" s="57"/>
    </row>
    <row r="171" spans="2:27" x14ac:dyDescent="0.2">
      <c r="D171" s="236"/>
      <c r="E171" s="236"/>
      <c r="F171" s="236"/>
      <c r="G171" s="236"/>
      <c r="H171" s="236"/>
      <c r="I171" s="236"/>
      <c r="J171" s="236"/>
      <c r="K171" s="236"/>
      <c r="L171" s="236"/>
      <c r="M171" s="236"/>
      <c r="N171" s="236"/>
      <c r="O171" s="236"/>
      <c r="P171" s="236"/>
      <c r="Q171" s="236"/>
      <c r="R171" s="236"/>
      <c r="S171" s="236"/>
      <c r="T171" s="236"/>
      <c r="U171" s="236"/>
      <c r="V171" s="236"/>
      <c r="W171" s="236"/>
      <c r="X171" s="236"/>
      <c r="Y171" s="236"/>
      <c r="Z171" s="236"/>
      <c r="AA171" s="236"/>
    </row>
    <row r="172" spans="2:27" x14ac:dyDescent="0.2">
      <c r="D172" s="236"/>
      <c r="E172" s="237"/>
      <c r="F172" s="236"/>
      <c r="G172" s="237"/>
      <c r="H172" s="236"/>
      <c r="I172" s="237"/>
      <c r="J172" s="237"/>
      <c r="K172" s="237"/>
      <c r="L172" s="236"/>
      <c r="M172" s="236"/>
      <c r="N172" s="237"/>
      <c r="O172" s="236"/>
      <c r="P172" s="236"/>
      <c r="Q172" s="237"/>
      <c r="R172" s="236"/>
      <c r="S172" s="236"/>
      <c r="T172" s="237"/>
    </row>
    <row r="173" spans="2:27" x14ac:dyDescent="0.2">
      <c r="D173" s="236"/>
      <c r="E173" s="237"/>
      <c r="F173" s="236"/>
      <c r="G173" s="237"/>
      <c r="H173" s="236"/>
      <c r="I173" s="237"/>
      <c r="J173" s="237"/>
      <c r="K173" s="237"/>
      <c r="L173" s="236"/>
      <c r="M173" s="236"/>
      <c r="N173" s="237"/>
      <c r="O173" s="236"/>
      <c r="P173" s="236"/>
      <c r="Q173" s="237"/>
      <c r="R173" s="236"/>
      <c r="S173" s="236"/>
      <c r="T173" s="237"/>
    </row>
    <row r="174" spans="2:27" x14ac:dyDescent="0.2">
      <c r="D174" s="236"/>
      <c r="E174" s="237"/>
      <c r="F174" s="236"/>
      <c r="G174" s="237"/>
      <c r="H174" s="236"/>
      <c r="I174" s="237"/>
      <c r="J174" s="237"/>
      <c r="K174" s="237"/>
      <c r="L174" s="236"/>
      <c r="M174" s="236"/>
      <c r="N174" s="237"/>
      <c r="O174" s="236"/>
      <c r="P174" s="236"/>
      <c r="Q174" s="237"/>
      <c r="R174" s="236"/>
      <c r="S174" s="236"/>
      <c r="T174" s="237"/>
    </row>
  </sheetData>
  <mergeCells count="21">
    <mergeCell ref="B10:I10"/>
    <mergeCell ref="R20:T20"/>
    <mergeCell ref="O20:Q20"/>
    <mergeCell ref="Z20:AA20"/>
    <mergeCell ref="X21:Y21"/>
    <mergeCell ref="Z21:AA21"/>
    <mergeCell ref="U20:W20"/>
    <mergeCell ref="U21:W21"/>
    <mergeCell ref="X20:Y20"/>
    <mergeCell ref="R21:T21"/>
    <mergeCell ref="O21:Q21"/>
    <mergeCell ref="L21:N21"/>
    <mergeCell ref="D20:E20"/>
    <mergeCell ref="F20:G20"/>
    <mergeCell ref="L20:N20"/>
    <mergeCell ref="H20:I20"/>
    <mergeCell ref="H21:I21"/>
    <mergeCell ref="J20:K20"/>
    <mergeCell ref="J21:K21"/>
    <mergeCell ref="D21:E21"/>
    <mergeCell ref="F21:G21"/>
  </mergeCells>
  <pageMargins left="0.7" right="0.7" top="0.75" bottom="0.75" header="0.3" footer="0.3"/>
  <pageSetup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W49"/>
  <sheetViews>
    <sheetView showGridLines="0" zoomScaleNormal="100" workbookViewId="0">
      <selection activeCell="C19" sqref="C19"/>
    </sheetView>
  </sheetViews>
  <sheetFormatPr defaultRowHeight="12.75" x14ac:dyDescent="0.2"/>
  <cols>
    <col min="1" max="1" width="13.6640625" style="1" customWidth="1"/>
    <col min="2" max="2" width="20" style="1" bestFit="1" customWidth="1"/>
    <col min="3" max="10" width="13.33203125" style="1" bestFit="1" customWidth="1"/>
    <col min="11" max="11" width="14.33203125" style="1" bestFit="1" customWidth="1"/>
    <col min="12" max="12" width="13.33203125" style="1" bestFit="1" customWidth="1"/>
    <col min="13" max="14" width="14" style="1" customWidth="1"/>
    <col min="15" max="16" width="13.33203125" style="1" bestFit="1" customWidth="1"/>
    <col min="17" max="20" width="14" style="1" customWidth="1"/>
    <col min="21" max="21" width="9.33203125" style="1"/>
    <col min="22" max="22" width="20.33203125" style="1" customWidth="1"/>
    <col min="23" max="23" width="13.33203125" style="1" bestFit="1" customWidth="1"/>
    <col min="24" max="16384" width="9.33203125" style="1"/>
  </cols>
  <sheetData>
    <row r="1" spans="1:23" s="536" customFormat="1" x14ac:dyDescent="0.2">
      <c r="A1" s="758" t="s">
        <v>272</v>
      </c>
    </row>
    <row r="2" spans="1:23" s="536" customFormat="1" x14ac:dyDescent="0.2"/>
    <row r="3" spans="1:23" s="536" customFormat="1" x14ac:dyDescent="0.2"/>
    <row r="4" spans="1:23" s="536" customFormat="1" x14ac:dyDescent="0.2"/>
    <row r="5" spans="1:23" s="536" customFormat="1" x14ac:dyDescent="0.2"/>
    <row r="6" spans="1:23" s="536" customFormat="1" x14ac:dyDescent="0.2"/>
    <row r="7" spans="1:23" s="536" customFormat="1" x14ac:dyDescent="0.2"/>
    <row r="8" spans="1:23" s="536" customFormat="1" x14ac:dyDescent="0.2"/>
    <row r="9" spans="1:23" s="536" customFormat="1" x14ac:dyDescent="0.2"/>
    <row r="10" spans="1:23" customFormat="1" ht="12.75" customHeight="1" x14ac:dyDescent="0.2">
      <c r="B10" s="979"/>
      <c r="C10" s="979"/>
      <c r="D10" s="979"/>
      <c r="E10" s="979"/>
      <c r="F10" s="979"/>
      <c r="G10" s="979"/>
      <c r="H10" s="979"/>
      <c r="I10" s="979"/>
      <c r="J10" s="514"/>
      <c r="K10" s="514"/>
      <c r="L10" s="514"/>
      <c r="M10" s="514"/>
    </row>
    <row r="11" spans="1:23" ht="23.25" x14ac:dyDescent="0.2">
      <c r="B11" s="133" t="s">
        <v>86</v>
      </c>
    </row>
    <row r="12" spans="1:23" s="536" customFormat="1" ht="15" x14ac:dyDescent="0.2">
      <c r="B12" s="63" t="s">
        <v>64</v>
      </c>
    </row>
    <row r="13" spans="1:23" ht="14.25" x14ac:dyDescent="0.2">
      <c r="B13" s="100" t="s">
        <v>247</v>
      </c>
      <c r="C13" s="536"/>
      <c r="D13" s="536"/>
      <c r="E13" s="536"/>
      <c r="F13" s="536"/>
      <c r="G13" s="536"/>
      <c r="H13" s="536"/>
      <c r="I13" s="536"/>
      <c r="J13" s="311"/>
      <c r="K13" s="312"/>
    </row>
    <row r="14" spans="1:23" ht="13.5" customHeight="1" thickBot="1" x14ac:dyDescent="0.25">
      <c r="B14" s="133"/>
      <c r="J14" s="311"/>
      <c r="K14" s="312"/>
    </row>
    <row r="15" spans="1:23" ht="24.75" customHeight="1" thickBot="1" x14ac:dyDescent="0.25">
      <c r="B15" s="4"/>
      <c r="C15" s="1001" t="str">
        <f>'2. Customer Classes'!B14</f>
        <v>Residential</v>
      </c>
      <c r="D15" s="1002"/>
      <c r="E15" s="1001" t="str">
        <f>'2. Customer Classes'!B15</f>
        <v>General Service &lt; 50 kW</v>
      </c>
      <c r="F15" s="1002"/>
      <c r="G15" s="1001" t="str">
        <f>'2. Customer Classes'!B16</f>
        <v>Unmetered Scattered Load</v>
      </c>
      <c r="H15" s="1002"/>
      <c r="I15" s="1001">
        <f>'2. Customer Classes'!B17</f>
        <v>0</v>
      </c>
      <c r="J15" s="1002"/>
      <c r="K15" s="1001" t="str">
        <f>'2. Customer Classes'!B18</f>
        <v>General Service &gt; 50 kW - 4999 kW</v>
      </c>
      <c r="L15" s="1002"/>
      <c r="M15" s="1001" t="str">
        <f>'2. Customer Classes'!B19</f>
        <v>Streetlighting</v>
      </c>
      <c r="N15" s="1002"/>
      <c r="O15" s="1009" t="str">
        <f>'2. Customer Classes'!B20</f>
        <v>Sentinel Lighting</v>
      </c>
      <c r="P15" s="1002"/>
      <c r="Q15" s="1001">
        <f>'2. Customer Classes'!B21</f>
        <v>0</v>
      </c>
      <c r="R15" s="1002"/>
      <c r="S15" s="1006" t="str">
        <f>'2. Customer Classes'!B22</f>
        <v>other</v>
      </c>
      <c r="T15" s="1008"/>
      <c r="V15" s="1006" t="s">
        <v>164</v>
      </c>
      <c r="W15" s="1007"/>
    </row>
    <row r="16" spans="1:23" ht="39" thickBot="1" x14ac:dyDescent="0.25">
      <c r="B16" s="5" t="s">
        <v>3</v>
      </c>
      <c r="C16" s="170" t="s">
        <v>120</v>
      </c>
      <c r="D16" s="6" t="s">
        <v>5</v>
      </c>
      <c r="E16" s="170" t="s">
        <v>120</v>
      </c>
      <c r="F16" s="6" t="s">
        <v>5</v>
      </c>
      <c r="G16" s="170" t="s">
        <v>120</v>
      </c>
      <c r="H16" s="6" t="s">
        <v>5</v>
      </c>
      <c r="I16" s="170"/>
      <c r="J16" s="6"/>
      <c r="K16" s="170" t="s">
        <v>120</v>
      </c>
      <c r="L16" s="5" t="s">
        <v>5</v>
      </c>
      <c r="M16" s="170" t="s">
        <v>120</v>
      </c>
      <c r="N16" s="5" t="s">
        <v>5</v>
      </c>
      <c r="O16" s="170" t="s">
        <v>120</v>
      </c>
      <c r="P16" s="7" t="s">
        <v>5</v>
      </c>
      <c r="Q16" s="170" t="s">
        <v>120</v>
      </c>
      <c r="R16" s="6" t="s">
        <v>5</v>
      </c>
      <c r="S16" s="170" t="s">
        <v>120</v>
      </c>
      <c r="T16" s="7" t="s">
        <v>5</v>
      </c>
      <c r="V16" s="170" t="s">
        <v>174</v>
      </c>
      <c r="W16" s="7" t="s">
        <v>5</v>
      </c>
    </row>
    <row r="17" spans="2:23" x14ac:dyDescent="0.2">
      <c r="B17" s="8">
        <f>'1. LDC Info'!F25-10</f>
        <v>2005</v>
      </c>
      <c r="C17" s="200">
        <f>AVERAGE('3. Consumption by Rate Class'!E25,'3. Consumption by Rate Class'!E36)</f>
        <v>8625</v>
      </c>
      <c r="D17" s="169"/>
      <c r="E17" s="200">
        <f>AVERAGE('3. Consumption by Rate Class'!G25,'3. Consumption by Rate Class'!G36)</f>
        <v>1496</v>
      </c>
      <c r="F17" s="169"/>
      <c r="G17" s="171">
        <f>AVERAGE('3. Consumption by Rate Class'!I25,'3. Consumption by Rate Class'!I36)</f>
        <v>17</v>
      </c>
      <c r="H17" s="169"/>
      <c r="I17" s="200"/>
      <c r="J17" s="169"/>
      <c r="K17" s="171">
        <f>AVERAGE('3. Consumption by Rate Class'!N25,'3. Consumption by Rate Class'!N36)</f>
        <v>134</v>
      </c>
      <c r="L17" s="169"/>
      <c r="M17" s="200">
        <f>IF(SUM('3. Consumption by Rate Class'!Q25:Q36)&gt;0,+AVERAGE('3. Consumption by Rate Class'!Q25,'3. Consumption by Rate Class'!Q36),0)</f>
        <v>2604</v>
      </c>
      <c r="N17" s="169"/>
      <c r="O17" s="200">
        <f>AVERAGE('3. Consumption by Rate Class'!T25,'3. Consumption by Rate Class'!T36)</f>
        <v>250</v>
      </c>
      <c r="P17" s="172"/>
      <c r="Q17" s="388"/>
      <c r="R17" s="169"/>
      <c r="S17" s="388"/>
      <c r="T17" s="169"/>
      <c r="V17" s="241">
        <f>+C17+E17+G17+I17+K17+M17+O17+Q17</f>
        <v>13126</v>
      </c>
      <c r="W17" s="242"/>
    </row>
    <row r="18" spans="2:23" x14ac:dyDescent="0.2">
      <c r="B18" s="8">
        <f>'1. LDC Info'!F25-9</f>
        <v>2006</v>
      </c>
      <c r="C18" s="201">
        <f>AVERAGE('3. Consumption by Rate Class'!E37,'3. Consumption by Rate Class'!E48)</f>
        <v>8696</v>
      </c>
      <c r="D18" s="173">
        <f>C18/C17</f>
        <v>1.0082318840579709</v>
      </c>
      <c r="E18" s="201">
        <f>AVERAGE('3. Consumption by Rate Class'!G37,'3. Consumption by Rate Class'!G48)</f>
        <v>1449</v>
      </c>
      <c r="F18" s="173">
        <f>E18/E17</f>
        <v>0.9685828877005348</v>
      </c>
      <c r="G18" s="18">
        <f>AVERAGE('3. Consumption by Rate Class'!I37,'3. Consumption by Rate Class'!I48)</f>
        <v>20</v>
      </c>
      <c r="H18" s="173">
        <f t="shared" ref="H18:H26" si="0">G18/G17</f>
        <v>1.1764705882352942</v>
      </c>
      <c r="I18" s="200"/>
      <c r="J18" s="173"/>
      <c r="K18" s="18">
        <f>AVERAGE('3. Consumption by Rate Class'!N37,'3. Consumption by Rate Class'!N48)</f>
        <v>136</v>
      </c>
      <c r="L18" s="173">
        <f t="shared" ref="L18:L26" si="1">K18/K17</f>
        <v>1.0149253731343284</v>
      </c>
      <c r="M18" s="200">
        <f>IF(SUM('3. Consumption by Rate Class'!Q37:Q48)&gt;0,+AVERAGE('3. Consumption by Rate Class'!Q37,'3. Consumption by Rate Class'!Q48),0)</f>
        <v>2635</v>
      </c>
      <c r="N18" s="173">
        <f>IF(M18&gt;0,+M18/M17,0)</f>
        <v>1.0119047619047619</v>
      </c>
      <c r="O18" s="201">
        <f>AVERAGE('3. Consumption by Rate Class'!T37,'3. Consumption by Rate Class'!T48)</f>
        <v>225</v>
      </c>
      <c r="P18" s="174">
        <f>O18/O17</f>
        <v>0.9</v>
      </c>
      <c r="Q18" s="388"/>
      <c r="R18" s="173"/>
      <c r="S18" s="388"/>
      <c r="T18" s="173"/>
      <c r="V18" s="399">
        <f t="shared" ref="V18:V26" si="2">+C18+E18+G18+I18+K18+M18+O18+Q18</f>
        <v>13161</v>
      </c>
      <c r="W18" s="240">
        <f t="shared" ref="W18:W26" si="3">V18/V17</f>
        <v>1.0026664635075422</v>
      </c>
    </row>
    <row r="19" spans="2:23" x14ac:dyDescent="0.2">
      <c r="B19" s="8">
        <f>'1. LDC Info'!F25-8</f>
        <v>2007</v>
      </c>
      <c r="C19" s="201">
        <f>AVERAGE('3. Consumption by Rate Class'!E49,'3. Consumption by Rate Class'!E60)</f>
        <v>8809</v>
      </c>
      <c r="D19" s="173">
        <f t="shared" ref="D19:F26" si="4">C19/C18</f>
        <v>1.0129944802207911</v>
      </c>
      <c r="E19" s="201">
        <f>AVERAGE('3. Consumption by Rate Class'!G49,'3. Consumption by Rate Class'!G60)</f>
        <v>1442</v>
      </c>
      <c r="F19" s="173">
        <f t="shared" si="4"/>
        <v>0.99516908212560384</v>
      </c>
      <c r="G19" s="18">
        <f>AVERAGE('3. Consumption by Rate Class'!I49,'3. Consumption by Rate Class'!I60)</f>
        <v>20</v>
      </c>
      <c r="H19" s="173">
        <f t="shared" si="0"/>
        <v>1</v>
      </c>
      <c r="I19" s="200"/>
      <c r="J19" s="173"/>
      <c r="K19" s="18">
        <f>AVERAGE('3. Consumption by Rate Class'!N49,'3. Consumption by Rate Class'!N60)</f>
        <v>136</v>
      </c>
      <c r="L19" s="173">
        <f t="shared" si="1"/>
        <v>1</v>
      </c>
      <c r="M19" s="200">
        <f>IF(SUM('3. Consumption by Rate Class'!Q49:Q60)&gt;0,+AVERAGE('3. Consumption by Rate Class'!Q49,'3. Consumption by Rate Class'!Q60),0)</f>
        <v>2648</v>
      </c>
      <c r="N19" s="173">
        <f t="shared" ref="N19:N26" si="5">IF(M19&gt;0,+M19/M18,0)</f>
        <v>1.0049335863377609</v>
      </c>
      <c r="O19" s="201">
        <f>AVERAGE('3. Consumption by Rate Class'!T49,'3. Consumption by Rate Class'!T60)</f>
        <v>225</v>
      </c>
      <c r="P19" s="174">
        <f t="shared" ref="P19:P26" si="6">O19/O18</f>
        <v>1</v>
      </c>
      <c r="Q19" s="388"/>
      <c r="R19" s="173"/>
      <c r="S19" s="388"/>
      <c r="T19" s="173"/>
      <c r="V19" s="399">
        <f t="shared" si="2"/>
        <v>13280</v>
      </c>
      <c r="W19" s="240">
        <f t="shared" si="3"/>
        <v>1.0090418661195957</v>
      </c>
    </row>
    <row r="20" spans="2:23" x14ac:dyDescent="0.2">
      <c r="B20" s="8">
        <f>'1. LDC Info'!F25-7</f>
        <v>2008</v>
      </c>
      <c r="C20" s="201">
        <f>AVERAGE('3. Consumption by Rate Class'!E61,'3. Consumption by Rate Class'!E72)</f>
        <v>8809</v>
      </c>
      <c r="D20" s="173">
        <f t="shared" si="4"/>
        <v>1</v>
      </c>
      <c r="E20" s="201">
        <f>AVERAGE('3. Consumption by Rate Class'!G61,'3. Consumption by Rate Class'!G72)</f>
        <v>1409</v>
      </c>
      <c r="F20" s="173">
        <f t="shared" si="4"/>
        <v>0.97711511789181693</v>
      </c>
      <c r="G20" s="18">
        <f>AVERAGE('3. Consumption by Rate Class'!I61,'3. Consumption by Rate Class'!I72)</f>
        <v>20</v>
      </c>
      <c r="H20" s="173">
        <f t="shared" si="0"/>
        <v>1</v>
      </c>
      <c r="I20" s="200"/>
      <c r="J20" s="173"/>
      <c r="K20" s="18">
        <f>AVERAGE('3. Consumption by Rate Class'!N61,'3. Consumption by Rate Class'!N72)</f>
        <v>143</v>
      </c>
      <c r="L20" s="173">
        <f t="shared" si="1"/>
        <v>1.0514705882352942</v>
      </c>
      <c r="M20" s="200">
        <f>IF(SUM('3. Consumption by Rate Class'!Q61:Q72)&gt;0,+AVERAGE('3. Consumption by Rate Class'!Q61,'3. Consumption by Rate Class'!Q72),0)</f>
        <v>2653</v>
      </c>
      <c r="N20" s="173">
        <f t="shared" si="5"/>
        <v>1.0018882175226587</v>
      </c>
      <c r="O20" s="201">
        <f>AVERAGE('3. Consumption by Rate Class'!T61,'3. Consumption by Rate Class'!T72)</f>
        <v>226</v>
      </c>
      <c r="P20" s="174">
        <f t="shared" si="6"/>
        <v>1.0044444444444445</v>
      </c>
      <c r="Q20" s="388"/>
      <c r="R20" s="173"/>
      <c r="S20" s="388"/>
      <c r="T20" s="173"/>
      <c r="V20" s="399">
        <f t="shared" si="2"/>
        <v>13260</v>
      </c>
      <c r="W20" s="240">
        <f t="shared" si="3"/>
        <v>0.99849397590361444</v>
      </c>
    </row>
    <row r="21" spans="2:23" x14ac:dyDescent="0.2">
      <c r="B21" s="8">
        <f>'1. LDC Info'!F25-6</f>
        <v>2009</v>
      </c>
      <c r="C21" s="201">
        <f>AVERAGE('3. Consumption by Rate Class'!E73,'3. Consumption by Rate Class'!E84)</f>
        <v>8941</v>
      </c>
      <c r="D21" s="173">
        <f t="shared" si="4"/>
        <v>1.0149846747644455</v>
      </c>
      <c r="E21" s="201">
        <f>AVERAGE('3. Consumption by Rate Class'!G73,'3. Consumption by Rate Class'!G84)</f>
        <v>1394</v>
      </c>
      <c r="F21" s="173">
        <f t="shared" si="4"/>
        <v>0.98935415188076647</v>
      </c>
      <c r="G21" s="18">
        <f>AVERAGE('3. Consumption by Rate Class'!I73,'3. Consumption by Rate Class'!I84)</f>
        <v>20</v>
      </c>
      <c r="H21" s="173">
        <f t="shared" si="0"/>
        <v>1</v>
      </c>
      <c r="I21" s="200"/>
      <c r="J21" s="173"/>
      <c r="K21" s="18">
        <f>AVERAGE('3. Consumption by Rate Class'!N73,'3. Consumption by Rate Class'!N84)</f>
        <v>144</v>
      </c>
      <c r="L21" s="173">
        <f t="shared" si="1"/>
        <v>1.0069930069930071</v>
      </c>
      <c r="M21" s="200">
        <f>IF(SUM('3. Consumption by Rate Class'!Q73:Q84)&gt;0,+AVERAGE('3. Consumption by Rate Class'!Q73,'3. Consumption by Rate Class'!Q84),0)</f>
        <v>2701</v>
      </c>
      <c r="N21" s="173">
        <f t="shared" si="5"/>
        <v>1.0180927252167358</v>
      </c>
      <c r="O21" s="201">
        <f>AVERAGE('3. Consumption by Rate Class'!T73,'3. Consumption by Rate Class'!T84)</f>
        <v>226</v>
      </c>
      <c r="P21" s="174">
        <f t="shared" si="6"/>
        <v>1</v>
      </c>
      <c r="Q21" s="388"/>
      <c r="R21" s="173"/>
      <c r="S21" s="388"/>
      <c r="T21" s="173"/>
      <c r="V21" s="399">
        <f t="shared" si="2"/>
        <v>13426</v>
      </c>
      <c r="W21" s="240">
        <f t="shared" si="3"/>
        <v>1.0125188536953242</v>
      </c>
    </row>
    <row r="22" spans="2:23" x14ac:dyDescent="0.2">
      <c r="B22" s="8">
        <f>'1. LDC Info'!F25-5</f>
        <v>2010</v>
      </c>
      <c r="C22" s="201">
        <f>AVERAGE('3. Consumption by Rate Class'!E85,'3. Consumption by Rate Class'!E96)</f>
        <v>8955</v>
      </c>
      <c r="D22" s="173">
        <f t="shared" si="4"/>
        <v>1.0015658203780338</v>
      </c>
      <c r="E22" s="201">
        <f>AVERAGE('3. Consumption by Rate Class'!G85,'3. Consumption by Rate Class'!G96)</f>
        <v>1372</v>
      </c>
      <c r="F22" s="173">
        <f t="shared" si="4"/>
        <v>0.98421807747489243</v>
      </c>
      <c r="G22" s="18">
        <f>AVERAGE('3. Consumption by Rate Class'!I85,'3. Consumption by Rate Class'!I96)</f>
        <v>20</v>
      </c>
      <c r="H22" s="173">
        <f t="shared" si="0"/>
        <v>1</v>
      </c>
      <c r="I22" s="200"/>
      <c r="J22" s="173"/>
      <c r="K22" s="18">
        <f>AVERAGE('3. Consumption by Rate Class'!N85,'3. Consumption by Rate Class'!N96)</f>
        <v>148</v>
      </c>
      <c r="L22" s="173">
        <f t="shared" si="1"/>
        <v>1.0277777777777777</v>
      </c>
      <c r="M22" s="200">
        <f>IF(SUM('3. Consumption by Rate Class'!Q85:Q96)&gt;0,+AVERAGE('3. Consumption by Rate Class'!Q85,'3. Consumption by Rate Class'!Q96),0)</f>
        <v>2713</v>
      </c>
      <c r="N22" s="173">
        <f t="shared" si="5"/>
        <v>1.0044427989633469</v>
      </c>
      <c r="O22" s="201">
        <f>AVERAGE('3. Consumption by Rate Class'!T85,'3. Consumption by Rate Class'!T96)</f>
        <v>216</v>
      </c>
      <c r="P22" s="174">
        <f t="shared" si="6"/>
        <v>0.95575221238938057</v>
      </c>
      <c r="Q22" s="388"/>
      <c r="R22" s="173"/>
      <c r="S22" s="388"/>
      <c r="T22" s="173"/>
      <c r="V22" s="399">
        <f t="shared" si="2"/>
        <v>13424</v>
      </c>
      <c r="W22" s="240">
        <f t="shared" si="3"/>
        <v>0.99985103530463282</v>
      </c>
    </row>
    <row r="23" spans="2:23" x14ac:dyDescent="0.2">
      <c r="B23" s="8">
        <f>'1. LDC Info'!F25-4</f>
        <v>2011</v>
      </c>
      <c r="C23" s="201">
        <f>AVERAGE('3. Consumption by Rate Class'!E97,'3. Consumption by Rate Class'!E108)</f>
        <v>9030</v>
      </c>
      <c r="D23" s="173">
        <f t="shared" si="4"/>
        <v>1.0083752093802345</v>
      </c>
      <c r="E23" s="201">
        <f>AVERAGE('3. Consumption by Rate Class'!G97,'3. Consumption by Rate Class'!G108)</f>
        <v>1370</v>
      </c>
      <c r="F23" s="173">
        <f t="shared" si="4"/>
        <v>0.99854227405247808</v>
      </c>
      <c r="G23" s="18">
        <f>AVERAGE('3. Consumption by Rate Class'!I97,'3. Consumption by Rate Class'!I108)</f>
        <v>20</v>
      </c>
      <c r="H23" s="173">
        <f t="shared" si="0"/>
        <v>1</v>
      </c>
      <c r="I23" s="200"/>
      <c r="J23" s="173"/>
      <c r="K23" s="18">
        <f>AVERAGE('3. Consumption by Rate Class'!N97,'3. Consumption by Rate Class'!N108)</f>
        <v>145</v>
      </c>
      <c r="L23" s="173">
        <f t="shared" si="1"/>
        <v>0.97972972972972971</v>
      </c>
      <c r="M23" s="200">
        <f>IF(SUM('3. Consumption by Rate Class'!Q97:Q108)&gt;0,+AVERAGE('3. Consumption by Rate Class'!Q97,'3. Consumption by Rate Class'!Q108),0)</f>
        <v>2769</v>
      </c>
      <c r="N23" s="173">
        <f t="shared" si="5"/>
        <v>1.0206413564319941</v>
      </c>
      <c r="O23" s="201">
        <f>AVERAGE('3. Consumption by Rate Class'!T97,'3. Consumption by Rate Class'!T108)</f>
        <v>209</v>
      </c>
      <c r="P23" s="174">
        <f t="shared" si="6"/>
        <v>0.96759259259259256</v>
      </c>
      <c r="Q23" s="388"/>
      <c r="R23" s="173"/>
      <c r="S23" s="388"/>
      <c r="T23" s="173"/>
      <c r="V23" s="399">
        <f t="shared" si="2"/>
        <v>13543</v>
      </c>
      <c r="W23" s="240">
        <f t="shared" si="3"/>
        <v>1.0088647199046483</v>
      </c>
    </row>
    <row r="24" spans="2:23" x14ac:dyDescent="0.2">
      <c r="B24" s="8">
        <f>'1. LDC Info'!F25-3</f>
        <v>2012</v>
      </c>
      <c r="C24" s="201">
        <f>AVERAGE('3. Consumption by Rate Class'!E109,'3. Consumption by Rate Class'!E120)</f>
        <v>9086.5</v>
      </c>
      <c r="D24" s="173">
        <f t="shared" si="4"/>
        <v>1.0062569213732004</v>
      </c>
      <c r="E24" s="201">
        <f>AVERAGE('3. Consumption by Rate Class'!G109,'3. Consumption by Rate Class'!G120)</f>
        <v>1361.5</v>
      </c>
      <c r="F24" s="173">
        <f t="shared" si="4"/>
        <v>0.99379562043795622</v>
      </c>
      <c r="G24" s="18">
        <f>AVERAGE('3. Consumption by Rate Class'!I109,'3. Consumption by Rate Class'!I120)</f>
        <v>20</v>
      </c>
      <c r="H24" s="173">
        <f t="shared" si="0"/>
        <v>1</v>
      </c>
      <c r="I24" s="200"/>
      <c r="J24" s="173"/>
      <c r="K24" s="18">
        <f>AVERAGE('3. Consumption by Rate Class'!N109,'3. Consumption by Rate Class'!N120)</f>
        <v>145</v>
      </c>
      <c r="L24" s="173">
        <f t="shared" si="1"/>
        <v>1</v>
      </c>
      <c r="M24" s="200">
        <f>IF(SUM('3. Consumption by Rate Class'!Q109:Q120)&gt;0,+AVERAGE('3. Consumption by Rate Class'!Q109,'3. Consumption by Rate Class'!Q120),0)</f>
        <v>2774.5</v>
      </c>
      <c r="N24" s="173">
        <f t="shared" si="5"/>
        <v>1.0019862766341641</v>
      </c>
      <c r="O24" s="201">
        <f>AVERAGE('3. Consumption by Rate Class'!T109,'3. Consumption by Rate Class'!T120)</f>
        <v>208.5</v>
      </c>
      <c r="P24" s="174">
        <f t="shared" si="6"/>
        <v>0.99760765550239239</v>
      </c>
      <c r="Q24" s="388"/>
      <c r="R24" s="173"/>
      <c r="S24" s="388"/>
      <c r="T24" s="173"/>
      <c r="V24" s="399">
        <f t="shared" si="2"/>
        <v>13596</v>
      </c>
      <c r="W24" s="240">
        <f t="shared" si="3"/>
        <v>1.0039134608284723</v>
      </c>
    </row>
    <row r="25" spans="2:23" x14ac:dyDescent="0.2">
      <c r="B25" s="8">
        <f>'1. LDC Info'!F25-2</f>
        <v>2013</v>
      </c>
      <c r="C25" s="201">
        <f>AVERAGE('3. Consumption by Rate Class'!E121,'3. Consumption by Rate Class'!E132)</f>
        <v>9195</v>
      </c>
      <c r="D25" s="173">
        <f t="shared" si="4"/>
        <v>1.0119407912837726</v>
      </c>
      <c r="E25" s="201">
        <f>AVERAGE('3. Consumption by Rate Class'!G121,'3. Consumption by Rate Class'!G132)</f>
        <v>1332.5</v>
      </c>
      <c r="F25" s="173">
        <f t="shared" si="4"/>
        <v>0.97869996327579878</v>
      </c>
      <c r="G25" s="18">
        <f>AVERAGE('3. Consumption by Rate Class'!I121,'3. Consumption by Rate Class'!I132)</f>
        <v>20</v>
      </c>
      <c r="H25" s="173">
        <f t="shared" si="0"/>
        <v>1</v>
      </c>
      <c r="I25" s="200"/>
      <c r="J25" s="173"/>
      <c r="K25" s="18">
        <f>AVERAGE('3. Consumption by Rate Class'!N121,'3. Consumption by Rate Class'!N132)</f>
        <v>145.5</v>
      </c>
      <c r="L25" s="173">
        <f t="shared" si="1"/>
        <v>1.0034482758620689</v>
      </c>
      <c r="M25" s="200">
        <f>IF(SUM('3. Consumption by Rate Class'!Q121:Q132)&gt;0,+AVERAGE('3. Consumption by Rate Class'!Q121,'3. Consumption by Rate Class'!Q132),0)</f>
        <v>2787</v>
      </c>
      <c r="N25" s="173">
        <f t="shared" si="5"/>
        <v>1.0045053162732023</v>
      </c>
      <c r="O25" s="201">
        <f>AVERAGE('3. Consumption by Rate Class'!T121,'3. Consumption by Rate Class'!T132)</f>
        <v>206.5</v>
      </c>
      <c r="P25" s="174">
        <f t="shared" si="6"/>
        <v>0.99040767386091122</v>
      </c>
      <c r="Q25" s="388"/>
      <c r="R25" s="173"/>
      <c r="S25" s="388"/>
      <c r="T25" s="173"/>
      <c r="V25" s="399">
        <f t="shared" si="2"/>
        <v>13686.5</v>
      </c>
      <c r="W25" s="240">
        <f t="shared" si="3"/>
        <v>1.0066563695204471</v>
      </c>
    </row>
    <row r="26" spans="2:23" x14ac:dyDescent="0.2">
      <c r="B26" s="8">
        <f>'1. LDC Info'!F25-1</f>
        <v>2014</v>
      </c>
      <c r="C26" s="201">
        <f>AVERAGE('3. Consumption by Rate Class'!E133,'3. Consumption by Rate Class'!E144)</f>
        <v>9305</v>
      </c>
      <c r="D26" s="173">
        <f t="shared" si="4"/>
        <v>1.011963023382273</v>
      </c>
      <c r="E26" s="201">
        <f>AVERAGE('3. Consumption by Rate Class'!G133,'3. Consumption by Rate Class'!G144)</f>
        <v>1318</v>
      </c>
      <c r="F26" s="173">
        <f t="shared" si="4"/>
        <v>0.98911819887429642</v>
      </c>
      <c r="G26" s="18">
        <f>AVERAGE('3. Consumption by Rate Class'!I133,'3. Consumption by Rate Class'!I144)</f>
        <v>20</v>
      </c>
      <c r="H26" s="173">
        <f t="shared" si="0"/>
        <v>1</v>
      </c>
      <c r="I26" s="200"/>
      <c r="J26" s="173"/>
      <c r="K26" s="18">
        <f>AVERAGE('3. Consumption by Rate Class'!N133,'3. Consumption by Rate Class'!N144)</f>
        <v>146.5</v>
      </c>
      <c r="L26" s="173">
        <f t="shared" si="1"/>
        <v>1.006872852233677</v>
      </c>
      <c r="M26" s="200">
        <f>IF(SUM('3. Consumption by Rate Class'!Q132:Q144)&gt;0,+AVERAGE('3. Consumption by Rate Class'!Q133,'3. Consumption by Rate Class'!Q144),0)</f>
        <v>2802.5</v>
      </c>
      <c r="N26" s="173">
        <f t="shared" si="5"/>
        <v>1.0055615357014711</v>
      </c>
      <c r="O26" s="201">
        <f>AVERAGE('3. Consumption by Rate Class'!T133,'3. Consumption by Rate Class'!T144)</f>
        <v>204</v>
      </c>
      <c r="P26" s="174">
        <f t="shared" si="6"/>
        <v>0.98789346246973364</v>
      </c>
      <c r="Q26" s="388"/>
      <c r="R26" s="173"/>
      <c r="S26" s="388"/>
      <c r="T26" s="173"/>
      <c r="V26" s="399">
        <f t="shared" si="2"/>
        <v>13796</v>
      </c>
      <c r="W26" s="240">
        <f t="shared" si="3"/>
        <v>1.0080005845175903</v>
      </c>
    </row>
    <row r="27" spans="2:23" x14ac:dyDescent="0.2">
      <c r="B27" s="12"/>
      <c r="C27" s="295"/>
      <c r="D27" s="10"/>
      <c r="E27" s="295"/>
      <c r="F27" s="10"/>
      <c r="G27" s="13"/>
      <c r="H27" s="10"/>
      <c r="I27" s="295"/>
      <c r="J27" s="10"/>
      <c r="K27" s="13"/>
      <c r="L27" s="10"/>
      <c r="M27" s="295"/>
      <c r="N27" s="10"/>
      <c r="O27" s="295"/>
      <c r="P27" s="11"/>
      <c r="Q27" s="295"/>
      <c r="R27" s="10"/>
      <c r="S27" s="295"/>
      <c r="T27" s="10"/>
      <c r="V27" s="241"/>
      <c r="W27" s="242"/>
    </row>
    <row r="28" spans="2:23" x14ac:dyDescent="0.2">
      <c r="B28" s="14" t="s">
        <v>4</v>
      </c>
      <c r="C28" s="295"/>
      <c r="D28" s="15">
        <f>GEOMEAN(D18:D26)</f>
        <v>1.0084675292283103</v>
      </c>
      <c r="E28" s="297"/>
      <c r="F28" s="15">
        <f>GEOMEAN(F18:F26)</f>
        <v>0.98602310290180539</v>
      </c>
      <c r="G28" s="16"/>
      <c r="H28" s="15">
        <f>GEOMEAN(H18:H26)</f>
        <v>1.0182216841713987</v>
      </c>
      <c r="I28" s="297"/>
      <c r="J28" s="15"/>
      <c r="K28" s="16"/>
      <c r="L28" s="15">
        <f>GEOMEAN(L18:L26)</f>
        <v>1.0099587761008677</v>
      </c>
      <c r="M28" s="297"/>
      <c r="N28" s="15">
        <f>IF(SUM(N18:N26)&gt;0,+GEOMEAN(N18:N26),0)</f>
        <v>1.0081959770234488</v>
      </c>
      <c r="O28" s="297"/>
      <c r="P28" s="17">
        <f>GEOMEAN(P18:P26)</f>
        <v>0.97765988429467043</v>
      </c>
      <c r="Q28" s="297"/>
      <c r="R28" s="15"/>
      <c r="S28" s="297"/>
      <c r="T28" s="15"/>
      <c r="V28" s="241"/>
      <c r="W28" s="17">
        <f>GEOMEAN(W18:W26)</f>
        <v>1.0055468492298496</v>
      </c>
    </row>
    <row r="29" spans="2:23" x14ac:dyDescent="0.2">
      <c r="B29" s="14"/>
      <c r="C29" s="295"/>
      <c r="D29" s="15"/>
      <c r="E29" s="297"/>
      <c r="F29" s="15"/>
      <c r="G29" s="16"/>
      <c r="H29" s="15"/>
      <c r="I29" s="297"/>
      <c r="J29" s="15"/>
      <c r="K29" s="16"/>
      <c r="L29" s="15"/>
      <c r="M29" s="297"/>
      <c r="N29" s="15"/>
      <c r="O29" s="297"/>
      <c r="P29" s="17"/>
      <c r="Q29" s="297"/>
      <c r="R29" s="15"/>
      <c r="S29" s="297"/>
      <c r="T29" s="15"/>
      <c r="V29" s="241"/>
      <c r="W29" s="242"/>
    </row>
    <row r="30" spans="2:23" x14ac:dyDescent="0.2">
      <c r="B30" s="9" t="str">
        <f>'1. LDC Info'!F25</f>
        <v>2015</v>
      </c>
      <c r="C30" s="748">
        <f>C26*D28</f>
        <v>9383.7903594694271</v>
      </c>
      <c r="D30" s="10" t="s">
        <v>30</v>
      </c>
      <c r="E30" s="748">
        <f>E26*F28</f>
        <v>1299.5784496245794</v>
      </c>
      <c r="F30" s="19"/>
      <c r="G30" s="750">
        <f>G26*H28</f>
        <v>20.364433683427976</v>
      </c>
      <c r="H30" s="19"/>
      <c r="I30" s="201"/>
      <c r="J30" s="19"/>
      <c r="K30" s="750">
        <f>K26*L28</f>
        <v>147.9589606987771</v>
      </c>
      <c r="L30" s="19"/>
      <c r="M30" s="748">
        <f>M26*N28</f>
        <v>2825.4692256082153</v>
      </c>
      <c r="N30" s="19"/>
      <c r="O30" s="748">
        <f>O26*P28</f>
        <v>199.44261639611278</v>
      </c>
      <c r="P30" s="20"/>
      <c r="Q30" s="390"/>
      <c r="R30" s="19"/>
      <c r="S30" s="390"/>
      <c r="T30" s="756"/>
      <c r="V30" s="241">
        <f>+C30+E30+G30+I30+K30+M30+O30+Q30</f>
        <v>13876.604045480539</v>
      </c>
      <c r="W30" s="242"/>
    </row>
    <row r="31" spans="2:23" ht="13.5" thickBot="1" x14ac:dyDescent="0.25">
      <c r="B31" s="21" t="str">
        <f>'1. LDC Info'!F27</f>
        <v>2016</v>
      </c>
      <c r="C31" s="749">
        <f>C30*D28</f>
        <v>9463.2478786105712</v>
      </c>
      <c r="D31" s="22" t="s">
        <v>30</v>
      </c>
      <c r="E31" s="749">
        <f>E30*F28</f>
        <v>1281.4143753631454</v>
      </c>
      <c r="F31" s="23"/>
      <c r="G31" s="751">
        <f>G30*H28</f>
        <v>20.735507962336793</v>
      </c>
      <c r="H31" s="23"/>
      <c r="I31" s="296"/>
      <c r="J31" s="23"/>
      <c r="K31" s="751">
        <f>K30*L28</f>
        <v>149.4324508604933</v>
      </c>
      <c r="L31" s="23"/>
      <c r="M31" s="749">
        <f>M30*N28</f>
        <v>2848.6267064617618</v>
      </c>
      <c r="N31" s="23"/>
      <c r="O31" s="749">
        <f>O30*P28</f>
        <v>194.98704526924996</v>
      </c>
      <c r="P31" s="24"/>
      <c r="Q31" s="296"/>
      <c r="R31" s="23"/>
      <c r="S31" s="296"/>
      <c r="T31" s="757"/>
      <c r="V31" s="399">
        <f>+C31+E31+G31+I31+K31+M31+O31+Q31</f>
        <v>13958.44396452756</v>
      </c>
      <c r="W31" s="194"/>
    </row>
    <row r="32" spans="2:23" x14ac:dyDescent="0.2">
      <c r="Q32" s="536"/>
      <c r="R32" s="536"/>
      <c r="V32" s="239"/>
    </row>
    <row r="33" spans="2:23" x14ac:dyDescent="0.2">
      <c r="B33" s="177" t="s">
        <v>175</v>
      </c>
      <c r="Q33" s="536"/>
      <c r="R33" s="536"/>
      <c r="V33" s="239"/>
    </row>
    <row r="34" spans="2:23" ht="13.5" thickBot="1" x14ac:dyDescent="0.25">
      <c r="Q34" s="536"/>
      <c r="R34" s="536"/>
      <c r="V34" s="239"/>
    </row>
    <row r="35" spans="2:23" x14ac:dyDescent="0.2">
      <c r="B35" s="278" t="s">
        <v>31</v>
      </c>
      <c r="C35" s="25"/>
      <c r="D35" s="25"/>
      <c r="E35" s="25"/>
      <c r="F35" s="25"/>
      <c r="G35" s="25"/>
      <c r="H35" s="25"/>
      <c r="I35" s="25"/>
      <c r="J35" s="25"/>
      <c r="K35" s="25"/>
      <c r="L35" s="25"/>
      <c r="M35" s="25"/>
      <c r="N35" s="25"/>
      <c r="O35" s="25"/>
      <c r="P35" s="26"/>
      <c r="Q35" s="25"/>
      <c r="R35" s="25"/>
      <c r="S35" s="25"/>
      <c r="T35" s="26"/>
      <c r="V35" s="999" t="s">
        <v>31</v>
      </c>
      <c r="W35" s="1000"/>
    </row>
    <row r="36" spans="2:23" x14ac:dyDescent="0.2">
      <c r="B36" s="168" t="str">
        <f>'1. LDC Info'!F25</f>
        <v>2015</v>
      </c>
      <c r="C36" s="298"/>
      <c r="D36" s="10">
        <f>C36/C26</f>
        <v>0</v>
      </c>
      <c r="E36" s="298"/>
      <c r="F36" s="10">
        <f>E36/E26</f>
        <v>0</v>
      </c>
      <c r="G36" s="298">
        <v>20</v>
      </c>
      <c r="H36" s="10">
        <f>G36/G26</f>
        <v>1</v>
      </c>
      <c r="I36" s="298"/>
      <c r="J36" s="173">
        <f>IF(I36&gt;0,+I36/I26,0)</f>
        <v>0</v>
      </c>
      <c r="K36" s="298">
        <v>146</v>
      </c>
      <c r="L36" s="10">
        <f>K36/K26</f>
        <v>0.9965870307167235</v>
      </c>
      <c r="M36" s="298"/>
      <c r="N36" s="173">
        <f>IF(M36&gt;0,+M36/M26,0)</f>
        <v>0</v>
      </c>
      <c r="O36" s="298"/>
      <c r="P36" s="11">
        <f>O36/O26</f>
        <v>0</v>
      </c>
      <c r="Q36" s="528">
        <v>0</v>
      </c>
      <c r="R36" s="173" t="e">
        <f>Q36/Q26</f>
        <v>#DIV/0!</v>
      </c>
      <c r="S36" s="27"/>
      <c r="T36" s="11"/>
      <c r="V36" s="399">
        <f>+C36+E36+G36+I36+K36+M36+O36</f>
        <v>166</v>
      </c>
      <c r="W36" s="174">
        <f>V36/V26</f>
        <v>1.2032473180632067E-2</v>
      </c>
    </row>
    <row r="37" spans="2:23" ht="13.5" thickBot="1" x14ac:dyDescent="0.25">
      <c r="B37" s="167" t="str">
        <f>'1. LDC Info'!F27</f>
        <v>2016</v>
      </c>
      <c r="C37" s="299"/>
      <c r="D37" s="293">
        <f>IF(C37&gt;0,+C37/C36,0)</f>
        <v>0</v>
      </c>
      <c r="E37" s="299"/>
      <c r="F37" s="293">
        <f>IF(E37&gt;0,+E37/E36,0)</f>
        <v>0</v>
      </c>
      <c r="G37" s="299">
        <v>20</v>
      </c>
      <c r="H37" s="293">
        <f>IF(G37&gt;0,+G37/G36,0)</f>
        <v>1</v>
      </c>
      <c r="I37" s="299"/>
      <c r="J37" s="293">
        <f>IF(I37&gt;0,+I37/I36,0)</f>
        <v>0</v>
      </c>
      <c r="K37" s="299">
        <v>148</v>
      </c>
      <c r="L37" s="293">
        <f>IF(K37&gt;0,+K37/K36,0)</f>
        <v>1.0136986301369864</v>
      </c>
      <c r="M37" s="299"/>
      <c r="N37" s="293">
        <f>IF(M37&gt;0,+M37/M36,0)</f>
        <v>0</v>
      </c>
      <c r="O37" s="299"/>
      <c r="P37" s="243">
        <f>IF(O37&gt;0,+O37/O36,0)</f>
        <v>0</v>
      </c>
      <c r="Q37" s="299">
        <v>0</v>
      </c>
      <c r="R37" s="293">
        <f>IF(Q37&gt;0,+Q37/Q36,0)</f>
        <v>0</v>
      </c>
      <c r="S37" s="28"/>
      <c r="T37" s="29"/>
      <c r="V37" s="400">
        <f>+C37+E37+G37+I37+K37+M37+O37</f>
        <v>168</v>
      </c>
      <c r="W37" s="243">
        <f>IF(V37&gt;0,+V37/V36,0)</f>
        <v>1.0120481927710843</v>
      </c>
    </row>
    <row r="38" spans="2:23" x14ac:dyDescent="0.2">
      <c r="C38" s="182" t="s">
        <v>30</v>
      </c>
      <c r="V38" s="239"/>
    </row>
    <row r="39" spans="2:23" x14ac:dyDescent="0.2">
      <c r="B39" s="1" t="s">
        <v>130</v>
      </c>
      <c r="V39" s="239"/>
    </row>
    <row r="40" spans="2:23" ht="13.5" thickBot="1" x14ac:dyDescent="0.25">
      <c r="V40" s="239"/>
    </row>
    <row r="41" spans="2:23" x14ac:dyDescent="0.2">
      <c r="B41" s="1003" t="s">
        <v>159</v>
      </c>
      <c r="C41" s="1004"/>
      <c r="D41" s="1004"/>
      <c r="E41" s="1004"/>
      <c r="F41" s="1004"/>
      <c r="G41" s="1004"/>
      <c r="H41" s="1004"/>
      <c r="I41" s="1004"/>
      <c r="J41" s="1004"/>
      <c r="K41" s="1004"/>
      <c r="L41" s="1004"/>
      <c r="M41" s="1004"/>
      <c r="N41" s="1004"/>
      <c r="O41" s="1004"/>
      <c r="P41" s="1004"/>
      <c r="Q41" s="1004"/>
      <c r="R41" s="1005"/>
      <c r="V41" s="999" t="s">
        <v>31</v>
      </c>
      <c r="W41" s="1000"/>
    </row>
    <row r="42" spans="2:23" ht="13.5" thickBot="1" x14ac:dyDescent="0.25">
      <c r="B42" s="550">
        <v>2014</v>
      </c>
      <c r="C42" s="752">
        <f>IF(C36&gt;0,+C36,C30)</f>
        <v>9383.7903594694271</v>
      </c>
      <c r="D42" s="520">
        <f>IF(D36&gt;0,+D36,D28)</f>
        <v>1.0084675292283103</v>
      </c>
      <c r="E42" s="752">
        <f>IF(E36&gt;0,+E36,E30)</f>
        <v>1299.5784496245794</v>
      </c>
      <c r="F42" s="520">
        <f>IF(F36&gt;0,+F36,F28)</f>
        <v>0.98602310290180539</v>
      </c>
      <c r="G42" s="752">
        <f>IF(G36&gt;0,+G36,G30)</f>
        <v>20</v>
      </c>
      <c r="H42" s="520">
        <f>IF(H36&gt;0,+H36,H28)</f>
        <v>1</v>
      </c>
      <c r="I42" s="517">
        <f>IF(I36&gt;0,+I36,I30)</f>
        <v>0</v>
      </c>
      <c r="J42" s="520">
        <f>IF(J36&gt;0,+J36,J28)</f>
        <v>0</v>
      </c>
      <c r="K42" s="752">
        <f>IF(K36&gt;0,+K36,K30)</f>
        <v>146</v>
      </c>
      <c r="L42" s="520">
        <f>IF(L36&gt;0,+L36,L28)</f>
        <v>0.9965870307167235</v>
      </c>
      <c r="M42" s="752">
        <f>IF(M36&gt;0,+M36,M30)</f>
        <v>2825.4692256082153</v>
      </c>
      <c r="N42" s="520">
        <f>IF(N36&gt;0,+N36,N28)</f>
        <v>1.0081959770234488</v>
      </c>
      <c r="O42" s="752">
        <f>IF(O36&gt;0,+O36,O30)</f>
        <v>199.44261639611278</v>
      </c>
      <c r="P42" s="520">
        <f>IF(P36&gt;0,+P36,P28)</f>
        <v>0.97765988429467043</v>
      </c>
      <c r="Q42" s="517">
        <f>IF(Q36&gt;0,+Q36,Q30)</f>
        <v>0</v>
      </c>
      <c r="R42" s="754" t="e">
        <f>IF(R36&gt;0,+R36,R28)</f>
        <v>#DIV/0!</v>
      </c>
      <c r="V42" s="399">
        <f>+C42+E42+G42+I42+K42+M42+O42</f>
        <v>13874.280651098334</v>
      </c>
      <c r="W42" s="257">
        <f>IF(V36&gt;1,+W36,W28)</f>
        <v>1.2032473180632067E-2</v>
      </c>
    </row>
    <row r="43" spans="2:23" ht="13.5" thickBot="1" x14ac:dyDescent="0.25">
      <c r="B43" s="220">
        <v>2015</v>
      </c>
      <c r="C43" s="753">
        <f>IF(C37&gt;0,+C37,C31)</f>
        <v>9463.2478786105712</v>
      </c>
      <c r="D43" s="223">
        <f>IF(D37&gt;0,+D37,D28)</f>
        <v>1.0084675292283103</v>
      </c>
      <c r="E43" s="753">
        <f>IF(E37&gt;0,+E37,E31)</f>
        <v>1281.4143753631454</v>
      </c>
      <c r="F43" s="223">
        <f>IF(F37&gt;0,+F37,F28)</f>
        <v>0.98602310290180539</v>
      </c>
      <c r="G43" s="753">
        <f>IF(G37&gt;0,+G37,G31)</f>
        <v>20</v>
      </c>
      <c r="H43" s="223">
        <f>IF(H37&gt;0,+H37,H28)</f>
        <v>1</v>
      </c>
      <c r="I43" s="294">
        <f>IF(I37&gt;0,+I37,I31)</f>
        <v>0</v>
      </c>
      <c r="J43" s="223">
        <f>IF(J37&gt;0,+J37,J28)</f>
        <v>0</v>
      </c>
      <c r="K43" s="753">
        <f>IF(K37&gt;0,+K37,K31)</f>
        <v>148</v>
      </c>
      <c r="L43" s="223">
        <f>IF(L37&gt;0,+L37,L28)</f>
        <v>1.0136986301369864</v>
      </c>
      <c r="M43" s="753">
        <f>IF(M37&gt;0,+M37,M31)</f>
        <v>2848.6267064617618</v>
      </c>
      <c r="N43" s="223">
        <f>IF(N37&gt;0,+N37,N28)</f>
        <v>1.0081959770234488</v>
      </c>
      <c r="O43" s="753">
        <f>IF(O37&gt;0,+O37,O31)</f>
        <v>194.98704526924996</v>
      </c>
      <c r="P43" s="223">
        <f>IF(P37&gt;0,+P37,P28)</f>
        <v>0.97765988429467043</v>
      </c>
      <c r="Q43" s="294">
        <f>IF(Q37&gt;0,+Q37,Q31)</f>
        <v>0</v>
      </c>
      <c r="R43" s="755">
        <f>IF(R37&gt;0,+R37,R28)</f>
        <v>0</v>
      </c>
      <c r="V43" s="400">
        <f>+C43+E43+G43+I43+K43+M43+O43</f>
        <v>13956.276005704729</v>
      </c>
      <c r="W43" s="258">
        <f>IF(W37&gt;1,+W37,W28)</f>
        <v>1.0120481927710843</v>
      </c>
    </row>
    <row r="48" spans="2:23" x14ac:dyDescent="0.2">
      <c r="C48" s="300"/>
    </row>
    <row r="49" spans="3:3" x14ac:dyDescent="0.2">
      <c r="C49" s="300"/>
    </row>
  </sheetData>
  <mergeCells count="14">
    <mergeCell ref="V41:W41"/>
    <mergeCell ref="M15:N15"/>
    <mergeCell ref="B41:R41"/>
    <mergeCell ref="B10:I10"/>
    <mergeCell ref="C15:D15"/>
    <mergeCell ref="E15:F15"/>
    <mergeCell ref="G15:H15"/>
    <mergeCell ref="K15:L15"/>
    <mergeCell ref="I15:J15"/>
    <mergeCell ref="V15:W15"/>
    <mergeCell ref="V35:W35"/>
    <mergeCell ref="Q15:R15"/>
    <mergeCell ref="S15:T15"/>
    <mergeCell ref="O15:P15"/>
  </mergeCells>
  <phoneticPr fontId="0" type="noConversion"/>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pageSetUpPr fitToPage="1"/>
  </sheetPr>
  <dimension ref="A1:Z132"/>
  <sheetViews>
    <sheetView showGridLines="0" zoomScaleNormal="100" zoomScaleSheetLayoutView="100" workbookViewId="0">
      <selection activeCell="U48" sqref="U48"/>
    </sheetView>
  </sheetViews>
  <sheetFormatPr defaultRowHeight="12.75" x14ac:dyDescent="0.2"/>
  <cols>
    <col min="1" max="1" width="13.6640625" style="1" customWidth="1"/>
    <col min="2" max="2" width="24.83203125" style="58" customWidth="1"/>
    <col min="3" max="14" width="14.83203125" style="58" customWidth="1"/>
    <col min="15" max="15" width="16.6640625" style="1" customWidth="1"/>
    <col min="16" max="25" width="9.33203125" style="1"/>
    <col min="26" max="26" width="19.33203125" style="1" customWidth="1"/>
    <col min="27" max="16384" width="9.33203125" style="1"/>
  </cols>
  <sheetData>
    <row r="1" spans="1:15" s="536" customFormat="1" x14ac:dyDescent="0.2">
      <c r="A1" s="758" t="s">
        <v>272</v>
      </c>
      <c r="B1" s="58"/>
      <c r="C1" s="58"/>
      <c r="D1" s="58"/>
      <c r="E1" s="58"/>
      <c r="F1" s="58"/>
      <c r="G1" s="58"/>
      <c r="H1" s="58"/>
      <c r="I1" s="58"/>
      <c r="J1" s="58"/>
      <c r="K1" s="58"/>
      <c r="L1" s="58"/>
      <c r="M1" s="58"/>
      <c r="N1" s="58"/>
    </row>
    <row r="2" spans="1:15" s="536" customFormat="1" x14ac:dyDescent="0.2">
      <c r="B2" s="58"/>
      <c r="C2" s="58"/>
      <c r="D2" s="58"/>
      <c r="E2" s="58"/>
      <c r="F2" s="58"/>
      <c r="G2" s="58"/>
      <c r="H2" s="58"/>
      <c r="I2" s="58"/>
      <c r="J2" s="58"/>
      <c r="K2" s="58"/>
      <c r="L2" s="58"/>
      <c r="M2" s="58"/>
      <c r="N2" s="58"/>
    </row>
    <row r="3" spans="1:15" s="536" customFormat="1" x14ac:dyDescent="0.2">
      <c r="B3" s="58"/>
      <c r="C3" s="58"/>
      <c r="D3" s="58"/>
      <c r="E3" s="58"/>
      <c r="F3" s="58"/>
      <c r="G3" s="58"/>
      <c r="H3" s="58"/>
      <c r="I3" s="58"/>
      <c r="J3" s="58"/>
      <c r="K3" s="58"/>
      <c r="L3" s="58"/>
      <c r="M3" s="58"/>
      <c r="N3" s="58"/>
    </row>
    <row r="4" spans="1:15" s="536" customFormat="1" x14ac:dyDescent="0.2">
      <c r="B4" s="58"/>
      <c r="C4" s="58"/>
      <c r="D4" s="58"/>
      <c r="E4" s="58"/>
      <c r="F4" s="58"/>
      <c r="G4" s="58"/>
      <c r="H4" s="58"/>
      <c r="I4" s="58"/>
      <c r="J4" s="58"/>
      <c r="K4" s="58"/>
      <c r="L4" s="58"/>
      <c r="M4" s="58"/>
      <c r="N4" s="58"/>
    </row>
    <row r="5" spans="1:15" s="536" customFormat="1" x14ac:dyDescent="0.2">
      <c r="B5" s="58"/>
      <c r="C5" s="58"/>
      <c r="D5" s="58"/>
      <c r="E5" s="58"/>
      <c r="F5" s="58"/>
      <c r="G5" s="58"/>
      <c r="H5" s="58"/>
      <c r="I5" s="58"/>
      <c r="J5" s="58"/>
      <c r="K5" s="58"/>
      <c r="L5" s="58"/>
      <c r="M5" s="58"/>
      <c r="N5" s="58"/>
    </row>
    <row r="6" spans="1:15" s="536" customFormat="1" x14ac:dyDescent="0.2">
      <c r="B6" s="58"/>
      <c r="C6" s="58"/>
      <c r="D6" s="58"/>
      <c r="E6" s="58"/>
      <c r="F6" s="58"/>
      <c r="G6" s="58"/>
      <c r="H6" s="58"/>
      <c r="I6" s="58"/>
      <c r="J6" s="58"/>
      <c r="K6" s="58"/>
      <c r="L6" s="58"/>
      <c r="M6" s="58"/>
      <c r="N6" s="58"/>
    </row>
    <row r="7" spans="1:15" s="536" customFormat="1" x14ac:dyDescent="0.2">
      <c r="B7" s="58"/>
      <c r="C7" s="58"/>
      <c r="D7" s="58"/>
      <c r="E7" s="58"/>
      <c r="F7" s="58"/>
      <c r="G7" s="58"/>
      <c r="H7" s="58"/>
      <c r="I7" s="58"/>
      <c r="J7" s="58"/>
      <c r="K7" s="58"/>
      <c r="L7" s="58"/>
      <c r="M7" s="58"/>
      <c r="N7" s="58"/>
    </row>
    <row r="8" spans="1:15" s="536" customFormat="1" x14ac:dyDescent="0.2">
      <c r="B8" s="58"/>
      <c r="C8" s="58"/>
      <c r="D8" s="58"/>
      <c r="E8" s="58"/>
      <c r="F8" s="58"/>
      <c r="G8" s="58"/>
      <c r="H8" s="58"/>
      <c r="I8" s="58"/>
      <c r="J8" s="58"/>
      <c r="K8" s="58"/>
      <c r="L8" s="58"/>
      <c r="M8" s="58"/>
      <c r="N8" s="58"/>
    </row>
    <row r="9" spans="1:15" s="536" customFormat="1" x14ac:dyDescent="0.2">
      <c r="B9" s="58"/>
      <c r="C9" s="58"/>
      <c r="D9" s="58"/>
      <c r="E9" s="58"/>
      <c r="F9" s="58"/>
      <c r="G9" s="58"/>
      <c r="H9" s="58"/>
      <c r="I9" s="58"/>
      <c r="J9" s="58"/>
      <c r="K9" s="58"/>
      <c r="L9" s="58"/>
      <c r="M9" s="58"/>
      <c r="N9" s="58"/>
    </row>
    <row r="10" spans="1:15" x14ac:dyDescent="0.2">
      <c r="A10" s="245"/>
      <c r="B10" s="246"/>
      <c r="C10" s="246"/>
      <c r="D10" s="246"/>
      <c r="E10" s="246"/>
      <c r="F10" s="246"/>
      <c r="G10" s="246"/>
      <c r="H10" s="246"/>
      <c r="I10" s="246"/>
      <c r="J10" s="246"/>
      <c r="K10" s="246"/>
      <c r="L10" s="246"/>
      <c r="M10" s="246"/>
      <c r="N10" s="246"/>
      <c r="O10" s="245"/>
    </row>
    <row r="11" spans="1:15" ht="23.25" x14ac:dyDescent="0.35">
      <c r="A11" s="245"/>
      <c r="B11" s="247" t="s">
        <v>149</v>
      </c>
      <c r="C11" s="246"/>
      <c r="D11" s="246"/>
      <c r="E11" s="246"/>
      <c r="F11" s="246"/>
      <c r="G11" s="246"/>
      <c r="H11" s="246"/>
      <c r="I11" s="246"/>
      <c r="J11" s="246"/>
      <c r="K11" s="246"/>
      <c r="L11" s="246"/>
      <c r="M11" s="245"/>
      <c r="N11" s="1"/>
    </row>
    <row r="12" spans="1:15" ht="15" x14ac:dyDescent="0.2">
      <c r="A12" s="245"/>
      <c r="B12" s="63" t="s">
        <v>64</v>
      </c>
      <c r="C12" s="246"/>
      <c r="D12" s="246"/>
      <c r="E12" s="246"/>
      <c r="F12" s="246"/>
      <c r="G12" s="246"/>
      <c r="H12" s="246"/>
      <c r="I12" s="246"/>
      <c r="J12" s="246"/>
      <c r="K12" s="246"/>
      <c r="L12" s="246"/>
      <c r="M12" s="246"/>
      <c r="N12" s="246"/>
      <c r="O12" s="245"/>
    </row>
    <row r="13" spans="1:15" ht="14.25" x14ac:dyDescent="0.2">
      <c r="A13" s="245"/>
      <c r="B13" s="100" t="s">
        <v>248</v>
      </c>
      <c r="C13" s="246"/>
      <c r="D13" s="246"/>
      <c r="E13" s="246"/>
      <c r="F13" s="246"/>
      <c r="G13" s="246"/>
      <c r="H13" s="246"/>
      <c r="I13" s="246"/>
      <c r="J13" s="246"/>
      <c r="K13" s="246"/>
      <c r="L13" s="246"/>
      <c r="M13" s="246"/>
      <c r="N13" s="246"/>
      <c r="O13" s="245"/>
    </row>
    <row r="14" spans="1:15" ht="14.25" x14ac:dyDescent="0.2">
      <c r="A14" s="245"/>
      <c r="B14" s="746" t="s">
        <v>249</v>
      </c>
      <c r="C14" s="246"/>
      <c r="D14" s="246"/>
      <c r="E14" s="246"/>
      <c r="F14" s="246"/>
      <c r="G14" s="246"/>
      <c r="H14" s="246"/>
      <c r="I14" s="246"/>
      <c r="J14" s="246"/>
      <c r="K14" s="246"/>
      <c r="L14" s="246"/>
      <c r="M14" s="246"/>
      <c r="N14" s="246"/>
      <c r="O14" s="245"/>
    </row>
    <row r="15" spans="1:15" x14ac:dyDescent="0.2">
      <c r="A15" s="245"/>
      <c r="B15" s="246"/>
      <c r="C15" s="246"/>
      <c r="D15" s="246"/>
      <c r="E15" s="246"/>
      <c r="F15" s="246"/>
      <c r="G15" s="246"/>
      <c r="H15" s="246"/>
      <c r="I15" s="246"/>
      <c r="J15" s="246"/>
      <c r="K15" s="246"/>
      <c r="L15" s="246"/>
      <c r="M15" s="246"/>
      <c r="N15" s="246"/>
      <c r="O15" s="245"/>
    </row>
    <row r="16" spans="1:15" x14ac:dyDescent="0.2">
      <c r="A16" s="245"/>
      <c r="B16" s="244" t="s">
        <v>1</v>
      </c>
      <c r="C16" s="249" t="s">
        <v>137</v>
      </c>
      <c r="D16" s="249" t="s">
        <v>138</v>
      </c>
      <c r="E16" s="249" t="s">
        <v>139</v>
      </c>
      <c r="F16" s="249" t="s">
        <v>140</v>
      </c>
      <c r="G16" s="249" t="s">
        <v>116</v>
      </c>
      <c r="H16" s="249" t="s">
        <v>141</v>
      </c>
      <c r="I16" s="249" t="s">
        <v>142</v>
      </c>
      <c r="J16" s="249" t="s">
        <v>143</v>
      </c>
      <c r="K16" s="249" t="s">
        <v>144</v>
      </c>
      <c r="L16" s="249" t="s">
        <v>147</v>
      </c>
      <c r="M16" s="249" t="s">
        <v>145</v>
      </c>
      <c r="N16" s="249" t="s">
        <v>146</v>
      </c>
      <c r="O16" s="245"/>
    </row>
    <row r="17" spans="1:26" x14ac:dyDescent="0.2">
      <c r="A17" s="248"/>
      <c r="B17" s="250" t="s">
        <v>244</v>
      </c>
      <c r="C17" s="525"/>
      <c r="D17" s="525"/>
      <c r="E17" s="525"/>
      <c r="F17" s="525"/>
      <c r="G17" s="525"/>
      <c r="H17" s="525"/>
      <c r="I17" s="525"/>
      <c r="J17" s="525"/>
      <c r="K17" s="525"/>
      <c r="L17" s="525"/>
      <c r="M17" s="525"/>
      <c r="N17" s="525"/>
      <c r="O17" s="245"/>
    </row>
    <row r="18" spans="1:26" ht="12" customHeight="1" x14ac:dyDescent="0.2">
      <c r="A18" s="245"/>
      <c r="B18" s="250">
        <f>'1. LDC Info'!F27-20</f>
        <v>1996</v>
      </c>
      <c r="C18" s="525"/>
      <c r="D18" s="525"/>
      <c r="E18" s="525"/>
      <c r="F18" s="525"/>
      <c r="G18" s="525"/>
      <c r="H18" s="525"/>
      <c r="I18" s="525"/>
      <c r="J18" s="525"/>
      <c r="K18" s="525"/>
      <c r="L18" s="525"/>
      <c r="M18" s="525"/>
      <c r="N18" s="525"/>
      <c r="O18" s="245"/>
    </row>
    <row r="19" spans="1:26" ht="12" customHeight="1" x14ac:dyDescent="0.2">
      <c r="A19" s="245"/>
      <c r="B19" s="250">
        <f>'1. LDC Info'!F27-19</f>
        <v>1997</v>
      </c>
      <c r="C19" s="525"/>
      <c r="D19" s="525"/>
      <c r="E19" s="525"/>
      <c r="F19" s="525"/>
      <c r="G19" s="525"/>
      <c r="H19" s="525"/>
      <c r="I19" s="525"/>
      <c r="J19" s="525"/>
      <c r="K19" s="525"/>
      <c r="L19" s="525"/>
      <c r="M19" s="525"/>
      <c r="N19" s="525"/>
      <c r="O19" s="245"/>
    </row>
    <row r="20" spans="1:26" ht="12" customHeight="1" x14ac:dyDescent="0.2">
      <c r="A20" s="245"/>
      <c r="B20" s="250">
        <f>'1. LDC Info'!F27-18</f>
        <v>1998</v>
      </c>
      <c r="C20" s="525"/>
      <c r="D20" s="525"/>
      <c r="E20" s="525"/>
      <c r="F20" s="525"/>
      <c r="G20" s="525"/>
      <c r="H20" s="525"/>
      <c r="I20" s="525"/>
      <c r="J20" s="525"/>
      <c r="K20" s="525"/>
      <c r="L20" s="525"/>
      <c r="M20" s="525"/>
      <c r="N20" s="525"/>
      <c r="O20" s="245"/>
    </row>
    <row r="21" spans="1:26" ht="12" customHeight="1" x14ac:dyDescent="0.2">
      <c r="A21" s="245"/>
      <c r="B21" s="250">
        <f>'1. LDC Info'!F27-17</f>
        <v>1999</v>
      </c>
      <c r="C21" s="525"/>
      <c r="D21" s="525"/>
      <c r="E21" s="525"/>
      <c r="F21" s="525"/>
      <c r="G21" s="525"/>
      <c r="H21" s="525"/>
      <c r="I21" s="525"/>
      <c r="J21" s="525"/>
      <c r="K21" s="525"/>
      <c r="L21" s="525"/>
      <c r="M21" s="525"/>
      <c r="N21" s="525"/>
      <c r="O21" s="245"/>
    </row>
    <row r="22" spans="1:26" ht="12" customHeight="1" x14ac:dyDescent="0.2">
      <c r="A22" s="245"/>
      <c r="B22" s="250">
        <f>'1. LDC Info'!F27-16</f>
        <v>2000</v>
      </c>
      <c r="C22" s="525"/>
      <c r="D22" s="525"/>
      <c r="E22" s="525"/>
      <c r="F22" s="525"/>
      <c r="G22" s="525"/>
      <c r="H22" s="525"/>
      <c r="I22" s="525"/>
      <c r="J22" s="525"/>
      <c r="K22" s="525"/>
      <c r="L22" s="525"/>
      <c r="M22" s="525"/>
      <c r="N22" s="525"/>
      <c r="O22" s="245"/>
    </row>
    <row r="23" spans="1:26" ht="12" customHeight="1" x14ac:dyDescent="0.2">
      <c r="A23" s="245"/>
      <c r="B23" s="250">
        <f>'1. LDC Info'!F27-15</f>
        <v>2001</v>
      </c>
      <c r="C23" s="525"/>
      <c r="D23" s="525"/>
      <c r="E23" s="525"/>
      <c r="F23" s="525"/>
      <c r="G23" s="525"/>
      <c r="H23" s="525"/>
      <c r="I23" s="525"/>
      <c r="J23" s="525"/>
      <c r="K23" s="525"/>
      <c r="L23" s="525"/>
      <c r="M23" s="525"/>
      <c r="N23" s="525"/>
      <c r="O23" s="245"/>
    </row>
    <row r="24" spans="1:26" ht="12" customHeight="1" x14ac:dyDescent="0.2">
      <c r="A24" s="245"/>
      <c r="B24" s="250">
        <f>'1. LDC Info'!F27-14</f>
        <v>2002</v>
      </c>
      <c r="C24" s="525"/>
      <c r="D24" s="525"/>
      <c r="E24" s="525"/>
      <c r="F24" s="525"/>
      <c r="G24" s="525"/>
      <c r="H24" s="525"/>
      <c r="I24" s="525"/>
      <c r="J24" s="525"/>
      <c r="K24" s="525"/>
      <c r="L24" s="525"/>
      <c r="M24" s="525"/>
      <c r="N24" s="525"/>
      <c r="O24" s="245"/>
    </row>
    <row r="25" spans="1:26" ht="12" customHeight="1" x14ac:dyDescent="0.2">
      <c r="A25" s="245"/>
      <c r="B25" s="250">
        <f>'1. LDC Info'!F27-13</f>
        <v>2003</v>
      </c>
      <c r="C25" s="525"/>
      <c r="D25" s="525"/>
      <c r="E25" s="525"/>
      <c r="F25" s="525"/>
      <c r="G25" s="525"/>
      <c r="H25" s="525"/>
      <c r="I25" s="525"/>
      <c r="J25" s="525"/>
      <c r="K25" s="525"/>
      <c r="L25" s="525"/>
      <c r="M25" s="525"/>
      <c r="N25" s="525"/>
      <c r="O25" s="245"/>
    </row>
    <row r="26" spans="1:26" ht="12" customHeight="1" x14ac:dyDescent="0.2">
      <c r="A26" s="245"/>
      <c r="B26" s="250">
        <f>'1. LDC Info'!F27-12</f>
        <v>2004</v>
      </c>
      <c r="C26" s="525">
        <v>1045.3</v>
      </c>
      <c r="D26" s="525">
        <v>750</v>
      </c>
      <c r="E26" s="525">
        <v>559.20000000000005</v>
      </c>
      <c r="F26" s="525">
        <v>377.8</v>
      </c>
      <c r="G26" s="525">
        <v>166.2</v>
      </c>
      <c r="H26" s="525">
        <v>54</v>
      </c>
      <c r="I26" s="525">
        <v>1.8</v>
      </c>
      <c r="J26" s="525">
        <v>29.8</v>
      </c>
      <c r="K26" s="525">
        <v>66.8</v>
      </c>
      <c r="L26" s="525">
        <v>287</v>
      </c>
      <c r="M26" s="525">
        <v>484.3</v>
      </c>
      <c r="N26" s="525">
        <v>814.9</v>
      </c>
      <c r="O26" s="245"/>
    </row>
    <row r="27" spans="1:26" x14ac:dyDescent="0.2">
      <c r="A27" s="245"/>
      <c r="B27" s="250">
        <f>'1. LDC Info'!F27-11</f>
        <v>2005</v>
      </c>
      <c r="C27" s="525">
        <v>920.7</v>
      </c>
      <c r="D27" s="525">
        <v>700.6</v>
      </c>
      <c r="E27" s="525">
        <v>668.8</v>
      </c>
      <c r="F27" s="525">
        <v>324.8</v>
      </c>
      <c r="G27" s="525">
        <v>205</v>
      </c>
      <c r="H27" s="525">
        <v>16.100000000000001</v>
      </c>
      <c r="I27" s="525">
        <v>2.9</v>
      </c>
      <c r="J27" s="525">
        <v>8.4</v>
      </c>
      <c r="K27" s="525">
        <v>59.2</v>
      </c>
      <c r="L27" s="525">
        <v>269.7</v>
      </c>
      <c r="M27" s="525">
        <v>484.2</v>
      </c>
      <c r="N27" s="525">
        <v>762</v>
      </c>
      <c r="O27" s="245"/>
      <c r="Z27" s="218" t="str">
        <f>+$B$16</f>
        <v>HDD</v>
      </c>
    </row>
    <row r="28" spans="1:26" x14ac:dyDescent="0.2">
      <c r="A28" s="245"/>
      <c r="B28" s="250">
        <f>'1. LDC Info'!F27-10</f>
        <v>2006</v>
      </c>
      <c r="C28" s="525">
        <v>733.5</v>
      </c>
      <c r="D28" s="525">
        <v>720.9</v>
      </c>
      <c r="E28" s="525">
        <v>600.4</v>
      </c>
      <c r="F28" s="525">
        <v>321.60000000000002</v>
      </c>
      <c r="G28" s="525">
        <v>128.19999999999999</v>
      </c>
      <c r="H28" s="525">
        <v>27.6</v>
      </c>
      <c r="I28" s="525">
        <v>0.3</v>
      </c>
      <c r="J28" s="525">
        <v>18.2</v>
      </c>
      <c r="K28" s="525">
        <v>121</v>
      </c>
      <c r="L28" s="525">
        <v>335.7</v>
      </c>
      <c r="M28" s="525">
        <v>417.3</v>
      </c>
      <c r="N28" s="525">
        <v>610</v>
      </c>
      <c r="O28" s="245"/>
      <c r="Z28" s="218" t="str">
        <f>+B39</f>
        <v>CDD</v>
      </c>
    </row>
    <row r="29" spans="1:26" x14ac:dyDescent="0.2">
      <c r="A29" s="245"/>
      <c r="B29" s="250">
        <f>'1. LDC Info'!F27-9</f>
        <v>2007</v>
      </c>
      <c r="C29" s="525">
        <v>797.1</v>
      </c>
      <c r="D29" s="525">
        <v>820</v>
      </c>
      <c r="E29" s="525">
        <v>643</v>
      </c>
      <c r="F29" s="525">
        <v>361.1</v>
      </c>
      <c r="G29" s="525">
        <v>157.30000000000001</v>
      </c>
      <c r="H29" s="525">
        <v>34.200000000000003</v>
      </c>
      <c r="I29" s="525">
        <v>11.8</v>
      </c>
      <c r="J29" s="525">
        <v>20.100000000000001</v>
      </c>
      <c r="K29" s="525">
        <v>76</v>
      </c>
      <c r="L29" s="525">
        <v>227.5</v>
      </c>
      <c r="M29" s="525">
        <v>517</v>
      </c>
      <c r="N29" s="525">
        <v>787.7</v>
      </c>
      <c r="O29" s="245"/>
      <c r="Z29" s="218" t="str">
        <f>+B62</f>
        <v>Number of Days in Month</v>
      </c>
    </row>
    <row r="30" spans="1:26" x14ac:dyDescent="0.2">
      <c r="A30" s="245"/>
      <c r="B30" s="250">
        <f>'1. LDC Info'!F27-8</f>
        <v>2008</v>
      </c>
      <c r="C30" s="525">
        <v>754.2</v>
      </c>
      <c r="D30" s="525">
        <v>774.3</v>
      </c>
      <c r="E30" s="525">
        <v>721.1</v>
      </c>
      <c r="F30" s="525">
        <v>299.60000000000002</v>
      </c>
      <c r="G30" s="525">
        <v>185.4</v>
      </c>
      <c r="H30" s="525">
        <v>22.4</v>
      </c>
      <c r="I30" s="525">
        <v>0.3</v>
      </c>
      <c r="J30" s="525">
        <v>14.4</v>
      </c>
      <c r="K30" s="525">
        <v>95.4</v>
      </c>
      <c r="L30" s="525">
        <v>321.8</v>
      </c>
      <c r="M30" s="525">
        <v>502.8</v>
      </c>
      <c r="N30" s="525">
        <v>796.7</v>
      </c>
      <c r="O30" s="245"/>
      <c r="Z30" s="218" t="str">
        <f>+B76</f>
        <v>Employment Stats</v>
      </c>
    </row>
    <row r="31" spans="1:26" x14ac:dyDescent="0.2">
      <c r="A31" s="245"/>
      <c r="B31" s="250">
        <f>'1. LDC Info'!F27-7</f>
        <v>2009</v>
      </c>
      <c r="C31" s="525">
        <v>979.5</v>
      </c>
      <c r="D31" s="525">
        <v>711.5</v>
      </c>
      <c r="E31" s="525">
        <v>598.29999999999995</v>
      </c>
      <c r="F31" s="525">
        <v>334.3</v>
      </c>
      <c r="G31" s="525">
        <v>181.6</v>
      </c>
      <c r="H31" s="525">
        <v>50.4</v>
      </c>
      <c r="I31" s="525">
        <v>13.1</v>
      </c>
      <c r="J31" s="525">
        <v>26.1</v>
      </c>
      <c r="K31" s="525">
        <v>106.5</v>
      </c>
      <c r="L31" s="525">
        <v>355.5</v>
      </c>
      <c r="M31" s="525">
        <v>417.4</v>
      </c>
      <c r="N31" s="525">
        <v>759.4</v>
      </c>
      <c r="O31" s="245"/>
      <c r="Z31" s="218" t="str">
        <f>+B90</f>
        <v>Winter Flag</v>
      </c>
    </row>
    <row r="32" spans="1:26" x14ac:dyDescent="0.2">
      <c r="A32" s="245"/>
      <c r="B32" s="250">
        <f>'1. LDC Info'!F27-6</f>
        <v>2010</v>
      </c>
      <c r="C32" s="525">
        <v>789.2</v>
      </c>
      <c r="D32" s="525">
        <v>655.8</v>
      </c>
      <c r="E32" s="525">
        <v>460.7</v>
      </c>
      <c r="F32" s="525">
        <v>258.10000000000002</v>
      </c>
      <c r="G32" s="525">
        <v>112.3</v>
      </c>
      <c r="H32" s="525">
        <v>37.6</v>
      </c>
      <c r="I32" s="525">
        <v>4.5</v>
      </c>
      <c r="J32" s="525">
        <v>14.7</v>
      </c>
      <c r="K32" s="525">
        <v>112</v>
      </c>
      <c r="L32" s="525">
        <v>311</v>
      </c>
      <c r="M32" s="525">
        <v>491.6</v>
      </c>
      <c r="N32" s="525">
        <v>731.4</v>
      </c>
      <c r="O32" s="245"/>
    </row>
    <row r="33" spans="1:15" x14ac:dyDescent="0.2">
      <c r="A33" s="245"/>
      <c r="B33" s="250">
        <f>'1. LDC Info'!F27-5</f>
        <v>2011</v>
      </c>
      <c r="C33" s="525">
        <v>888.7</v>
      </c>
      <c r="D33" s="525">
        <v>731.6</v>
      </c>
      <c r="E33" s="525">
        <v>634.6</v>
      </c>
      <c r="F33" s="525">
        <v>347.4</v>
      </c>
      <c r="G33" s="525">
        <v>142.80000000000001</v>
      </c>
      <c r="H33" s="525">
        <v>18.5</v>
      </c>
      <c r="I33" s="525">
        <v>0</v>
      </c>
      <c r="J33" s="525">
        <v>2.2999999999999998</v>
      </c>
      <c r="K33" s="525">
        <v>55.4</v>
      </c>
      <c r="L33" s="525">
        <v>259.10000000000002</v>
      </c>
      <c r="M33" s="525">
        <v>392.9</v>
      </c>
      <c r="N33" s="525">
        <v>256.39999999999998</v>
      </c>
      <c r="O33" s="245"/>
    </row>
    <row r="34" spans="1:15" x14ac:dyDescent="0.2">
      <c r="A34" s="245"/>
      <c r="B34" s="250">
        <f>'1. LDC Info'!F27-4</f>
        <v>2012</v>
      </c>
      <c r="C34" s="525">
        <v>831</v>
      </c>
      <c r="D34" s="525">
        <v>671.4</v>
      </c>
      <c r="E34" s="525">
        <v>460.3</v>
      </c>
      <c r="F34" s="525">
        <v>363.3</v>
      </c>
      <c r="G34" s="525">
        <v>96</v>
      </c>
      <c r="H34" s="525">
        <v>31.4</v>
      </c>
      <c r="I34" s="525">
        <v>0</v>
      </c>
      <c r="J34" s="525">
        <v>8.4</v>
      </c>
      <c r="K34" s="525">
        <v>127.3</v>
      </c>
      <c r="L34" s="525">
        <v>243.1</v>
      </c>
      <c r="M34" s="525">
        <v>541.70000000000005</v>
      </c>
      <c r="N34" s="525">
        <v>680.6</v>
      </c>
      <c r="O34" s="245"/>
    </row>
    <row r="35" spans="1:15" x14ac:dyDescent="0.2">
      <c r="A35" s="245"/>
      <c r="B35" s="250">
        <f>'1. LDC Info'!F27-3</f>
        <v>2013</v>
      </c>
      <c r="C35" s="525">
        <v>839.9</v>
      </c>
      <c r="D35" s="525">
        <v>728.5</v>
      </c>
      <c r="E35" s="525">
        <v>579.6</v>
      </c>
      <c r="F35" s="525">
        <v>285.5</v>
      </c>
      <c r="G35" s="525">
        <v>105.7</v>
      </c>
      <c r="H35" s="525">
        <v>54.1</v>
      </c>
      <c r="I35" s="525">
        <v>7.7</v>
      </c>
      <c r="J35" s="525">
        <v>13.4</v>
      </c>
      <c r="K35" s="525">
        <v>133.19999999999999</v>
      </c>
      <c r="L35" s="525">
        <v>235.8</v>
      </c>
      <c r="M35" s="525">
        <v>560.79999999999995</v>
      </c>
      <c r="N35" s="525">
        <v>858.2</v>
      </c>
      <c r="O35" s="245"/>
    </row>
    <row r="36" spans="1:15" x14ac:dyDescent="0.2">
      <c r="A36" s="245"/>
      <c r="B36" s="250">
        <f>'1. LDC Info'!F27-2</f>
        <v>2014</v>
      </c>
      <c r="C36" s="525">
        <v>918.30000000000007</v>
      </c>
      <c r="D36" s="525">
        <v>793.2</v>
      </c>
      <c r="E36" s="525">
        <v>783.6</v>
      </c>
      <c r="F36" s="525">
        <v>384.20000000000005</v>
      </c>
      <c r="G36" s="525">
        <v>127.3</v>
      </c>
      <c r="H36" s="525">
        <v>20.299999999999997</v>
      </c>
      <c r="I36" s="525">
        <v>8.8000000000000007</v>
      </c>
      <c r="J36" s="525">
        <v>21.400000000000002</v>
      </c>
      <c r="K36" s="525">
        <v>110.3</v>
      </c>
      <c r="L36" s="525">
        <v>257.90000000000003</v>
      </c>
      <c r="M36" s="525">
        <v>510.6</v>
      </c>
      <c r="N36" s="525">
        <v>696.39999999999986</v>
      </c>
      <c r="O36" s="245"/>
    </row>
    <row r="37" spans="1:15" x14ac:dyDescent="0.2">
      <c r="A37" s="245"/>
      <c r="O37" s="245"/>
    </row>
    <row r="38" spans="1:15" x14ac:dyDescent="0.2">
      <c r="A38" s="245"/>
      <c r="B38" s="251"/>
      <c r="C38" s="246"/>
      <c r="D38" s="246"/>
      <c r="E38" s="246"/>
      <c r="F38" s="246"/>
      <c r="G38" s="246"/>
      <c r="H38" s="246"/>
      <c r="I38" s="246"/>
      <c r="J38" s="246"/>
      <c r="K38" s="246"/>
      <c r="L38" s="246"/>
      <c r="M38" s="246"/>
      <c r="N38" s="246"/>
      <c r="O38" s="245"/>
    </row>
    <row r="39" spans="1:15" x14ac:dyDescent="0.2">
      <c r="A39" s="245"/>
      <c r="B39" s="244" t="s">
        <v>2</v>
      </c>
      <c r="C39" s="249" t="s">
        <v>137</v>
      </c>
      <c r="D39" s="249" t="s">
        <v>138</v>
      </c>
      <c r="E39" s="249" t="s">
        <v>139</v>
      </c>
      <c r="F39" s="249" t="s">
        <v>140</v>
      </c>
      <c r="G39" s="249" t="s">
        <v>116</v>
      </c>
      <c r="H39" s="249" t="s">
        <v>141</v>
      </c>
      <c r="I39" s="249" t="s">
        <v>142</v>
      </c>
      <c r="J39" s="249" t="s">
        <v>143</v>
      </c>
      <c r="K39" s="249" t="s">
        <v>144</v>
      </c>
      <c r="L39" s="249" t="s">
        <v>147</v>
      </c>
      <c r="M39" s="249" t="s">
        <v>145</v>
      </c>
      <c r="N39" s="249" t="s">
        <v>146</v>
      </c>
      <c r="O39" s="245"/>
    </row>
    <row r="40" spans="1:15" x14ac:dyDescent="0.2">
      <c r="A40" s="245"/>
      <c r="B40" s="252" t="str">
        <f t="shared" ref="B40:B59" si="0">B17</f>
        <v>1995</v>
      </c>
      <c r="C40" s="529"/>
      <c r="D40" s="529"/>
      <c r="E40" s="529"/>
      <c r="F40" s="529"/>
      <c r="G40" s="529"/>
      <c r="H40" s="529"/>
      <c r="I40" s="529"/>
      <c r="J40" s="529"/>
      <c r="K40" s="529"/>
      <c r="L40" s="529"/>
      <c r="M40" s="529"/>
      <c r="N40" s="529"/>
      <c r="O40" s="245"/>
    </row>
    <row r="41" spans="1:15" x14ac:dyDescent="0.2">
      <c r="A41" s="245"/>
      <c r="B41" s="252">
        <f t="shared" si="0"/>
        <v>1996</v>
      </c>
      <c r="C41" s="529"/>
      <c r="D41" s="529"/>
      <c r="E41" s="529"/>
      <c r="F41" s="529"/>
      <c r="G41" s="529"/>
      <c r="H41" s="529"/>
      <c r="I41" s="529"/>
      <c r="J41" s="529"/>
      <c r="K41" s="529"/>
      <c r="L41" s="529"/>
      <c r="M41" s="529"/>
      <c r="N41" s="529"/>
      <c r="O41" s="245"/>
    </row>
    <row r="42" spans="1:15" x14ac:dyDescent="0.2">
      <c r="A42" s="245"/>
      <c r="B42" s="252">
        <f t="shared" si="0"/>
        <v>1997</v>
      </c>
      <c r="C42" s="529"/>
      <c r="D42" s="529"/>
      <c r="E42" s="529"/>
      <c r="F42" s="529"/>
      <c r="G42" s="529"/>
      <c r="H42" s="529"/>
      <c r="I42" s="529"/>
      <c r="J42" s="529"/>
      <c r="K42" s="529"/>
      <c r="L42" s="529"/>
      <c r="M42" s="529"/>
      <c r="N42" s="529"/>
      <c r="O42" s="245"/>
    </row>
    <row r="43" spans="1:15" x14ac:dyDescent="0.2">
      <c r="A43" s="245"/>
      <c r="B43" s="252">
        <f t="shared" si="0"/>
        <v>1998</v>
      </c>
      <c r="C43" s="529"/>
      <c r="D43" s="529"/>
      <c r="E43" s="529"/>
      <c r="F43" s="529"/>
      <c r="G43" s="529"/>
      <c r="H43" s="529"/>
      <c r="I43" s="529"/>
      <c r="J43" s="529"/>
      <c r="K43" s="529"/>
      <c r="L43" s="529"/>
      <c r="M43" s="529"/>
      <c r="N43" s="529"/>
      <c r="O43" s="245"/>
    </row>
    <row r="44" spans="1:15" x14ac:dyDescent="0.2">
      <c r="A44" s="245"/>
      <c r="B44" s="252">
        <f t="shared" si="0"/>
        <v>1999</v>
      </c>
      <c r="C44" s="529"/>
      <c r="D44" s="529"/>
      <c r="E44" s="529"/>
      <c r="F44" s="529"/>
      <c r="G44" s="529"/>
      <c r="H44" s="529"/>
      <c r="I44" s="529"/>
      <c r="J44" s="529"/>
      <c r="K44" s="529"/>
      <c r="L44" s="529"/>
      <c r="M44" s="529"/>
      <c r="N44" s="529"/>
      <c r="O44" s="245"/>
    </row>
    <row r="45" spans="1:15" x14ac:dyDescent="0.2">
      <c r="A45" s="245"/>
      <c r="B45" s="252">
        <f t="shared" si="0"/>
        <v>2000</v>
      </c>
      <c r="C45" s="529"/>
      <c r="D45" s="529"/>
      <c r="E45" s="529"/>
      <c r="F45" s="529"/>
      <c r="G45" s="529"/>
      <c r="H45" s="529"/>
      <c r="I45" s="529"/>
      <c r="J45" s="529"/>
      <c r="K45" s="529"/>
      <c r="L45" s="529"/>
      <c r="M45" s="529"/>
      <c r="N45" s="529"/>
      <c r="O45" s="245"/>
    </row>
    <row r="46" spans="1:15" x14ac:dyDescent="0.2">
      <c r="A46" s="245"/>
      <c r="B46" s="252">
        <f t="shared" si="0"/>
        <v>2001</v>
      </c>
      <c r="C46" s="529"/>
      <c r="D46" s="529"/>
      <c r="E46" s="529"/>
      <c r="F46" s="529"/>
      <c r="G46" s="529"/>
      <c r="H46" s="529"/>
      <c r="I46" s="529"/>
      <c r="J46" s="529"/>
      <c r="K46" s="529"/>
      <c r="L46" s="529"/>
      <c r="M46" s="529"/>
      <c r="N46" s="529"/>
      <c r="O46" s="245"/>
    </row>
    <row r="47" spans="1:15" x14ac:dyDescent="0.2">
      <c r="A47" s="245"/>
      <c r="B47" s="252">
        <f t="shared" si="0"/>
        <v>2002</v>
      </c>
      <c r="C47" s="529"/>
      <c r="D47" s="529"/>
      <c r="E47" s="529"/>
      <c r="F47" s="529"/>
      <c r="G47" s="529"/>
      <c r="H47" s="529"/>
      <c r="I47" s="529"/>
      <c r="J47" s="529"/>
      <c r="K47" s="529"/>
      <c r="L47" s="529"/>
      <c r="M47" s="529"/>
      <c r="N47" s="529"/>
      <c r="O47" s="245"/>
    </row>
    <row r="48" spans="1:15" x14ac:dyDescent="0.2">
      <c r="A48" s="245"/>
      <c r="B48" s="252">
        <f t="shared" si="0"/>
        <v>2003</v>
      </c>
      <c r="C48" s="529"/>
      <c r="D48" s="529"/>
      <c r="E48" s="529"/>
      <c r="F48" s="529"/>
      <c r="G48" s="529"/>
      <c r="H48" s="529"/>
      <c r="I48" s="529"/>
      <c r="J48" s="529"/>
      <c r="K48" s="529"/>
      <c r="L48" s="529"/>
      <c r="M48" s="529"/>
      <c r="N48" s="529"/>
      <c r="O48" s="245"/>
    </row>
    <row r="49" spans="1:15" x14ac:dyDescent="0.2">
      <c r="A49" s="245"/>
      <c r="B49" s="252">
        <f t="shared" si="0"/>
        <v>2004</v>
      </c>
      <c r="C49" s="529">
        <v>0</v>
      </c>
      <c r="D49" s="529">
        <v>0</v>
      </c>
      <c r="E49" s="529">
        <v>0</v>
      </c>
      <c r="F49" s="529">
        <v>1.9</v>
      </c>
      <c r="G49" s="529">
        <v>4</v>
      </c>
      <c r="H49" s="529">
        <v>27.1</v>
      </c>
      <c r="I49" s="529">
        <v>86.5</v>
      </c>
      <c r="J49" s="529">
        <v>47.5</v>
      </c>
      <c r="K49" s="529">
        <v>11.1</v>
      </c>
      <c r="L49" s="529">
        <v>0</v>
      </c>
      <c r="M49" s="529">
        <v>0</v>
      </c>
      <c r="N49" s="529">
        <v>0</v>
      </c>
      <c r="O49" s="245"/>
    </row>
    <row r="50" spans="1:15" x14ac:dyDescent="0.2">
      <c r="A50" s="245"/>
      <c r="B50" s="252">
        <f t="shared" si="0"/>
        <v>2005</v>
      </c>
      <c r="C50" s="529">
        <v>0</v>
      </c>
      <c r="D50" s="529">
        <v>0</v>
      </c>
      <c r="E50" s="529">
        <v>0</v>
      </c>
      <c r="F50" s="529">
        <v>0</v>
      </c>
      <c r="G50" s="529">
        <v>1.9</v>
      </c>
      <c r="H50" s="529">
        <v>111.6</v>
      </c>
      <c r="I50" s="529">
        <v>128.6</v>
      </c>
      <c r="J50" s="529">
        <v>115.4</v>
      </c>
      <c r="K50" s="529">
        <v>33.1</v>
      </c>
      <c r="L50" s="529">
        <v>6.4</v>
      </c>
      <c r="M50" s="529">
        <v>0</v>
      </c>
      <c r="N50" s="529">
        <v>0</v>
      </c>
      <c r="O50" s="245"/>
    </row>
    <row r="51" spans="1:15" x14ac:dyDescent="0.2">
      <c r="A51" s="245"/>
      <c r="B51" s="252">
        <f t="shared" si="0"/>
        <v>2006</v>
      </c>
      <c r="C51" s="529">
        <v>0</v>
      </c>
      <c r="D51" s="529">
        <v>0</v>
      </c>
      <c r="E51" s="529">
        <v>0</v>
      </c>
      <c r="F51" s="529">
        <v>0</v>
      </c>
      <c r="G51" s="529">
        <v>16.899999999999999</v>
      </c>
      <c r="H51" s="529">
        <v>48.2</v>
      </c>
      <c r="I51" s="529">
        <v>130.6</v>
      </c>
      <c r="J51" s="529">
        <v>68.099999999999994</v>
      </c>
      <c r="K51" s="529">
        <v>5.3</v>
      </c>
      <c r="L51" s="529">
        <v>0</v>
      </c>
      <c r="M51" s="529">
        <v>0</v>
      </c>
      <c r="N51" s="529">
        <v>0</v>
      </c>
      <c r="O51" s="245"/>
    </row>
    <row r="52" spans="1:15" x14ac:dyDescent="0.2">
      <c r="A52" s="245"/>
      <c r="B52" s="252">
        <f t="shared" si="0"/>
        <v>2007</v>
      </c>
      <c r="C52" s="529">
        <v>0</v>
      </c>
      <c r="D52" s="529">
        <v>0</v>
      </c>
      <c r="E52" s="529">
        <v>0</v>
      </c>
      <c r="F52" s="529">
        <v>0</v>
      </c>
      <c r="G52" s="529">
        <v>17.3</v>
      </c>
      <c r="H52" s="529">
        <v>66.900000000000006</v>
      </c>
      <c r="I52" s="529">
        <v>65.099999999999994</v>
      </c>
      <c r="J52" s="529">
        <v>79.3</v>
      </c>
      <c r="K52" s="529">
        <v>25.7</v>
      </c>
      <c r="L52" s="529">
        <v>1.9</v>
      </c>
      <c r="M52" s="529">
        <v>0</v>
      </c>
      <c r="N52" s="529">
        <v>0</v>
      </c>
      <c r="O52" s="245"/>
    </row>
    <row r="53" spans="1:15" x14ac:dyDescent="0.2">
      <c r="A53" s="245"/>
      <c r="B53" s="252">
        <f t="shared" si="0"/>
        <v>2008</v>
      </c>
      <c r="C53" s="529">
        <v>0</v>
      </c>
      <c r="D53" s="529">
        <v>0</v>
      </c>
      <c r="E53" s="529">
        <v>0</v>
      </c>
      <c r="F53" s="529">
        <v>0</v>
      </c>
      <c r="G53" s="529">
        <v>0</v>
      </c>
      <c r="H53" s="529">
        <v>60.5</v>
      </c>
      <c r="I53" s="529">
        <v>78.900000000000006</v>
      </c>
      <c r="J53" s="529">
        <v>49.5</v>
      </c>
      <c r="K53" s="529">
        <v>25</v>
      </c>
      <c r="L53" s="529">
        <v>0</v>
      </c>
      <c r="M53" s="529">
        <v>0</v>
      </c>
      <c r="N53" s="529">
        <v>0</v>
      </c>
      <c r="O53" s="245"/>
    </row>
    <row r="54" spans="1:15" x14ac:dyDescent="0.2">
      <c r="A54" s="245"/>
      <c r="B54" s="252">
        <f t="shared" si="0"/>
        <v>2009</v>
      </c>
      <c r="C54" s="529">
        <v>0</v>
      </c>
      <c r="D54" s="529">
        <v>0</v>
      </c>
      <c r="E54" s="529">
        <v>0</v>
      </c>
      <c r="F54" s="529">
        <v>2.5</v>
      </c>
      <c r="G54" s="529">
        <v>3.2</v>
      </c>
      <c r="H54" s="529">
        <v>44.9</v>
      </c>
      <c r="I54" s="529">
        <v>42.9</v>
      </c>
      <c r="J54" s="529">
        <v>82.1</v>
      </c>
      <c r="K54" s="529">
        <v>5</v>
      </c>
      <c r="L54" s="529">
        <v>0</v>
      </c>
      <c r="M54" s="529">
        <v>0</v>
      </c>
      <c r="N54" s="529">
        <v>0</v>
      </c>
      <c r="O54" s="245"/>
    </row>
    <row r="55" spans="1:15" x14ac:dyDescent="0.2">
      <c r="A55" s="245"/>
      <c r="B55" s="252">
        <f t="shared" si="0"/>
        <v>2010</v>
      </c>
      <c r="C55" s="529">
        <v>0</v>
      </c>
      <c r="D55" s="529">
        <v>0</v>
      </c>
      <c r="E55" s="529">
        <v>0</v>
      </c>
      <c r="F55" s="529">
        <v>1.6</v>
      </c>
      <c r="G55" s="529">
        <v>38.200000000000003</v>
      </c>
      <c r="H55" s="529">
        <v>33.4</v>
      </c>
      <c r="I55" s="529">
        <v>150.80000000000001</v>
      </c>
      <c r="J55" s="529">
        <v>93</v>
      </c>
      <c r="K55" s="529">
        <v>26.2</v>
      </c>
      <c r="L55" s="529">
        <v>0</v>
      </c>
      <c r="M55" s="529">
        <v>0</v>
      </c>
      <c r="N55" s="529">
        <v>0</v>
      </c>
      <c r="O55" s="245"/>
    </row>
    <row r="56" spans="1:15" x14ac:dyDescent="0.2">
      <c r="A56" s="245"/>
      <c r="B56" s="252">
        <f t="shared" si="0"/>
        <v>2011</v>
      </c>
      <c r="C56" s="530">
        <v>0</v>
      </c>
      <c r="D56" s="530">
        <v>0</v>
      </c>
      <c r="E56" s="530">
        <v>0</v>
      </c>
      <c r="F56" s="530">
        <v>0</v>
      </c>
      <c r="G56" s="530">
        <v>16.7</v>
      </c>
      <c r="H56" s="530">
        <v>59.1</v>
      </c>
      <c r="I56" s="530">
        <v>137.5</v>
      </c>
      <c r="J56" s="530">
        <v>82.3</v>
      </c>
      <c r="K56" s="530">
        <v>32.9</v>
      </c>
      <c r="L56" s="530">
        <v>1.4</v>
      </c>
      <c r="M56" s="530">
        <v>0</v>
      </c>
      <c r="N56" s="530">
        <v>0</v>
      </c>
      <c r="O56" s="245"/>
    </row>
    <row r="57" spans="1:15" x14ac:dyDescent="0.2">
      <c r="A57" s="245"/>
      <c r="B57" s="252">
        <f t="shared" si="0"/>
        <v>2012</v>
      </c>
      <c r="C57" s="529">
        <v>0</v>
      </c>
      <c r="D57" s="529">
        <v>0</v>
      </c>
      <c r="E57" s="529">
        <v>0</v>
      </c>
      <c r="F57" s="529">
        <v>3.2</v>
      </c>
      <c r="G57" s="529">
        <v>21</v>
      </c>
      <c r="H57" s="529">
        <v>70.400000000000006</v>
      </c>
      <c r="I57" s="529">
        <v>142.19999999999999</v>
      </c>
      <c r="J57" s="529">
        <v>97.6</v>
      </c>
      <c r="K57" s="529">
        <v>20.6</v>
      </c>
      <c r="L57" s="529">
        <v>0</v>
      </c>
      <c r="M57" s="529">
        <v>0</v>
      </c>
      <c r="N57" s="529">
        <v>0</v>
      </c>
      <c r="O57" s="245"/>
    </row>
    <row r="58" spans="1:15" x14ac:dyDescent="0.2">
      <c r="A58" s="245"/>
      <c r="B58" s="252">
        <f t="shared" si="0"/>
        <v>2013</v>
      </c>
      <c r="C58" s="529">
        <v>0</v>
      </c>
      <c r="D58" s="529">
        <v>0</v>
      </c>
      <c r="E58" s="529">
        <v>0</v>
      </c>
      <c r="F58" s="529">
        <v>0</v>
      </c>
      <c r="G58" s="529">
        <v>15.3</v>
      </c>
      <c r="H58" s="529">
        <v>39.4</v>
      </c>
      <c r="I58" s="529">
        <v>111.1</v>
      </c>
      <c r="J58" s="529">
        <v>57.2</v>
      </c>
      <c r="K58" s="529">
        <v>10.1</v>
      </c>
      <c r="L58" s="529">
        <v>0.7</v>
      </c>
      <c r="M58" s="529">
        <v>0</v>
      </c>
      <c r="N58" s="529">
        <v>0</v>
      </c>
      <c r="O58" s="245"/>
    </row>
    <row r="59" spans="1:15" x14ac:dyDescent="0.2">
      <c r="A59" s="245"/>
      <c r="B59" s="252">
        <f t="shared" si="0"/>
        <v>2014</v>
      </c>
      <c r="C59" s="529">
        <v>0</v>
      </c>
      <c r="D59" s="529">
        <v>0</v>
      </c>
      <c r="E59" s="529">
        <v>0</v>
      </c>
      <c r="F59" s="529">
        <v>0</v>
      </c>
      <c r="G59" s="529">
        <v>8.8000000000000007</v>
      </c>
      <c r="H59" s="529">
        <v>54.9</v>
      </c>
      <c r="I59" s="529">
        <v>62.800000000000011</v>
      </c>
      <c r="J59" s="529">
        <v>55.800000000000004</v>
      </c>
      <c r="K59" s="529">
        <v>21.600000000000005</v>
      </c>
      <c r="L59" s="529">
        <v>3.1</v>
      </c>
      <c r="M59" s="529">
        <v>0</v>
      </c>
      <c r="N59" s="529">
        <v>0</v>
      </c>
      <c r="O59" s="245"/>
    </row>
    <row r="60" spans="1:15" x14ac:dyDescent="0.2">
      <c r="A60" s="245"/>
      <c r="B60" s="246"/>
      <c r="C60" s="246"/>
      <c r="D60" s="246"/>
      <c r="E60" s="246"/>
      <c r="F60" s="246"/>
      <c r="G60" s="246"/>
      <c r="H60" s="246"/>
      <c r="I60" s="246"/>
      <c r="J60" s="246"/>
      <c r="K60" s="246"/>
      <c r="L60" s="246"/>
      <c r="M60" s="246"/>
      <c r="N60" s="246"/>
      <c r="O60" s="245"/>
    </row>
    <row r="61" spans="1:15" x14ac:dyDescent="0.2">
      <c r="A61" s="245"/>
      <c r="B61" s="246"/>
      <c r="C61" s="246"/>
      <c r="D61" s="246"/>
      <c r="E61" s="246"/>
      <c r="F61" s="246"/>
      <c r="G61" s="246"/>
      <c r="H61" s="246"/>
      <c r="I61" s="246"/>
      <c r="J61" s="246"/>
      <c r="K61" s="246"/>
      <c r="L61" s="246"/>
      <c r="M61" s="246"/>
      <c r="N61" s="246"/>
      <c r="O61" s="245"/>
    </row>
    <row r="62" spans="1:15" ht="25.5" x14ac:dyDescent="0.2">
      <c r="A62" s="245"/>
      <c r="B62" s="253" t="s">
        <v>243</v>
      </c>
      <c r="C62" s="246"/>
      <c r="D62" s="246"/>
      <c r="E62" s="246"/>
      <c r="F62" s="246"/>
      <c r="G62" s="246"/>
      <c r="H62" s="246"/>
      <c r="I62" s="246"/>
      <c r="J62" s="246"/>
      <c r="K62" s="246"/>
      <c r="L62" s="246"/>
      <c r="M62" s="246"/>
      <c r="N62" s="246"/>
      <c r="O62" s="245"/>
    </row>
    <row r="63" spans="1:15" x14ac:dyDescent="0.2">
      <c r="A63" s="245"/>
      <c r="B63" s="245"/>
      <c r="C63" s="249" t="s">
        <v>137</v>
      </c>
      <c r="D63" s="249" t="s">
        <v>138</v>
      </c>
      <c r="E63" s="249" t="s">
        <v>139</v>
      </c>
      <c r="F63" s="249" t="s">
        <v>140</v>
      </c>
      <c r="G63" s="249" t="s">
        <v>116</v>
      </c>
      <c r="H63" s="249" t="s">
        <v>141</v>
      </c>
      <c r="I63" s="249" t="s">
        <v>142</v>
      </c>
      <c r="J63" s="249" t="s">
        <v>143</v>
      </c>
      <c r="K63" s="249" t="s">
        <v>144</v>
      </c>
      <c r="L63" s="249" t="s">
        <v>147</v>
      </c>
      <c r="M63" s="249" t="s">
        <v>145</v>
      </c>
      <c r="N63" s="249" t="s">
        <v>146</v>
      </c>
      <c r="O63" s="245"/>
    </row>
    <row r="64" spans="1:15" x14ac:dyDescent="0.2">
      <c r="A64" s="245"/>
      <c r="B64" s="250">
        <f t="shared" ref="B64:B73" si="1">B50</f>
        <v>2005</v>
      </c>
      <c r="C64" s="526">
        <v>31</v>
      </c>
      <c r="D64" s="526">
        <v>28</v>
      </c>
      <c r="E64" s="526">
        <v>31</v>
      </c>
      <c r="F64" s="526">
        <v>30</v>
      </c>
      <c r="G64" s="526">
        <v>31</v>
      </c>
      <c r="H64" s="526">
        <v>30</v>
      </c>
      <c r="I64" s="526">
        <v>31</v>
      </c>
      <c r="J64" s="526">
        <v>31</v>
      </c>
      <c r="K64" s="526">
        <v>30</v>
      </c>
      <c r="L64" s="526">
        <v>31</v>
      </c>
      <c r="M64" s="526">
        <v>30</v>
      </c>
      <c r="N64" s="526">
        <v>31</v>
      </c>
      <c r="O64" s="245"/>
    </row>
    <row r="65" spans="1:15" x14ac:dyDescent="0.2">
      <c r="A65" s="245"/>
      <c r="B65" s="250">
        <f t="shared" si="1"/>
        <v>2006</v>
      </c>
      <c r="C65" s="526">
        <v>31</v>
      </c>
      <c r="D65" s="526">
        <v>28</v>
      </c>
      <c r="E65" s="526">
        <v>31</v>
      </c>
      <c r="F65" s="526">
        <v>30</v>
      </c>
      <c r="G65" s="526">
        <v>31</v>
      </c>
      <c r="H65" s="526">
        <v>30</v>
      </c>
      <c r="I65" s="526">
        <v>31</v>
      </c>
      <c r="J65" s="526">
        <v>31</v>
      </c>
      <c r="K65" s="526">
        <v>30</v>
      </c>
      <c r="L65" s="526">
        <v>31</v>
      </c>
      <c r="M65" s="526">
        <v>30</v>
      </c>
      <c r="N65" s="526">
        <v>31</v>
      </c>
      <c r="O65" s="245"/>
    </row>
    <row r="66" spans="1:15" x14ac:dyDescent="0.2">
      <c r="A66" s="245"/>
      <c r="B66" s="250">
        <f t="shared" si="1"/>
        <v>2007</v>
      </c>
      <c r="C66" s="526">
        <v>31</v>
      </c>
      <c r="D66" s="526">
        <v>28</v>
      </c>
      <c r="E66" s="526">
        <v>31</v>
      </c>
      <c r="F66" s="526">
        <v>30</v>
      </c>
      <c r="G66" s="526">
        <v>31</v>
      </c>
      <c r="H66" s="526">
        <v>30</v>
      </c>
      <c r="I66" s="526">
        <v>31</v>
      </c>
      <c r="J66" s="526">
        <v>31</v>
      </c>
      <c r="K66" s="526">
        <v>30</v>
      </c>
      <c r="L66" s="526">
        <v>31</v>
      </c>
      <c r="M66" s="526">
        <v>30</v>
      </c>
      <c r="N66" s="526">
        <v>31</v>
      </c>
      <c r="O66" s="245"/>
    </row>
    <row r="67" spans="1:15" x14ac:dyDescent="0.2">
      <c r="A67" s="245"/>
      <c r="B67" s="250">
        <f t="shared" si="1"/>
        <v>2008</v>
      </c>
      <c r="C67" s="526">
        <v>31</v>
      </c>
      <c r="D67" s="526">
        <v>29</v>
      </c>
      <c r="E67" s="526">
        <v>31</v>
      </c>
      <c r="F67" s="526">
        <v>30</v>
      </c>
      <c r="G67" s="526">
        <v>31</v>
      </c>
      <c r="H67" s="526">
        <v>30</v>
      </c>
      <c r="I67" s="526">
        <v>31</v>
      </c>
      <c r="J67" s="526">
        <v>31</v>
      </c>
      <c r="K67" s="526">
        <v>30</v>
      </c>
      <c r="L67" s="526">
        <v>31</v>
      </c>
      <c r="M67" s="526">
        <v>30</v>
      </c>
      <c r="N67" s="526">
        <v>31</v>
      </c>
      <c r="O67" s="245"/>
    </row>
    <row r="68" spans="1:15" x14ac:dyDescent="0.2">
      <c r="A68" s="245"/>
      <c r="B68" s="250">
        <f t="shared" si="1"/>
        <v>2009</v>
      </c>
      <c r="C68" s="526">
        <v>31</v>
      </c>
      <c r="D68" s="526">
        <v>28</v>
      </c>
      <c r="E68" s="526">
        <v>31</v>
      </c>
      <c r="F68" s="526">
        <v>30</v>
      </c>
      <c r="G68" s="526">
        <v>31</v>
      </c>
      <c r="H68" s="526">
        <v>30</v>
      </c>
      <c r="I68" s="526">
        <v>31</v>
      </c>
      <c r="J68" s="526">
        <v>31</v>
      </c>
      <c r="K68" s="526">
        <v>30</v>
      </c>
      <c r="L68" s="526">
        <v>31</v>
      </c>
      <c r="M68" s="526">
        <v>30</v>
      </c>
      <c r="N68" s="526">
        <v>31</v>
      </c>
      <c r="O68" s="245"/>
    </row>
    <row r="69" spans="1:15" x14ac:dyDescent="0.2">
      <c r="A69" s="245"/>
      <c r="B69" s="250">
        <f t="shared" si="1"/>
        <v>2010</v>
      </c>
      <c r="C69" s="526">
        <v>31</v>
      </c>
      <c r="D69" s="526">
        <v>28</v>
      </c>
      <c r="E69" s="526">
        <v>31</v>
      </c>
      <c r="F69" s="526">
        <v>30</v>
      </c>
      <c r="G69" s="526">
        <v>31</v>
      </c>
      <c r="H69" s="526">
        <v>30</v>
      </c>
      <c r="I69" s="526">
        <v>31</v>
      </c>
      <c r="J69" s="526">
        <v>31</v>
      </c>
      <c r="K69" s="526">
        <v>30</v>
      </c>
      <c r="L69" s="526">
        <v>31</v>
      </c>
      <c r="M69" s="526">
        <v>30</v>
      </c>
      <c r="N69" s="526">
        <v>31</v>
      </c>
      <c r="O69" s="245"/>
    </row>
    <row r="70" spans="1:15" x14ac:dyDescent="0.2">
      <c r="A70" s="245"/>
      <c r="B70" s="250">
        <f t="shared" si="1"/>
        <v>2011</v>
      </c>
      <c r="C70" s="526">
        <v>31</v>
      </c>
      <c r="D70" s="526">
        <v>28</v>
      </c>
      <c r="E70" s="526">
        <v>31</v>
      </c>
      <c r="F70" s="526">
        <v>30</v>
      </c>
      <c r="G70" s="526">
        <v>31</v>
      </c>
      <c r="H70" s="526">
        <v>30</v>
      </c>
      <c r="I70" s="526">
        <v>31</v>
      </c>
      <c r="J70" s="526">
        <v>31</v>
      </c>
      <c r="K70" s="526">
        <v>30</v>
      </c>
      <c r="L70" s="526">
        <v>31</v>
      </c>
      <c r="M70" s="526">
        <v>30</v>
      </c>
      <c r="N70" s="526">
        <v>31</v>
      </c>
      <c r="O70" s="245"/>
    </row>
    <row r="71" spans="1:15" x14ac:dyDescent="0.2">
      <c r="A71" s="245"/>
      <c r="B71" s="250">
        <f t="shared" si="1"/>
        <v>2012</v>
      </c>
      <c r="C71" s="526">
        <v>31</v>
      </c>
      <c r="D71" s="526">
        <v>29</v>
      </c>
      <c r="E71" s="526">
        <v>31</v>
      </c>
      <c r="F71" s="526">
        <v>30</v>
      </c>
      <c r="G71" s="526">
        <v>31</v>
      </c>
      <c r="H71" s="526">
        <v>30</v>
      </c>
      <c r="I71" s="526">
        <v>31</v>
      </c>
      <c r="J71" s="526">
        <v>31</v>
      </c>
      <c r="K71" s="526">
        <v>30</v>
      </c>
      <c r="L71" s="526">
        <v>31</v>
      </c>
      <c r="M71" s="526">
        <v>30</v>
      </c>
      <c r="N71" s="526">
        <v>31</v>
      </c>
      <c r="O71" s="245"/>
    </row>
    <row r="72" spans="1:15" x14ac:dyDescent="0.2">
      <c r="A72" s="245"/>
      <c r="B72" s="250">
        <f t="shared" si="1"/>
        <v>2013</v>
      </c>
      <c r="C72" s="526">
        <v>31</v>
      </c>
      <c r="D72" s="526">
        <v>28</v>
      </c>
      <c r="E72" s="526">
        <v>31</v>
      </c>
      <c r="F72" s="526">
        <v>30</v>
      </c>
      <c r="G72" s="526">
        <v>31</v>
      </c>
      <c r="H72" s="526">
        <v>30</v>
      </c>
      <c r="I72" s="526">
        <v>31</v>
      </c>
      <c r="J72" s="526">
        <v>31</v>
      </c>
      <c r="K72" s="526">
        <v>30</v>
      </c>
      <c r="L72" s="526">
        <v>31</v>
      </c>
      <c r="M72" s="526">
        <v>30</v>
      </c>
      <c r="N72" s="526">
        <v>31</v>
      </c>
      <c r="O72" s="245"/>
    </row>
    <row r="73" spans="1:15" x14ac:dyDescent="0.2">
      <c r="A73" s="245"/>
      <c r="B73" s="250">
        <f t="shared" si="1"/>
        <v>2014</v>
      </c>
      <c r="C73" s="526">
        <v>31</v>
      </c>
      <c r="D73" s="526">
        <v>28</v>
      </c>
      <c r="E73" s="526">
        <v>31</v>
      </c>
      <c r="F73" s="526">
        <v>30</v>
      </c>
      <c r="G73" s="526">
        <v>31</v>
      </c>
      <c r="H73" s="526">
        <v>30</v>
      </c>
      <c r="I73" s="526">
        <v>31</v>
      </c>
      <c r="J73" s="526">
        <v>31</v>
      </c>
      <c r="K73" s="526">
        <v>30</v>
      </c>
      <c r="L73" s="526">
        <v>31</v>
      </c>
      <c r="M73" s="526">
        <v>30</v>
      </c>
      <c r="N73" s="526">
        <v>31</v>
      </c>
      <c r="O73" s="245"/>
    </row>
    <row r="74" spans="1:15" x14ac:dyDescent="0.2">
      <c r="A74" s="245"/>
      <c r="B74" s="246"/>
      <c r="C74" s="246"/>
      <c r="D74" s="246"/>
      <c r="E74" s="246"/>
      <c r="F74" s="246"/>
      <c r="G74" s="246"/>
      <c r="H74" s="246"/>
      <c r="I74" s="246"/>
      <c r="J74" s="246"/>
      <c r="K74" s="246"/>
      <c r="L74" s="246"/>
      <c r="M74" s="246"/>
      <c r="N74" s="246"/>
      <c r="O74" s="245"/>
    </row>
    <row r="75" spans="1:15" x14ac:dyDescent="0.2">
      <c r="A75" s="245"/>
      <c r="B75" s="246"/>
      <c r="C75" s="246"/>
      <c r="D75" s="246"/>
      <c r="E75" s="246"/>
      <c r="F75" s="246"/>
      <c r="G75" s="246"/>
      <c r="H75" s="246"/>
      <c r="I75" s="246"/>
      <c r="J75" s="246"/>
      <c r="K75" s="246"/>
      <c r="L75" s="246"/>
      <c r="M75" s="246"/>
      <c r="N75" s="246"/>
      <c r="O75" s="245"/>
    </row>
    <row r="76" spans="1:15" x14ac:dyDescent="0.2">
      <c r="A76" s="245"/>
      <c r="B76" s="253" t="s">
        <v>268</v>
      </c>
      <c r="C76" s="246"/>
      <c r="D76" s="246"/>
      <c r="E76" s="246"/>
      <c r="F76" s="246"/>
      <c r="G76" s="246"/>
      <c r="H76" s="246"/>
      <c r="I76" s="246"/>
      <c r="J76" s="246"/>
      <c r="K76" s="246"/>
      <c r="L76" s="246"/>
      <c r="M76" s="246"/>
      <c r="N76" s="246"/>
      <c r="O76" s="245"/>
    </row>
    <row r="77" spans="1:15" x14ac:dyDescent="0.2">
      <c r="A77" s="245"/>
      <c r="B77" s="245"/>
      <c r="C77" s="249" t="s">
        <v>137</v>
      </c>
      <c r="D77" s="249" t="s">
        <v>138</v>
      </c>
      <c r="E77" s="249" t="s">
        <v>139</v>
      </c>
      <c r="F77" s="249" t="s">
        <v>140</v>
      </c>
      <c r="G77" s="249" t="s">
        <v>116</v>
      </c>
      <c r="H77" s="249" t="s">
        <v>141</v>
      </c>
      <c r="I77" s="249" t="s">
        <v>142</v>
      </c>
      <c r="J77" s="249" t="s">
        <v>143</v>
      </c>
      <c r="K77" s="249" t="s">
        <v>144</v>
      </c>
      <c r="L77" s="249" t="s">
        <v>147</v>
      </c>
      <c r="M77" s="249" t="s">
        <v>145</v>
      </c>
      <c r="N77" s="249" t="s">
        <v>146</v>
      </c>
      <c r="O77" s="245"/>
    </row>
    <row r="78" spans="1:15" x14ac:dyDescent="0.2">
      <c r="A78" s="245"/>
      <c r="B78" s="250">
        <f t="shared" ref="B78:B86" si="2">B64</f>
        <v>2005</v>
      </c>
      <c r="C78" s="527">
        <v>353.3</v>
      </c>
      <c r="D78" s="528">
        <v>353.6</v>
      </c>
      <c r="E78" s="528">
        <v>353.9</v>
      </c>
      <c r="F78" s="528">
        <v>354.3</v>
      </c>
      <c r="G78" s="527">
        <v>354.7</v>
      </c>
      <c r="H78" s="527">
        <v>355.2</v>
      </c>
      <c r="I78" s="527">
        <v>355.6</v>
      </c>
      <c r="J78" s="527">
        <v>356.1</v>
      </c>
      <c r="K78" s="527">
        <v>356.4</v>
      </c>
      <c r="L78" s="527">
        <v>356.7</v>
      </c>
      <c r="M78" s="527">
        <v>356.7</v>
      </c>
      <c r="N78" s="527">
        <v>356.8</v>
      </c>
      <c r="O78" s="245"/>
    </row>
    <row r="79" spans="1:15" x14ac:dyDescent="0.2">
      <c r="A79" s="245"/>
      <c r="B79" s="250">
        <f t="shared" si="2"/>
        <v>2006</v>
      </c>
      <c r="C79" s="527">
        <v>356.9</v>
      </c>
      <c r="D79" s="527">
        <v>357.1</v>
      </c>
      <c r="E79" s="527">
        <v>357.2</v>
      </c>
      <c r="F79" s="527">
        <v>357.4</v>
      </c>
      <c r="G79" s="527">
        <v>357.7</v>
      </c>
      <c r="H79" s="527">
        <v>358</v>
      </c>
      <c r="I79" s="527">
        <v>358.3</v>
      </c>
      <c r="J79" s="527">
        <v>358.7</v>
      </c>
      <c r="K79" s="527">
        <v>359.1</v>
      </c>
      <c r="L79" s="527">
        <v>359.4</v>
      </c>
      <c r="M79" s="527">
        <v>359.7</v>
      </c>
      <c r="N79" s="527">
        <v>359.9</v>
      </c>
      <c r="O79" s="245"/>
    </row>
    <row r="80" spans="1:15" x14ac:dyDescent="0.2">
      <c r="A80" s="245"/>
      <c r="B80" s="250">
        <f t="shared" si="2"/>
        <v>2007</v>
      </c>
      <c r="C80" s="527">
        <v>360</v>
      </c>
      <c r="D80" s="527">
        <v>360</v>
      </c>
      <c r="E80" s="527">
        <v>360.1</v>
      </c>
      <c r="F80" s="527">
        <v>360.3</v>
      </c>
      <c r="G80" s="527">
        <v>360.5</v>
      </c>
      <c r="H80" s="527">
        <v>360.7</v>
      </c>
      <c r="I80" s="527">
        <v>360.9</v>
      </c>
      <c r="J80" s="527">
        <v>361.2</v>
      </c>
      <c r="K80" s="527">
        <v>361.3</v>
      </c>
      <c r="L80" s="527">
        <v>361.4</v>
      </c>
      <c r="M80" s="527">
        <v>361.4</v>
      </c>
      <c r="N80" s="527">
        <v>361.6</v>
      </c>
      <c r="O80" s="245"/>
    </row>
    <row r="81" spans="1:15" x14ac:dyDescent="0.2">
      <c r="A81" s="245"/>
      <c r="B81" s="250">
        <f t="shared" si="2"/>
        <v>2008</v>
      </c>
      <c r="C81" s="527">
        <v>361.7</v>
      </c>
      <c r="D81" s="527">
        <v>361.8</v>
      </c>
      <c r="E81" s="527">
        <v>361.9</v>
      </c>
      <c r="F81" s="527">
        <v>362</v>
      </c>
      <c r="G81" s="527">
        <v>362.2</v>
      </c>
      <c r="H81" s="527">
        <v>362.4</v>
      </c>
      <c r="I81" s="527">
        <v>362.6</v>
      </c>
      <c r="J81" s="527">
        <v>362.9</v>
      </c>
      <c r="K81" s="527">
        <v>363.1</v>
      </c>
      <c r="L81" s="527">
        <v>363.3</v>
      </c>
      <c r="M81" s="527">
        <v>363.4</v>
      </c>
      <c r="N81" s="527">
        <v>363.5</v>
      </c>
      <c r="O81" s="245"/>
    </row>
    <row r="82" spans="1:15" x14ac:dyDescent="0.2">
      <c r="A82" s="245"/>
      <c r="B82" s="250">
        <f t="shared" si="2"/>
        <v>2009</v>
      </c>
      <c r="C82" s="527">
        <v>363.7</v>
      </c>
      <c r="D82" s="527">
        <v>363.7</v>
      </c>
      <c r="E82" s="527">
        <v>363.8</v>
      </c>
      <c r="F82" s="527">
        <v>364</v>
      </c>
      <c r="G82" s="527">
        <v>364.2</v>
      </c>
      <c r="H82" s="527">
        <v>364.5</v>
      </c>
      <c r="I82" s="527">
        <v>364.8</v>
      </c>
      <c r="J82" s="527">
        <v>365.2</v>
      </c>
      <c r="K82" s="527">
        <v>365.5</v>
      </c>
      <c r="L82" s="527">
        <v>365.7</v>
      </c>
      <c r="M82" s="527">
        <v>365.8</v>
      </c>
      <c r="N82" s="527">
        <v>365.9</v>
      </c>
      <c r="O82" s="245"/>
    </row>
    <row r="83" spans="1:15" x14ac:dyDescent="0.2">
      <c r="A83" s="245"/>
      <c r="B83" s="250">
        <f t="shared" si="2"/>
        <v>2010</v>
      </c>
      <c r="C83" s="527">
        <v>365.9</v>
      </c>
      <c r="D83" s="527">
        <v>366</v>
      </c>
      <c r="E83" s="527">
        <v>366.1</v>
      </c>
      <c r="F83" s="527">
        <v>366.2</v>
      </c>
      <c r="G83" s="527">
        <v>366.3</v>
      </c>
      <c r="H83" s="527">
        <v>366.6</v>
      </c>
      <c r="I83" s="527">
        <v>366.9</v>
      </c>
      <c r="J83" s="527">
        <v>367.2</v>
      </c>
      <c r="K83" s="527">
        <v>367.4</v>
      </c>
      <c r="L83" s="527">
        <v>367.6</v>
      </c>
      <c r="M83" s="527">
        <v>367.8</v>
      </c>
      <c r="N83" s="527">
        <v>367.9</v>
      </c>
      <c r="O83" s="245"/>
    </row>
    <row r="84" spans="1:15" x14ac:dyDescent="0.2">
      <c r="A84" s="245"/>
      <c r="B84" s="250">
        <f t="shared" si="2"/>
        <v>2011</v>
      </c>
      <c r="C84" s="527">
        <v>367.9</v>
      </c>
      <c r="D84" s="527">
        <v>368</v>
      </c>
      <c r="E84" s="527">
        <v>368</v>
      </c>
      <c r="F84" s="527">
        <v>368.2</v>
      </c>
      <c r="G84" s="527">
        <v>368.3</v>
      </c>
      <c r="H84" s="527">
        <v>368.4</v>
      </c>
      <c r="I84" s="527">
        <v>368.6</v>
      </c>
      <c r="J84" s="527">
        <v>368.8</v>
      </c>
      <c r="K84" s="527">
        <v>368.9</v>
      </c>
      <c r="L84" s="527">
        <v>369</v>
      </c>
      <c r="M84" s="527">
        <v>369.1</v>
      </c>
      <c r="N84" s="527">
        <v>369.2</v>
      </c>
      <c r="O84" s="245"/>
    </row>
    <row r="85" spans="1:15" x14ac:dyDescent="0.2">
      <c r="A85" s="245"/>
      <c r="B85" s="250">
        <f t="shared" si="2"/>
        <v>2012</v>
      </c>
      <c r="C85" s="527">
        <v>369.3</v>
      </c>
      <c r="D85" s="527">
        <v>369.3</v>
      </c>
      <c r="E85" s="527">
        <v>369.4</v>
      </c>
      <c r="F85" s="527">
        <v>369.5</v>
      </c>
      <c r="G85" s="527">
        <v>369.7</v>
      </c>
      <c r="H85" s="527">
        <v>369.9</v>
      </c>
      <c r="I85" s="527">
        <v>370.2</v>
      </c>
      <c r="J85" s="527">
        <v>370.5</v>
      </c>
      <c r="K85" s="527">
        <v>370.7</v>
      </c>
      <c r="L85" s="527">
        <v>370.9</v>
      </c>
      <c r="M85" s="527">
        <v>371</v>
      </c>
      <c r="N85" s="527">
        <v>371.2</v>
      </c>
      <c r="O85" s="245"/>
    </row>
    <row r="86" spans="1:15" x14ac:dyDescent="0.2">
      <c r="A86" s="245"/>
      <c r="B86" s="250">
        <f t="shared" si="2"/>
        <v>2013</v>
      </c>
      <c r="C86" s="527">
        <v>371.4</v>
      </c>
      <c r="D86" s="527">
        <v>371.5</v>
      </c>
      <c r="E86" s="527">
        <v>371.6</v>
      </c>
      <c r="F86" s="527">
        <v>371.6</v>
      </c>
      <c r="G86" s="527">
        <v>371.7</v>
      </c>
      <c r="H86" s="527">
        <v>372</v>
      </c>
      <c r="I86" s="527">
        <v>372.2</v>
      </c>
      <c r="J86" s="527">
        <v>372.5</v>
      </c>
      <c r="K86" s="527">
        <v>372.5</v>
      </c>
      <c r="L86" s="527">
        <v>372.5</v>
      </c>
      <c r="M86" s="527">
        <v>372.5</v>
      </c>
      <c r="N86" s="527">
        <v>372.5</v>
      </c>
      <c r="O86" s="245"/>
    </row>
    <row r="87" spans="1:15" x14ac:dyDescent="0.2">
      <c r="A87" s="245"/>
      <c r="B87" s="250">
        <f>B73</f>
        <v>2014</v>
      </c>
      <c r="C87" s="527">
        <v>372.5</v>
      </c>
      <c r="D87" s="527">
        <v>372.5</v>
      </c>
      <c r="E87" s="527">
        <v>372.5</v>
      </c>
      <c r="F87" s="527">
        <v>372.6</v>
      </c>
      <c r="G87" s="527">
        <v>372.8</v>
      </c>
      <c r="H87" s="527">
        <v>372.9</v>
      </c>
      <c r="I87" s="527">
        <v>373.1</v>
      </c>
      <c r="J87" s="527">
        <v>373.4</v>
      </c>
      <c r="K87" s="527">
        <v>373.5</v>
      </c>
      <c r="L87" s="527">
        <v>373.6</v>
      </c>
      <c r="M87" s="527">
        <v>373.6</v>
      </c>
      <c r="N87" s="527">
        <v>373.7</v>
      </c>
      <c r="O87" s="245"/>
    </row>
    <row r="88" spans="1:15" x14ac:dyDescent="0.2">
      <c r="A88" s="245"/>
      <c r="B88" s="246"/>
      <c r="C88" s="246"/>
      <c r="D88" s="246"/>
      <c r="E88" s="246"/>
      <c r="F88" s="246"/>
      <c r="G88" s="246"/>
      <c r="H88" s="246"/>
      <c r="I88" s="246"/>
      <c r="J88" s="246"/>
      <c r="K88" s="246"/>
      <c r="L88" s="246"/>
      <c r="M88" s="246"/>
      <c r="N88" s="246"/>
      <c r="O88" s="245"/>
    </row>
    <row r="89" spans="1:15" x14ac:dyDescent="0.2">
      <c r="A89" s="245"/>
      <c r="B89" s="246"/>
      <c r="C89" s="246"/>
      <c r="D89" s="246"/>
      <c r="E89" s="246"/>
      <c r="F89" s="246"/>
      <c r="G89" s="246"/>
      <c r="H89" s="246"/>
      <c r="I89" s="246"/>
      <c r="J89" s="246"/>
      <c r="K89" s="246"/>
      <c r="L89" s="246"/>
      <c r="M89" s="246"/>
      <c r="N89" s="246"/>
      <c r="O89" s="245"/>
    </row>
    <row r="90" spans="1:15" x14ac:dyDescent="0.2">
      <c r="A90" s="245"/>
      <c r="B90" s="253" t="s">
        <v>271</v>
      </c>
      <c r="C90" s="246"/>
      <c r="D90" s="246"/>
      <c r="E90" s="246"/>
      <c r="F90" s="246"/>
      <c r="G90" s="246"/>
      <c r="H90" s="246"/>
      <c r="I90" s="246"/>
      <c r="J90" s="246"/>
      <c r="K90" s="246"/>
      <c r="L90" s="246"/>
      <c r="M90" s="246"/>
      <c r="N90" s="246"/>
      <c r="O90" s="245"/>
    </row>
    <row r="91" spans="1:15" x14ac:dyDescent="0.2">
      <c r="A91" s="245"/>
      <c r="B91" s="245"/>
      <c r="C91" s="249" t="s">
        <v>137</v>
      </c>
      <c r="D91" s="249" t="s">
        <v>138</v>
      </c>
      <c r="E91" s="249" t="s">
        <v>139</v>
      </c>
      <c r="F91" s="249" t="s">
        <v>140</v>
      </c>
      <c r="G91" s="249" t="s">
        <v>116</v>
      </c>
      <c r="H91" s="249" t="s">
        <v>141</v>
      </c>
      <c r="I91" s="249" t="s">
        <v>142</v>
      </c>
      <c r="J91" s="249" t="s">
        <v>143</v>
      </c>
      <c r="K91" s="249" t="s">
        <v>144</v>
      </c>
      <c r="L91" s="249" t="s">
        <v>147</v>
      </c>
      <c r="M91" s="249" t="s">
        <v>145</v>
      </c>
      <c r="N91" s="249" t="s">
        <v>146</v>
      </c>
      <c r="O91" s="245"/>
    </row>
    <row r="92" spans="1:15" x14ac:dyDescent="0.2">
      <c r="A92" s="245"/>
      <c r="B92" s="250">
        <f t="shared" ref="B92:B100" si="3">B78</f>
        <v>2005</v>
      </c>
      <c r="C92" s="48">
        <v>1</v>
      </c>
      <c r="D92" s="48">
        <v>1</v>
      </c>
      <c r="E92" s="48">
        <v>0</v>
      </c>
      <c r="F92" s="48">
        <v>0</v>
      </c>
      <c r="G92" s="48">
        <v>0</v>
      </c>
      <c r="H92" s="48">
        <v>0</v>
      </c>
      <c r="I92" s="48">
        <v>0</v>
      </c>
      <c r="J92" s="48">
        <v>0</v>
      </c>
      <c r="K92" s="48">
        <v>0</v>
      </c>
      <c r="L92" s="48">
        <v>0</v>
      </c>
      <c r="M92" s="48">
        <v>0</v>
      </c>
      <c r="N92" s="48">
        <v>1</v>
      </c>
      <c r="O92" s="245"/>
    </row>
    <row r="93" spans="1:15" x14ac:dyDescent="0.2">
      <c r="A93" s="245"/>
      <c r="B93" s="250">
        <f t="shared" si="3"/>
        <v>2006</v>
      </c>
      <c r="C93" s="48">
        <v>1</v>
      </c>
      <c r="D93" s="48">
        <v>1</v>
      </c>
      <c r="E93" s="48">
        <v>0</v>
      </c>
      <c r="F93" s="48">
        <v>0</v>
      </c>
      <c r="G93" s="48">
        <v>0</v>
      </c>
      <c r="H93" s="48">
        <v>0</v>
      </c>
      <c r="I93" s="48">
        <v>0</v>
      </c>
      <c r="J93" s="48">
        <v>0</v>
      </c>
      <c r="K93" s="48">
        <v>0</v>
      </c>
      <c r="L93" s="48">
        <v>0</v>
      </c>
      <c r="M93" s="48">
        <v>0</v>
      </c>
      <c r="N93" s="48">
        <v>1</v>
      </c>
      <c r="O93" s="245"/>
    </row>
    <row r="94" spans="1:15" x14ac:dyDescent="0.2">
      <c r="A94" s="245"/>
      <c r="B94" s="250">
        <f t="shared" si="3"/>
        <v>2007</v>
      </c>
      <c r="C94" s="48">
        <v>1</v>
      </c>
      <c r="D94" s="48">
        <v>1</v>
      </c>
      <c r="E94" s="48">
        <v>0</v>
      </c>
      <c r="F94" s="48">
        <v>0</v>
      </c>
      <c r="G94" s="48">
        <v>0</v>
      </c>
      <c r="H94" s="48">
        <v>0</v>
      </c>
      <c r="I94" s="48">
        <v>0</v>
      </c>
      <c r="J94" s="48">
        <v>0</v>
      </c>
      <c r="K94" s="48">
        <v>0</v>
      </c>
      <c r="L94" s="48">
        <v>0</v>
      </c>
      <c r="M94" s="48">
        <v>0</v>
      </c>
      <c r="N94" s="48">
        <v>1</v>
      </c>
      <c r="O94" s="245"/>
    </row>
    <row r="95" spans="1:15" x14ac:dyDescent="0.2">
      <c r="A95" s="245"/>
      <c r="B95" s="250">
        <f t="shared" si="3"/>
        <v>2008</v>
      </c>
      <c r="C95" s="48">
        <v>1</v>
      </c>
      <c r="D95" s="48">
        <v>1</v>
      </c>
      <c r="E95" s="48">
        <v>0</v>
      </c>
      <c r="F95" s="48">
        <v>0</v>
      </c>
      <c r="G95" s="48">
        <v>0</v>
      </c>
      <c r="H95" s="48">
        <v>0</v>
      </c>
      <c r="I95" s="48">
        <v>0</v>
      </c>
      <c r="J95" s="48">
        <v>0</v>
      </c>
      <c r="K95" s="48">
        <v>0</v>
      </c>
      <c r="L95" s="48">
        <v>0</v>
      </c>
      <c r="M95" s="48">
        <v>0</v>
      </c>
      <c r="N95" s="48">
        <v>1</v>
      </c>
      <c r="O95" s="245"/>
    </row>
    <row r="96" spans="1:15" x14ac:dyDescent="0.2">
      <c r="A96" s="245"/>
      <c r="B96" s="250">
        <f t="shared" si="3"/>
        <v>2009</v>
      </c>
      <c r="C96" s="48">
        <v>1</v>
      </c>
      <c r="D96" s="48">
        <v>1</v>
      </c>
      <c r="E96" s="48">
        <v>0</v>
      </c>
      <c r="F96" s="48">
        <v>0</v>
      </c>
      <c r="G96" s="48">
        <v>0</v>
      </c>
      <c r="H96" s="48">
        <v>0</v>
      </c>
      <c r="I96" s="48">
        <v>0</v>
      </c>
      <c r="J96" s="48">
        <v>0</v>
      </c>
      <c r="K96" s="48">
        <v>0</v>
      </c>
      <c r="L96" s="48">
        <v>0</v>
      </c>
      <c r="M96" s="48">
        <v>0</v>
      </c>
      <c r="N96" s="48">
        <v>1</v>
      </c>
      <c r="O96" s="245"/>
    </row>
    <row r="97" spans="1:15" x14ac:dyDescent="0.2">
      <c r="A97" s="245"/>
      <c r="B97" s="250">
        <f t="shared" si="3"/>
        <v>2010</v>
      </c>
      <c r="C97" s="48">
        <v>1</v>
      </c>
      <c r="D97" s="48">
        <v>1</v>
      </c>
      <c r="E97" s="48">
        <v>0</v>
      </c>
      <c r="F97" s="48">
        <v>0</v>
      </c>
      <c r="G97" s="48">
        <v>0</v>
      </c>
      <c r="H97" s="48">
        <v>0</v>
      </c>
      <c r="I97" s="48">
        <v>0</v>
      </c>
      <c r="J97" s="48">
        <v>0</v>
      </c>
      <c r="K97" s="48">
        <v>0</v>
      </c>
      <c r="L97" s="48">
        <v>0</v>
      </c>
      <c r="M97" s="48">
        <v>0</v>
      </c>
      <c r="N97" s="48">
        <v>1</v>
      </c>
      <c r="O97" s="245"/>
    </row>
    <row r="98" spans="1:15" x14ac:dyDescent="0.2">
      <c r="A98" s="245"/>
      <c r="B98" s="250">
        <f t="shared" si="3"/>
        <v>2011</v>
      </c>
      <c r="C98" s="48">
        <v>1</v>
      </c>
      <c r="D98" s="48">
        <v>1</v>
      </c>
      <c r="E98" s="48">
        <v>0</v>
      </c>
      <c r="F98" s="48">
        <v>0</v>
      </c>
      <c r="G98" s="48">
        <v>0</v>
      </c>
      <c r="H98" s="48">
        <v>0</v>
      </c>
      <c r="I98" s="48">
        <v>0</v>
      </c>
      <c r="J98" s="48">
        <v>0</v>
      </c>
      <c r="K98" s="48">
        <v>0</v>
      </c>
      <c r="L98" s="48">
        <v>0</v>
      </c>
      <c r="M98" s="48">
        <v>0</v>
      </c>
      <c r="N98" s="48">
        <v>1</v>
      </c>
      <c r="O98" s="245"/>
    </row>
    <row r="99" spans="1:15" x14ac:dyDescent="0.2">
      <c r="A99" s="245"/>
      <c r="B99" s="250">
        <f t="shared" si="3"/>
        <v>2012</v>
      </c>
      <c r="C99" s="48">
        <v>1</v>
      </c>
      <c r="D99" s="48">
        <v>1</v>
      </c>
      <c r="E99" s="48">
        <v>0</v>
      </c>
      <c r="F99" s="48">
        <v>0</v>
      </c>
      <c r="G99" s="48">
        <v>0</v>
      </c>
      <c r="H99" s="48">
        <v>0</v>
      </c>
      <c r="I99" s="48">
        <v>0</v>
      </c>
      <c r="J99" s="48">
        <v>0</v>
      </c>
      <c r="K99" s="48">
        <v>0</v>
      </c>
      <c r="L99" s="48">
        <v>0</v>
      </c>
      <c r="M99" s="48">
        <v>0</v>
      </c>
      <c r="N99" s="48">
        <v>1</v>
      </c>
      <c r="O99" s="245"/>
    </row>
    <row r="100" spans="1:15" x14ac:dyDescent="0.2">
      <c r="A100" s="245"/>
      <c r="B100" s="250">
        <f t="shared" si="3"/>
        <v>2013</v>
      </c>
      <c r="C100" s="48">
        <v>1</v>
      </c>
      <c r="D100" s="48">
        <v>1</v>
      </c>
      <c r="E100" s="48">
        <v>0</v>
      </c>
      <c r="F100" s="48">
        <v>0</v>
      </c>
      <c r="G100" s="48">
        <v>0</v>
      </c>
      <c r="H100" s="48">
        <v>0</v>
      </c>
      <c r="I100" s="48">
        <v>0</v>
      </c>
      <c r="J100" s="48">
        <v>0</v>
      </c>
      <c r="K100" s="48">
        <v>0</v>
      </c>
      <c r="L100" s="48">
        <v>0</v>
      </c>
      <c r="M100" s="48">
        <v>0</v>
      </c>
      <c r="N100" s="48">
        <v>1</v>
      </c>
      <c r="O100" s="245"/>
    </row>
    <row r="101" spans="1:15" x14ac:dyDescent="0.2">
      <c r="A101" s="245"/>
      <c r="B101" s="250">
        <f>B87</f>
        <v>2014</v>
      </c>
      <c r="C101" s="48">
        <v>1</v>
      </c>
      <c r="D101" s="48">
        <v>1</v>
      </c>
      <c r="E101" s="48">
        <v>0</v>
      </c>
      <c r="F101" s="48">
        <v>0</v>
      </c>
      <c r="G101" s="48">
        <v>0</v>
      </c>
      <c r="H101" s="48">
        <v>0</v>
      </c>
      <c r="I101" s="48">
        <v>0</v>
      </c>
      <c r="J101" s="48">
        <v>0</v>
      </c>
      <c r="K101" s="48">
        <v>0</v>
      </c>
      <c r="L101" s="48">
        <v>0</v>
      </c>
      <c r="M101" s="48">
        <v>0</v>
      </c>
      <c r="N101" s="48">
        <v>1</v>
      </c>
      <c r="O101" s="245"/>
    </row>
    <row r="102" spans="1:15" x14ac:dyDescent="0.2">
      <c r="A102" s="245"/>
      <c r="B102" s="246"/>
      <c r="C102" s="246"/>
      <c r="D102" s="246"/>
      <c r="E102" s="246"/>
      <c r="F102" s="246"/>
      <c r="G102" s="246"/>
      <c r="H102" s="246"/>
      <c r="I102" s="246"/>
      <c r="J102" s="246"/>
      <c r="K102" s="246"/>
      <c r="L102" s="246"/>
      <c r="M102" s="246"/>
      <c r="N102" s="246"/>
      <c r="O102" s="245"/>
    </row>
    <row r="103" spans="1:15" x14ac:dyDescent="0.2">
      <c r="A103" s="245"/>
      <c r="B103" s="246"/>
      <c r="C103" s="246"/>
      <c r="D103" s="246"/>
      <c r="E103" s="246"/>
      <c r="F103" s="246"/>
      <c r="G103" s="246"/>
      <c r="H103" s="246"/>
      <c r="I103" s="246"/>
      <c r="J103" s="246"/>
      <c r="K103" s="246"/>
      <c r="L103" s="246"/>
      <c r="M103" s="246"/>
      <c r="N103" s="246"/>
      <c r="O103" s="245"/>
    </row>
    <row r="104" spans="1:15" x14ac:dyDescent="0.2">
      <c r="A104" s="245"/>
      <c r="B104" s="253" t="s">
        <v>408</v>
      </c>
      <c r="C104" s="246"/>
      <c r="D104" s="246"/>
      <c r="E104" s="246"/>
      <c r="F104" s="246"/>
      <c r="G104" s="246"/>
      <c r="H104" s="246"/>
      <c r="I104" s="246"/>
      <c r="J104" s="246"/>
      <c r="K104" s="246"/>
      <c r="L104" s="246"/>
      <c r="M104" s="246"/>
      <c r="N104" s="246"/>
      <c r="O104" s="245"/>
    </row>
    <row r="105" spans="1:15" x14ac:dyDescent="0.2">
      <c r="A105" s="245"/>
      <c r="B105" s="245"/>
      <c r="C105" s="249" t="s">
        <v>137</v>
      </c>
      <c r="D105" s="249" t="s">
        <v>138</v>
      </c>
      <c r="E105" s="249" t="s">
        <v>139</v>
      </c>
      <c r="F105" s="249" t="s">
        <v>140</v>
      </c>
      <c r="G105" s="249" t="s">
        <v>116</v>
      </c>
      <c r="H105" s="249" t="s">
        <v>141</v>
      </c>
      <c r="I105" s="249" t="s">
        <v>142</v>
      </c>
      <c r="J105" s="249" t="s">
        <v>143</v>
      </c>
      <c r="K105" s="249" t="s">
        <v>144</v>
      </c>
      <c r="L105" s="249" t="s">
        <v>147</v>
      </c>
      <c r="M105" s="249" t="s">
        <v>145</v>
      </c>
      <c r="N105" s="249" t="s">
        <v>146</v>
      </c>
      <c r="O105" s="245"/>
    </row>
    <row r="106" spans="1:15" x14ac:dyDescent="0.2">
      <c r="A106" s="245"/>
      <c r="B106" s="250">
        <f t="shared" ref="B106:B114" si="4">B92</f>
        <v>2005</v>
      </c>
      <c r="C106" s="696">
        <v>1</v>
      </c>
      <c r="D106" s="696">
        <v>0</v>
      </c>
      <c r="E106" s="696">
        <v>1</v>
      </c>
      <c r="F106" s="696">
        <v>0</v>
      </c>
      <c r="G106" s="696">
        <v>0</v>
      </c>
      <c r="H106" s="696">
        <v>0</v>
      </c>
      <c r="I106" s="696">
        <v>1</v>
      </c>
      <c r="J106" s="696">
        <v>0</v>
      </c>
      <c r="K106" s="696">
        <v>0</v>
      </c>
      <c r="L106" s="696">
        <v>0</v>
      </c>
      <c r="M106" s="696">
        <v>0</v>
      </c>
      <c r="N106" s="696">
        <v>1</v>
      </c>
      <c r="O106" s="245"/>
    </row>
    <row r="107" spans="1:15" x14ac:dyDescent="0.2">
      <c r="A107" s="245"/>
      <c r="B107" s="250">
        <f t="shared" si="4"/>
        <v>2006</v>
      </c>
      <c r="C107" s="696">
        <v>1</v>
      </c>
      <c r="D107" s="696">
        <v>0</v>
      </c>
      <c r="E107" s="696">
        <v>1</v>
      </c>
      <c r="F107" s="696">
        <v>0</v>
      </c>
      <c r="G107" s="696">
        <v>0</v>
      </c>
      <c r="H107" s="696">
        <v>0</v>
      </c>
      <c r="I107" s="696">
        <v>1</v>
      </c>
      <c r="J107" s="696">
        <v>0</v>
      </c>
      <c r="K107" s="696">
        <v>0</v>
      </c>
      <c r="L107" s="696">
        <v>0</v>
      </c>
      <c r="M107" s="696">
        <v>0</v>
      </c>
      <c r="N107" s="696">
        <v>1</v>
      </c>
      <c r="O107" s="245"/>
    </row>
    <row r="108" spans="1:15" x14ac:dyDescent="0.2">
      <c r="A108" s="245"/>
      <c r="B108" s="250">
        <f t="shared" si="4"/>
        <v>2007</v>
      </c>
      <c r="C108" s="696">
        <v>1</v>
      </c>
      <c r="D108" s="696">
        <v>0</v>
      </c>
      <c r="E108" s="696">
        <v>1</v>
      </c>
      <c r="F108" s="696">
        <v>0</v>
      </c>
      <c r="G108" s="696">
        <v>0</v>
      </c>
      <c r="H108" s="696">
        <v>0</v>
      </c>
      <c r="I108" s="696">
        <v>1</v>
      </c>
      <c r="J108" s="696">
        <v>0</v>
      </c>
      <c r="K108" s="696">
        <v>0</v>
      </c>
      <c r="L108" s="696">
        <v>0</v>
      </c>
      <c r="M108" s="696">
        <v>0</v>
      </c>
      <c r="N108" s="696">
        <v>1</v>
      </c>
      <c r="O108" s="245"/>
    </row>
    <row r="109" spans="1:15" x14ac:dyDescent="0.2">
      <c r="A109" s="245"/>
      <c r="B109" s="250">
        <f t="shared" si="4"/>
        <v>2008</v>
      </c>
      <c r="C109" s="696">
        <v>1</v>
      </c>
      <c r="D109" s="696">
        <v>0</v>
      </c>
      <c r="E109" s="696">
        <v>1</v>
      </c>
      <c r="F109" s="696">
        <v>0</v>
      </c>
      <c r="G109" s="696">
        <v>0</v>
      </c>
      <c r="H109" s="696">
        <v>0</v>
      </c>
      <c r="I109" s="696">
        <v>1</v>
      </c>
      <c r="J109" s="696">
        <v>0</v>
      </c>
      <c r="K109" s="696">
        <v>0</v>
      </c>
      <c r="L109" s="696">
        <v>0</v>
      </c>
      <c r="M109" s="696">
        <v>0</v>
      </c>
      <c r="N109" s="696">
        <v>1</v>
      </c>
      <c r="O109" s="245"/>
    </row>
    <row r="110" spans="1:15" x14ac:dyDescent="0.2">
      <c r="A110" s="245"/>
      <c r="B110" s="250">
        <f t="shared" si="4"/>
        <v>2009</v>
      </c>
      <c r="C110" s="696">
        <v>1</v>
      </c>
      <c r="D110" s="696">
        <v>0</v>
      </c>
      <c r="E110" s="696">
        <v>1</v>
      </c>
      <c r="F110" s="696">
        <v>0</v>
      </c>
      <c r="G110" s="696">
        <v>0</v>
      </c>
      <c r="H110" s="696">
        <v>0</v>
      </c>
      <c r="I110" s="696">
        <v>1</v>
      </c>
      <c r="J110" s="696">
        <v>0</v>
      </c>
      <c r="K110" s="696">
        <v>0</v>
      </c>
      <c r="L110" s="696">
        <v>0</v>
      </c>
      <c r="M110" s="696">
        <v>0</v>
      </c>
      <c r="N110" s="696">
        <v>1</v>
      </c>
      <c r="O110" s="245"/>
    </row>
    <row r="111" spans="1:15" x14ac:dyDescent="0.2">
      <c r="A111" s="245"/>
      <c r="B111" s="250">
        <f t="shared" si="4"/>
        <v>2010</v>
      </c>
      <c r="C111" s="696">
        <v>1</v>
      </c>
      <c r="D111" s="696">
        <v>0</v>
      </c>
      <c r="E111" s="696">
        <v>1</v>
      </c>
      <c r="F111" s="696">
        <v>0</v>
      </c>
      <c r="G111" s="696">
        <v>0</v>
      </c>
      <c r="H111" s="696">
        <v>0</v>
      </c>
      <c r="I111" s="696">
        <v>1</v>
      </c>
      <c r="J111" s="696">
        <v>0</v>
      </c>
      <c r="K111" s="696">
        <v>0</v>
      </c>
      <c r="L111" s="696">
        <v>0</v>
      </c>
      <c r="M111" s="696">
        <v>0</v>
      </c>
      <c r="N111" s="696">
        <v>1</v>
      </c>
      <c r="O111" s="245"/>
    </row>
    <row r="112" spans="1:15" x14ac:dyDescent="0.2">
      <c r="A112" s="245"/>
      <c r="B112" s="250">
        <f t="shared" si="4"/>
        <v>2011</v>
      </c>
      <c r="C112" s="696">
        <v>1</v>
      </c>
      <c r="D112" s="696">
        <v>0</v>
      </c>
      <c r="E112" s="696">
        <v>1</v>
      </c>
      <c r="F112" s="696">
        <v>0</v>
      </c>
      <c r="G112" s="696">
        <v>0</v>
      </c>
      <c r="H112" s="696">
        <v>0</v>
      </c>
      <c r="I112" s="696">
        <v>1</v>
      </c>
      <c r="J112" s="696">
        <v>0</v>
      </c>
      <c r="K112" s="696">
        <v>0</v>
      </c>
      <c r="L112" s="696">
        <v>0</v>
      </c>
      <c r="M112" s="696">
        <v>0</v>
      </c>
      <c r="N112" s="696">
        <v>1</v>
      </c>
      <c r="O112" s="245"/>
    </row>
    <row r="113" spans="1:15" x14ac:dyDescent="0.2">
      <c r="A113" s="245"/>
      <c r="B113" s="250">
        <f t="shared" si="4"/>
        <v>2012</v>
      </c>
      <c r="C113" s="696">
        <v>1</v>
      </c>
      <c r="D113" s="696">
        <v>0</v>
      </c>
      <c r="E113" s="696">
        <v>1</v>
      </c>
      <c r="F113" s="696">
        <v>0</v>
      </c>
      <c r="G113" s="696">
        <v>0</v>
      </c>
      <c r="H113" s="696">
        <v>0</v>
      </c>
      <c r="I113" s="696">
        <v>1</v>
      </c>
      <c r="J113" s="696">
        <v>0</v>
      </c>
      <c r="K113" s="696">
        <v>0</v>
      </c>
      <c r="L113" s="696">
        <v>0</v>
      </c>
      <c r="M113" s="696">
        <v>0</v>
      </c>
      <c r="N113" s="696">
        <v>1</v>
      </c>
      <c r="O113" s="245"/>
    </row>
    <row r="114" spans="1:15" x14ac:dyDescent="0.2">
      <c r="A114" s="245"/>
      <c r="B114" s="250">
        <f t="shared" si="4"/>
        <v>2013</v>
      </c>
      <c r="C114" s="696">
        <v>1</v>
      </c>
      <c r="D114" s="696">
        <v>0</v>
      </c>
      <c r="E114" s="696">
        <v>1</v>
      </c>
      <c r="F114" s="696">
        <v>0</v>
      </c>
      <c r="G114" s="696">
        <v>0</v>
      </c>
      <c r="H114" s="696">
        <v>0</v>
      </c>
      <c r="I114" s="696">
        <v>1</v>
      </c>
      <c r="J114" s="696">
        <v>0</v>
      </c>
      <c r="K114" s="696">
        <v>0</v>
      </c>
      <c r="L114" s="696">
        <v>0</v>
      </c>
      <c r="M114" s="696">
        <v>0</v>
      </c>
      <c r="N114" s="696">
        <v>1</v>
      </c>
      <c r="O114" s="245"/>
    </row>
    <row r="115" spans="1:15" x14ac:dyDescent="0.2">
      <c r="A115" s="245"/>
      <c r="B115" s="250">
        <f>B101</f>
        <v>2014</v>
      </c>
      <c r="C115" s="696">
        <v>1</v>
      </c>
      <c r="D115" s="696">
        <v>0</v>
      </c>
      <c r="E115" s="696">
        <v>1</v>
      </c>
      <c r="F115" s="696">
        <v>0</v>
      </c>
      <c r="G115" s="696">
        <v>0</v>
      </c>
      <c r="H115" s="696">
        <v>0</v>
      </c>
      <c r="I115" s="696">
        <v>1</v>
      </c>
      <c r="J115" s="696">
        <v>0</v>
      </c>
      <c r="K115" s="696">
        <v>0</v>
      </c>
      <c r="L115" s="696">
        <v>0</v>
      </c>
      <c r="M115" s="696">
        <v>0</v>
      </c>
      <c r="N115" s="696">
        <v>1</v>
      </c>
      <c r="O115" s="245"/>
    </row>
    <row r="116" spans="1:15" x14ac:dyDescent="0.2">
      <c r="A116" s="245"/>
      <c r="B116" s="246"/>
      <c r="C116" s="246"/>
      <c r="D116" s="246"/>
      <c r="E116" s="246"/>
      <c r="F116" s="246"/>
      <c r="G116" s="246"/>
      <c r="H116" s="246"/>
      <c r="I116" s="246"/>
      <c r="J116" s="246"/>
      <c r="K116" s="246"/>
      <c r="L116" s="246"/>
      <c r="M116" s="246"/>
      <c r="N116" s="246"/>
      <c r="O116" s="245"/>
    </row>
    <row r="117" spans="1:15" x14ac:dyDescent="0.2">
      <c r="A117" s="245"/>
      <c r="B117" s="246"/>
      <c r="C117" s="246"/>
      <c r="D117" s="246"/>
      <c r="E117" s="246"/>
      <c r="F117" s="246"/>
      <c r="G117" s="246"/>
      <c r="H117" s="246"/>
      <c r="I117" s="246"/>
      <c r="J117" s="246"/>
      <c r="K117" s="246"/>
      <c r="L117" s="246"/>
      <c r="M117" s="246"/>
      <c r="N117" s="246"/>
      <c r="O117" s="245"/>
    </row>
    <row r="118" spans="1:15" x14ac:dyDescent="0.2">
      <c r="A118" s="245"/>
      <c r="B118" s="254" t="s">
        <v>135</v>
      </c>
      <c r="C118" s="246"/>
      <c r="D118" s="246"/>
      <c r="E118" s="246"/>
      <c r="F118" s="246"/>
      <c r="G118" s="246"/>
      <c r="H118" s="246"/>
      <c r="I118" s="246"/>
      <c r="J118" s="246"/>
      <c r="K118" s="246"/>
      <c r="L118" s="246"/>
      <c r="M118" s="246"/>
      <c r="N118" s="246"/>
      <c r="O118" s="245"/>
    </row>
    <row r="119" spans="1:15" x14ac:dyDescent="0.2">
      <c r="A119" s="245"/>
      <c r="B119" s="255"/>
      <c r="C119" s="246"/>
      <c r="D119" s="246"/>
      <c r="E119" s="246"/>
      <c r="F119" s="246"/>
      <c r="G119" s="246"/>
      <c r="H119" s="246"/>
      <c r="I119" s="246"/>
      <c r="J119" s="246"/>
      <c r="K119" s="246"/>
      <c r="L119" s="246"/>
      <c r="M119" s="246"/>
      <c r="N119" s="246"/>
      <c r="O119" s="245"/>
    </row>
    <row r="120" spans="1:15" x14ac:dyDescent="0.2">
      <c r="A120" s="245"/>
      <c r="B120" s="256" t="str">
        <f>Variable1</f>
        <v>HDD</v>
      </c>
      <c r="C120" s="246"/>
      <c r="D120" s="246"/>
      <c r="E120" s="246"/>
      <c r="F120" s="246"/>
      <c r="G120" s="246"/>
      <c r="H120" s="246"/>
      <c r="I120" s="246"/>
      <c r="J120" s="246"/>
      <c r="K120" s="246"/>
      <c r="L120" s="246"/>
      <c r="M120" s="246"/>
      <c r="N120" s="246"/>
      <c r="O120" s="245"/>
    </row>
    <row r="121" spans="1:15" x14ac:dyDescent="0.2">
      <c r="A121" s="245"/>
      <c r="B121" s="256" t="str">
        <f>Variable2</f>
        <v>CDD</v>
      </c>
      <c r="C121" s="246"/>
      <c r="D121" s="246"/>
      <c r="E121" s="246"/>
      <c r="F121" s="246"/>
      <c r="G121" s="246"/>
      <c r="H121" s="246"/>
      <c r="I121" s="246"/>
      <c r="J121" s="246"/>
      <c r="K121" s="246"/>
      <c r="L121" s="246"/>
      <c r="M121" s="246"/>
      <c r="N121" s="246"/>
      <c r="O121" s="245"/>
    </row>
    <row r="122" spans="1:15" x14ac:dyDescent="0.2">
      <c r="A122" s="245"/>
      <c r="B122" s="256" t="str">
        <f>Variable3</f>
        <v>Number of Days in Month</v>
      </c>
      <c r="C122" s="246"/>
      <c r="D122" s="246"/>
      <c r="E122" s="246"/>
      <c r="F122" s="246"/>
      <c r="G122" s="246"/>
      <c r="H122" s="246"/>
      <c r="I122" s="246"/>
      <c r="J122" s="246"/>
      <c r="K122" s="246"/>
      <c r="L122" s="246"/>
      <c r="M122" s="246"/>
      <c r="N122" s="246"/>
      <c r="O122" s="245"/>
    </row>
    <row r="123" spans="1:15" x14ac:dyDescent="0.2">
      <c r="A123" s="245"/>
      <c r="B123" s="256" t="str">
        <f>B76</f>
        <v>Employment Stats</v>
      </c>
      <c r="C123" s="246"/>
      <c r="D123" s="246"/>
      <c r="E123" s="246"/>
      <c r="F123" s="246"/>
      <c r="G123" s="246"/>
      <c r="H123" s="246"/>
      <c r="I123" s="246"/>
      <c r="J123" s="246"/>
      <c r="K123" s="246"/>
      <c r="L123" s="246"/>
      <c r="M123" s="246"/>
      <c r="N123" s="246"/>
      <c r="O123" s="245"/>
    </row>
    <row r="124" spans="1:15" x14ac:dyDescent="0.2">
      <c r="A124" s="245"/>
      <c r="B124" s="256" t="str">
        <f>Variable5</f>
        <v>Winter Flag</v>
      </c>
      <c r="C124" s="246"/>
      <c r="D124" s="246"/>
      <c r="E124" s="246"/>
      <c r="F124" s="246"/>
      <c r="G124" s="246"/>
      <c r="H124" s="246"/>
      <c r="I124" s="246"/>
      <c r="J124" s="246"/>
      <c r="K124" s="246"/>
      <c r="L124" s="246"/>
      <c r="M124" s="246"/>
      <c r="N124" s="246"/>
      <c r="O124" s="245"/>
    </row>
    <row r="125" spans="1:15" x14ac:dyDescent="0.2">
      <c r="A125" s="245"/>
      <c r="B125" s="256" t="str">
        <f>Variable6</f>
        <v>Holiday Months</v>
      </c>
      <c r="C125" s="246"/>
      <c r="D125" s="246"/>
      <c r="E125" s="246"/>
      <c r="F125" s="246"/>
      <c r="G125" s="246"/>
      <c r="H125" s="246"/>
      <c r="I125" s="246"/>
      <c r="J125" s="246"/>
      <c r="K125" s="246"/>
      <c r="L125" s="246"/>
      <c r="M125" s="246"/>
      <c r="N125" s="246"/>
      <c r="O125" s="245"/>
    </row>
    <row r="126" spans="1:15" x14ac:dyDescent="0.2">
      <c r="A126" s="245"/>
      <c r="B126" s="246"/>
      <c r="C126" s="246"/>
      <c r="D126" s="246"/>
      <c r="E126" s="246"/>
      <c r="F126" s="246"/>
      <c r="G126" s="246"/>
      <c r="H126" s="246"/>
      <c r="I126" s="246"/>
      <c r="J126" s="246"/>
      <c r="K126" s="246"/>
      <c r="L126" s="246"/>
      <c r="M126" s="246"/>
      <c r="N126" s="246"/>
      <c r="O126" s="245"/>
    </row>
    <row r="127" spans="1:15" x14ac:dyDescent="0.2">
      <c r="A127" s="245"/>
      <c r="B127" s="246"/>
      <c r="C127" s="246"/>
      <c r="D127" s="246"/>
      <c r="E127" s="246"/>
      <c r="F127" s="246"/>
      <c r="G127" s="246"/>
      <c r="H127" s="246"/>
      <c r="I127" s="246"/>
      <c r="J127" s="246"/>
      <c r="K127" s="246"/>
      <c r="L127" s="246"/>
      <c r="M127" s="246"/>
      <c r="N127" s="246"/>
      <c r="O127" s="245"/>
    </row>
    <row r="128" spans="1:15" x14ac:dyDescent="0.2">
      <c r="A128" s="245"/>
      <c r="B128" s="246"/>
      <c r="C128" s="246"/>
      <c r="D128" s="246"/>
      <c r="E128" s="246"/>
      <c r="F128" s="246"/>
      <c r="G128" s="246"/>
      <c r="H128" s="246"/>
      <c r="I128" s="246"/>
      <c r="J128" s="246"/>
      <c r="K128" s="246"/>
      <c r="L128" s="246"/>
      <c r="M128" s="246"/>
      <c r="N128" s="246"/>
      <c r="O128" s="245"/>
    </row>
    <row r="129" spans="1:15" x14ac:dyDescent="0.2">
      <c r="A129" s="245"/>
      <c r="B129" s="246"/>
      <c r="C129" s="246"/>
      <c r="D129" s="246"/>
      <c r="E129" s="246"/>
      <c r="F129" s="246"/>
      <c r="G129" s="246"/>
      <c r="H129" s="246"/>
      <c r="I129" s="246"/>
      <c r="J129" s="246"/>
      <c r="K129" s="246"/>
      <c r="L129" s="246"/>
      <c r="M129" s="246"/>
      <c r="N129" s="246"/>
      <c r="O129" s="245"/>
    </row>
    <row r="130" spans="1:15" x14ac:dyDescent="0.2">
      <c r="A130" s="245"/>
      <c r="B130" s="246"/>
      <c r="C130" s="246"/>
      <c r="D130" s="246"/>
      <c r="E130" s="246"/>
      <c r="F130" s="246"/>
      <c r="G130" s="246"/>
      <c r="H130" s="246"/>
      <c r="I130" s="246"/>
      <c r="J130" s="246"/>
      <c r="K130" s="246"/>
      <c r="L130" s="246"/>
      <c r="M130" s="246"/>
      <c r="N130" s="246"/>
      <c r="O130" s="245"/>
    </row>
    <row r="131" spans="1:15" x14ac:dyDescent="0.2">
      <c r="A131" s="245"/>
      <c r="B131" s="246"/>
      <c r="C131" s="246"/>
      <c r="D131" s="246"/>
      <c r="E131" s="246"/>
      <c r="F131" s="246"/>
      <c r="G131" s="246"/>
      <c r="H131" s="246"/>
      <c r="I131" s="246"/>
      <c r="J131" s="246"/>
      <c r="K131" s="246"/>
      <c r="L131" s="246"/>
      <c r="M131" s="246"/>
      <c r="N131" s="246"/>
      <c r="O131" s="245"/>
    </row>
    <row r="132" spans="1:15" x14ac:dyDescent="0.2">
      <c r="A132" s="245"/>
      <c r="B132" s="246"/>
      <c r="C132" s="246"/>
      <c r="D132" s="246"/>
      <c r="E132" s="246"/>
      <c r="F132" s="246"/>
      <c r="G132" s="246"/>
      <c r="H132" s="246"/>
      <c r="I132" s="246"/>
      <c r="J132" s="246"/>
      <c r="K132" s="246"/>
      <c r="L132" s="246"/>
      <c r="M132" s="246"/>
      <c r="N132" s="246"/>
      <c r="O132" s="245"/>
    </row>
  </sheetData>
  <pageMargins left="0.7" right="0.7" top="0.75" bottom="0.75" header="0.3" footer="0.3"/>
  <pageSetup scale="42" fitToWidth="0"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79998168889431442"/>
  </sheetPr>
  <dimension ref="A1:AM182"/>
  <sheetViews>
    <sheetView showGridLines="0" topLeftCell="H1" zoomScaleNormal="100" workbookViewId="0">
      <selection activeCell="O57" sqref="O57"/>
    </sheetView>
  </sheetViews>
  <sheetFormatPr defaultRowHeight="12.75" x14ac:dyDescent="0.2"/>
  <cols>
    <col min="1" max="1" width="13.6640625" customWidth="1"/>
    <col min="2" max="2" width="25.33203125" style="58" customWidth="1"/>
    <col min="3" max="3" width="16.83203125" style="709" customWidth="1"/>
    <col min="4" max="10" width="16.83203125" style="58" customWidth="1"/>
    <col min="11" max="16" width="16.83203125" style="723" customWidth="1"/>
    <col min="17" max="17" width="4.1640625" style="1" customWidth="1"/>
    <col min="18" max="18" width="20.33203125" style="58" bestFit="1" customWidth="1"/>
    <col min="19" max="19" width="21.6640625" style="1" bestFit="1" customWidth="1"/>
    <col min="20" max="20" width="10.1640625" style="1" customWidth="1"/>
    <col min="21" max="29" width="17.83203125" style="1" customWidth="1"/>
    <col min="30" max="16384" width="9.33203125" style="1"/>
  </cols>
  <sheetData>
    <row r="1" spans="1:39" s="536" customFormat="1" x14ac:dyDescent="0.2">
      <c r="A1" s="758" t="s">
        <v>272</v>
      </c>
      <c r="B1" s="58"/>
      <c r="C1" s="709"/>
      <c r="D1" s="58"/>
      <c r="E1" s="58"/>
      <c r="F1" s="58"/>
      <c r="G1" s="58"/>
      <c r="H1" s="58"/>
      <c r="I1" s="58"/>
      <c r="J1" s="58"/>
      <c r="K1" s="723"/>
      <c r="L1" s="723"/>
      <c r="M1" s="723"/>
      <c r="N1" s="723"/>
      <c r="O1" s="723"/>
      <c r="P1" s="723"/>
      <c r="R1" s="58"/>
    </row>
    <row r="2" spans="1:39" s="536" customFormat="1" x14ac:dyDescent="0.2">
      <c r="A2"/>
      <c r="B2" s="58"/>
      <c r="C2" s="709"/>
      <c r="D2" s="58"/>
      <c r="E2" s="58"/>
      <c r="F2" s="58"/>
      <c r="G2" s="58"/>
      <c r="H2" s="58"/>
      <c r="I2" s="58"/>
      <c r="J2" s="58"/>
      <c r="K2" s="723"/>
      <c r="L2" s="723"/>
      <c r="M2" s="723"/>
      <c r="N2" s="723"/>
      <c r="O2" s="723"/>
      <c r="P2" s="723"/>
      <c r="R2" s="58"/>
    </row>
    <row r="3" spans="1:39" s="536" customFormat="1" x14ac:dyDescent="0.2">
      <c r="A3"/>
      <c r="B3" s="58"/>
      <c r="C3" s="709"/>
      <c r="D3" s="58"/>
      <c r="E3" s="58"/>
      <c r="F3" s="58"/>
      <c r="G3" s="58"/>
      <c r="H3" s="58"/>
      <c r="I3" s="58"/>
      <c r="J3" s="58"/>
      <c r="K3" s="723"/>
      <c r="L3" s="723"/>
      <c r="M3" s="723"/>
      <c r="N3" s="723"/>
      <c r="O3" s="723"/>
      <c r="P3" s="723"/>
      <c r="R3" s="58"/>
    </row>
    <row r="4" spans="1:39" s="536" customFormat="1" x14ac:dyDescent="0.2">
      <c r="A4"/>
      <c r="B4" s="58"/>
      <c r="C4" s="709"/>
      <c r="D4" s="58"/>
      <c r="E4" s="58"/>
      <c r="F4" s="58"/>
      <c r="G4" s="58"/>
      <c r="H4" s="58"/>
      <c r="I4" s="58"/>
      <c r="J4" s="58"/>
      <c r="K4" s="723"/>
      <c r="L4" s="723"/>
      <c r="M4" s="723"/>
      <c r="N4" s="723"/>
      <c r="O4" s="723"/>
      <c r="P4" s="723"/>
      <c r="R4" s="58"/>
    </row>
    <row r="5" spans="1:39" s="536" customFormat="1" x14ac:dyDescent="0.2">
      <c r="A5"/>
      <c r="B5" s="58"/>
      <c r="C5" s="709"/>
      <c r="D5" s="58"/>
      <c r="E5" s="58"/>
      <c r="F5" s="58"/>
      <c r="G5" s="58"/>
      <c r="H5" s="58"/>
      <c r="I5" s="58"/>
      <c r="J5" s="58"/>
      <c r="K5" s="723"/>
      <c r="L5" s="723"/>
      <c r="M5" s="723"/>
      <c r="N5" s="723"/>
      <c r="O5" s="723"/>
      <c r="P5" s="723"/>
      <c r="R5" s="58"/>
    </row>
    <row r="6" spans="1:39" s="536" customFormat="1" x14ac:dyDescent="0.2">
      <c r="A6"/>
      <c r="B6" s="58"/>
      <c r="C6" s="709"/>
      <c r="D6" s="58"/>
      <c r="E6" s="58"/>
      <c r="F6" s="58"/>
      <c r="G6" s="58"/>
      <c r="H6" s="58"/>
      <c r="I6" s="58"/>
      <c r="J6" s="58"/>
      <c r="K6" s="723"/>
      <c r="L6" s="723"/>
      <c r="M6" s="723"/>
      <c r="N6" s="723"/>
      <c r="O6" s="723"/>
      <c r="P6" s="723"/>
      <c r="R6" s="58"/>
    </row>
    <row r="7" spans="1:39" s="536" customFormat="1" x14ac:dyDescent="0.2">
      <c r="A7"/>
      <c r="B7" s="58"/>
      <c r="C7" s="709"/>
      <c r="D7" s="58"/>
      <c r="E7" s="58"/>
      <c r="F7" s="58"/>
      <c r="G7" s="58"/>
      <c r="H7" s="58"/>
      <c r="I7" s="58"/>
      <c r="J7" s="58"/>
      <c r="K7" s="723"/>
      <c r="L7" s="723"/>
      <c r="M7" s="723"/>
      <c r="N7" s="723"/>
      <c r="O7" s="723"/>
      <c r="P7" s="723"/>
      <c r="R7" s="58"/>
    </row>
    <row r="8" spans="1:39" s="536" customFormat="1" x14ac:dyDescent="0.2">
      <c r="A8"/>
      <c r="B8" s="58"/>
      <c r="C8" s="709"/>
      <c r="D8" s="58"/>
      <c r="E8" s="58"/>
      <c r="F8" s="58"/>
      <c r="G8" s="58"/>
      <c r="H8" s="58"/>
      <c r="I8" s="58"/>
      <c r="J8" s="58"/>
      <c r="K8" s="723"/>
      <c r="L8" s="723"/>
      <c r="M8" s="723"/>
      <c r="N8" s="723"/>
      <c r="O8" s="723"/>
      <c r="P8" s="723"/>
      <c r="R8" s="58"/>
    </row>
    <row r="9" spans="1:39" s="536" customFormat="1" x14ac:dyDescent="0.2">
      <c r="A9"/>
      <c r="B9" s="58"/>
      <c r="C9" s="709"/>
      <c r="D9" s="58"/>
      <c r="E9" s="58"/>
      <c r="F9" s="58"/>
      <c r="G9" s="58"/>
      <c r="H9" s="58"/>
      <c r="I9" s="58"/>
      <c r="J9" s="58"/>
      <c r="K9" s="723"/>
      <c r="L9" s="723"/>
      <c r="M9" s="723"/>
      <c r="N9" s="723"/>
      <c r="O9" s="723"/>
      <c r="P9" s="723"/>
      <c r="R9" s="58"/>
    </row>
    <row r="10" spans="1:39" s="536" customFormat="1" x14ac:dyDescent="0.2">
      <c r="A10"/>
      <c r="B10" s="58"/>
      <c r="C10" s="709"/>
      <c r="D10" s="58"/>
      <c r="E10" s="58"/>
      <c r="F10" s="58"/>
      <c r="G10" s="58"/>
      <c r="H10" s="58"/>
      <c r="I10" s="58"/>
      <c r="J10" s="58"/>
      <c r="K10" s="723"/>
      <c r="L10" s="723"/>
      <c r="M10" s="723"/>
      <c r="N10" s="723"/>
      <c r="O10" s="723"/>
      <c r="P10" s="723"/>
      <c r="R10" s="58"/>
    </row>
    <row r="11" spans="1:39" ht="23.25" x14ac:dyDescent="0.2">
      <c r="A11" s="259"/>
      <c r="B11" s="260" t="s">
        <v>99</v>
      </c>
      <c r="C11" s="710"/>
      <c r="D11" s="246"/>
      <c r="E11" s="246"/>
      <c r="F11" s="246"/>
      <c r="G11" s="246"/>
      <c r="H11" s="246"/>
      <c r="I11" s="246"/>
      <c r="J11" s="246"/>
      <c r="K11" s="724"/>
      <c r="L11" s="724"/>
      <c r="M11" s="724"/>
      <c r="N11" s="724"/>
      <c r="O11" s="724"/>
      <c r="P11" s="724"/>
      <c r="Q11" s="245"/>
      <c r="R11" s="246"/>
      <c r="S11" s="245"/>
      <c r="T11" s="245"/>
      <c r="U11" s="245"/>
      <c r="V11" s="245"/>
      <c r="W11" s="245"/>
      <c r="X11" s="245"/>
      <c r="Y11" s="245"/>
      <c r="Z11" s="245"/>
      <c r="AA11" s="245"/>
      <c r="AB11" s="245"/>
      <c r="AC11" s="245"/>
      <c r="AD11" s="245"/>
      <c r="AE11" s="245"/>
      <c r="AF11" s="245"/>
      <c r="AG11" s="245"/>
      <c r="AH11" s="245"/>
      <c r="AI11" s="245"/>
      <c r="AJ11" s="245"/>
      <c r="AK11" s="245"/>
      <c r="AL11" s="245"/>
      <c r="AM11" s="245"/>
    </row>
    <row r="12" spans="1:39" ht="15" x14ac:dyDescent="0.2">
      <c r="A12" s="259"/>
      <c r="B12" s="63" t="s">
        <v>64</v>
      </c>
      <c r="C12" s="710"/>
      <c r="D12" s="246"/>
      <c r="E12" s="246"/>
      <c r="F12" s="246"/>
      <c r="G12" s="246"/>
      <c r="H12" s="246"/>
      <c r="I12" s="246"/>
      <c r="J12" s="246"/>
      <c r="K12" s="724"/>
      <c r="L12" s="724"/>
      <c r="M12" s="724"/>
      <c r="N12" s="724"/>
      <c r="O12" s="724"/>
      <c r="P12" s="724"/>
      <c r="Q12" s="245"/>
      <c r="R12" s="245"/>
      <c r="S12" s="245"/>
      <c r="T12" s="245"/>
      <c r="U12" s="245"/>
      <c r="V12" s="245"/>
      <c r="W12" s="245"/>
      <c r="X12" s="245"/>
      <c r="Y12" s="245"/>
      <c r="Z12" s="245"/>
      <c r="AA12" s="245"/>
      <c r="AB12" s="245"/>
      <c r="AC12" s="245"/>
      <c r="AD12" s="245"/>
      <c r="AE12" s="245"/>
      <c r="AF12" s="245"/>
      <c r="AG12" s="245"/>
      <c r="AH12" s="245"/>
      <c r="AI12" s="245"/>
      <c r="AJ12" s="245"/>
      <c r="AK12" s="245"/>
    </row>
    <row r="13" spans="1:39" ht="14.25" x14ac:dyDescent="0.2">
      <c r="A13" s="259"/>
      <c r="B13" s="100" t="s">
        <v>250</v>
      </c>
      <c r="C13" s="710"/>
      <c r="D13" s="246"/>
      <c r="E13" s="246"/>
      <c r="F13" s="246"/>
      <c r="G13" s="246"/>
      <c r="H13" s="246"/>
      <c r="I13" s="246"/>
      <c r="J13" s="246"/>
      <c r="K13" s="724"/>
      <c r="L13" s="724"/>
      <c r="M13" s="724"/>
      <c r="N13" s="724"/>
      <c r="O13" s="724"/>
      <c r="P13" s="724"/>
      <c r="Q13" s="245"/>
      <c r="R13" s="246"/>
      <c r="S13" s="245"/>
      <c r="T13" s="245"/>
      <c r="U13" s="245"/>
      <c r="V13" s="245"/>
      <c r="W13" s="245"/>
      <c r="X13" s="245"/>
      <c r="Y13" s="245"/>
      <c r="Z13" s="245"/>
      <c r="AA13" s="245"/>
      <c r="AB13" s="245"/>
      <c r="AC13" s="245"/>
      <c r="AD13" s="245"/>
      <c r="AE13" s="245"/>
      <c r="AF13" s="245"/>
      <c r="AG13" s="245"/>
      <c r="AH13" s="245"/>
      <c r="AI13" s="245"/>
      <c r="AJ13" s="245"/>
      <c r="AK13" s="245"/>
      <c r="AL13" s="245"/>
      <c r="AM13" s="245"/>
    </row>
    <row r="14" spans="1:39" ht="14.25" x14ac:dyDescent="0.2">
      <c r="A14" s="259"/>
      <c r="B14" s="100" t="s">
        <v>251</v>
      </c>
      <c r="C14" s="710"/>
      <c r="D14" s="246"/>
      <c r="E14" s="246"/>
      <c r="F14" s="246"/>
      <c r="G14" s="246"/>
      <c r="H14" s="246"/>
      <c r="I14" s="246"/>
      <c r="J14" s="246"/>
      <c r="K14" s="724"/>
      <c r="L14" s="724"/>
      <c r="M14" s="724"/>
      <c r="N14" s="724"/>
      <c r="O14" s="724"/>
      <c r="P14" s="724"/>
      <c r="Q14" s="245"/>
      <c r="R14" s="246"/>
      <c r="S14" s="245"/>
      <c r="T14" s="245"/>
      <c r="U14" s="245"/>
      <c r="V14" s="245"/>
      <c r="W14" s="245"/>
      <c r="X14" s="245"/>
      <c r="Y14" s="245"/>
      <c r="Z14" s="245"/>
      <c r="AA14" s="245"/>
      <c r="AB14" s="245"/>
      <c r="AC14" s="245"/>
      <c r="AD14" s="245"/>
      <c r="AE14" s="245"/>
      <c r="AF14" s="245"/>
      <c r="AG14" s="245"/>
      <c r="AH14" s="245"/>
      <c r="AI14" s="245"/>
      <c r="AJ14" s="245"/>
      <c r="AK14" s="245"/>
      <c r="AL14" s="245"/>
      <c r="AM14" s="245"/>
    </row>
    <row r="15" spans="1:39" ht="15" customHeight="1" x14ac:dyDescent="0.2">
      <c r="A15" s="259"/>
      <c r="B15" s="100" t="s">
        <v>252</v>
      </c>
      <c r="C15" s="711"/>
      <c r="D15" s="260"/>
      <c r="E15" s="260"/>
      <c r="F15" s="260"/>
      <c r="G15" s="260"/>
      <c r="H15" s="260"/>
      <c r="I15" s="260"/>
      <c r="J15" s="246"/>
      <c r="K15" s="724"/>
      <c r="L15" s="724"/>
      <c r="M15" s="724"/>
      <c r="N15" s="724"/>
      <c r="O15" s="724"/>
      <c r="P15" s="724"/>
      <c r="Q15" s="245"/>
      <c r="R15" s="246"/>
      <c r="S15" s="245"/>
      <c r="T15" s="245"/>
      <c r="U15" s="245"/>
      <c r="V15" s="245"/>
      <c r="W15" s="245"/>
      <c r="X15" s="245"/>
      <c r="Y15" s="245"/>
      <c r="Z15" s="245"/>
      <c r="AA15" s="245"/>
      <c r="AB15" s="245"/>
      <c r="AC15" s="245"/>
      <c r="AD15" s="245"/>
      <c r="AE15" s="245"/>
      <c r="AF15" s="245"/>
      <c r="AG15" s="245"/>
      <c r="AH15" s="245"/>
      <c r="AI15" s="245"/>
      <c r="AJ15" s="245"/>
      <c r="AK15" s="245"/>
      <c r="AL15" s="245"/>
      <c r="AM15" s="245"/>
    </row>
    <row r="16" spans="1:39" ht="13.5" customHeight="1" x14ac:dyDescent="0.2">
      <c r="A16" s="259"/>
      <c r="C16" s="711"/>
      <c r="D16" s="260"/>
      <c r="E16" s="260"/>
      <c r="F16" s="260"/>
      <c r="G16" s="260"/>
      <c r="H16" s="260"/>
      <c r="I16" s="260"/>
      <c r="J16" s="246"/>
      <c r="K16" s="724"/>
      <c r="L16" s="724"/>
      <c r="M16" s="724"/>
      <c r="N16" s="724"/>
      <c r="O16" s="724"/>
      <c r="P16" s="724"/>
      <c r="Q16" s="245"/>
      <c r="R16" s="246"/>
      <c r="S16" s="245"/>
      <c r="T16" s="245"/>
      <c r="U16" s="245"/>
      <c r="V16" s="245"/>
      <c r="W16" s="245"/>
      <c r="X16" s="245"/>
      <c r="Y16" s="245"/>
      <c r="Z16" s="245"/>
      <c r="AA16" s="245"/>
      <c r="AB16" s="245"/>
      <c r="AC16" s="245"/>
      <c r="AD16" s="245"/>
      <c r="AE16" s="245"/>
      <c r="AF16" s="245"/>
      <c r="AG16" s="245"/>
      <c r="AH16" s="245"/>
      <c r="AI16" s="245"/>
      <c r="AJ16" s="245"/>
      <c r="AK16" s="245"/>
      <c r="AL16" s="245"/>
      <c r="AM16" s="245"/>
    </row>
    <row r="17" spans="1:39" s="177" customFormat="1" x14ac:dyDescent="0.2">
      <c r="A17" s="559"/>
      <c r="B17" s="565"/>
      <c r="C17" s="712"/>
      <c r="D17" s="1010" t="s">
        <v>136</v>
      </c>
      <c r="E17" s="1010"/>
      <c r="F17" s="1010"/>
      <c r="G17" s="1010"/>
      <c r="H17" s="1010"/>
      <c r="I17" s="1010"/>
      <c r="J17" s="565"/>
      <c r="K17" s="1010" t="s">
        <v>124</v>
      </c>
      <c r="L17" s="1010"/>
      <c r="M17" s="1010"/>
      <c r="N17" s="1010"/>
      <c r="O17" s="1010"/>
      <c r="P17" s="1010"/>
      <c r="Q17" s="272"/>
      <c r="R17" s="565"/>
      <c r="S17" s="272"/>
      <c r="T17" s="272"/>
      <c r="U17" s="272"/>
      <c r="V17" s="272"/>
      <c r="W17" s="272"/>
      <c r="X17" s="272"/>
      <c r="Y17" s="272"/>
      <c r="Z17" s="272"/>
      <c r="AA17" s="272"/>
      <c r="AB17" s="272"/>
      <c r="AC17" s="272"/>
      <c r="AD17" s="272"/>
      <c r="AE17" s="272"/>
      <c r="AF17" s="272"/>
      <c r="AG17" s="272"/>
      <c r="AH17" s="272"/>
      <c r="AI17" s="272"/>
      <c r="AJ17" s="272"/>
      <c r="AK17" s="272"/>
      <c r="AL17" s="272"/>
      <c r="AM17" s="272"/>
    </row>
    <row r="18" spans="1:39" s="177" customFormat="1" ht="75" customHeight="1" x14ac:dyDescent="0.2">
      <c r="A18" s="559"/>
      <c r="B18" s="560"/>
      <c r="C18" s="713" t="s">
        <v>122</v>
      </c>
      <c r="D18" s="561" t="s">
        <v>279</v>
      </c>
      <c r="E18" s="561" t="s">
        <v>280</v>
      </c>
      <c r="F18" s="561" t="s">
        <v>246</v>
      </c>
      <c r="G18" s="561" t="s">
        <v>246</v>
      </c>
      <c r="H18" s="562" t="s">
        <v>246</v>
      </c>
      <c r="I18" s="562" t="s">
        <v>246</v>
      </c>
      <c r="J18" s="555" t="s">
        <v>123</v>
      </c>
      <c r="K18" s="775" t="s">
        <v>1</v>
      </c>
      <c r="L18" s="775" t="s">
        <v>2</v>
      </c>
      <c r="M18" s="775" t="s">
        <v>271</v>
      </c>
      <c r="N18" s="775" t="s">
        <v>408</v>
      </c>
      <c r="O18" s="775" t="s">
        <v>243</v>
      </c>
      <c r="P18" s="775">
        <v>0</v>
      </c>
      <c r="Q18" s="563"/>
      <c r="R18" s="244" t="s">
        <v>148</v>
      </c>
      <c r="S18" s="244" t="s">
        <v>32</v>
      </c>
      <c r="T18" s="272"/>
      <c r="U18" t="s">
        <v>158</v>
      </c>
      <c r="V18"/>
      <c r="W18"/>
      <c r="X18"/>
      <c r="Y18"/>
      <c r="Z18"/>
      <c r="AA18"/>
      <c r="AB18"/>
      <c r="AC18"/>
      <c r="AD18" s="564"/>
      <c r="AE18" s="272"/>
      <c r="AF18" s="272"/>
      <c r="AG18" s="272"/>
      <c r="AH18" s="272"/>
      <c r="AI18" s="272"/>
      <c r="AJ18" s="272"/>
      <c r="AK18" s="272"/>
      <c r="AL18" s="272"/>
      <c r="AM18" s="272"/>
    </row>
    <row r="19" spans="1:39" ht="23.25" thickBot="1" x14ac:dyDescent="0.25">
      <c r="A19" s="557"/>
      <c r="B19" s="556"/>
      <c r="C19" s="714"/>
      <c r="D19" s="551"/>
      <c r="E19" s="552"/>
      <c r="F19" s="552"/>
      <c r="G19" s="553"/>
      <c r="I19" s="745" t="s">
        <v>167</v>
      </c>
      <c r="J19" s="708"/>
      <c r="K19" s="774" t="s">
        <v>169</v>
      </c>
      <c r="L19" s="774" t="s">
        <v>169</v>
      </c>
      <c r="M19" s="774" t="s">
        <v>169</v>
      </c>
      <c r="N19" s="774" t="s">
        <v>169</v>
      </c>
      <c r="O19" s="774" t="s">
        <v>169</v>
      </c>
      <c r="P19" s="774" t="s">
        <v>169</v>
      </c>
      <c r="Q19" s="1011"/>
      <c r="R19" s="1011"/>
      <c r="S19" s="1011"/>
      <c r="T19" s="245"/>
      <c r="U19"/>
      <c r="V19"/>
      <c r="W19"/>
      <c r="X19"/>
      <c r="Y19"/>
      <c r="Z19"/>
      <c r="AA19"/>
      <c r="AB19"/>
      <c r="AC19"/>
      <c r="AD19" s="261"/>
      <c r="AE19" s="245"/>
      <c r="AF19" s="245"/>
      <c r="AG19" s="245"/>
      <c r="AH19" s="245"/>
      <c r="AI19" s="245"/>
      <c r="AJ19" s="245"/>
      <c r="AK19" s="245"/>
      <c r="AL19" s="245"/>
      <c r="AM19" s="245"/>
    </row>
    <row r="20" spans="1:39" x14ac:dyDescent="0.2">
      <c r="A20" s="503">
        <v>1</v>
      </c>
      <c r="B20" s="554" t="str">
        <f>CONCATENATE('3. Consumption by Rate Class'!B25,"-",'3. Consumption by Rate Class'!C25)</f>
        <v>2005-January</v>
      </c>
      <c r="C20" s="697">
        <v>23375222.759390123</v>
      </c>
      <c r="D20" s="703">
        <v>-40200</v>
      </c>
      <c r="E20" s="700"/>
      <c r="F20" s="700"/>
      <c r="G20" s="700"/>
      <c r="H20" s="701"/>
      <c r="I20" s="701"/>
      <c r="J20" s="558">
        <f>SUM(C20:I20)</f>
        <v>23335022.759390123</v>
      </c>
      <c r="K20" s="725">
        <f>IF(K$18='5.Variables'!$B$16,+'5.Variables'!$C27,+IF(K$18='5.Variables'!$B$39,+'5.Variables'!$C50,+IF(K$18='5.Variables'!$B$62,+'5.Variables'!$C64,+IF(K$18='5.Variables'!$B$76,+'5.Variables'!$C78,+IF(K$18='5.Variables'!$B$90,+'5.Variables'!$C92,+IF(K$18='5.Variables'!$B$104,+'5.Variables'!$C106,0))))))</f>
        <v>920.7</v>
      </c>
      <c r="L20" s="725">
        <f>IF(L$18='5.Variables'!$B$16,+'5.Variables'!$C27,+IF(L$18='5.Variables'!$B$39,+'5.Variables'!$C50,+IF(L$18='5.Variables'!$B$62,+'5.Variables'!$C64,+IF(L$18='5.Variables'!$B$76,+'5.Variables'!$C78,+IF(L$18='5.Variables'!$B$90,+'5.Variables'!$C92,+IF(L$18='5.Variables'!$B$104,+'5.Variables'!$C106,0))))))</f>
        <v>0</v>
      </c>
      <c r="M20" s="725">
        <f>IF(M$18='5.Variables'!$B$16,+'5.Variables'!$C26,+IF(M$18='5.Variables'!$B$39,+'5.Variables'!$C50,+IF(M$18='5.Variables'!$B$62,+'5.Variables'!$C64,+IF(M$18='5.Variables'!$B$76,+'5.Variables'!$C78,+IF(M$18='5.Variables'!$B$90,+'5.Variables'!$C92,+IF(M$18='5.Variables'!$B$104,+'5.Variables'!$C106,0))))))</f>
        <v>1</v>
      </c>
      <c r="N20" s="725">
        <f>IF(N$18='5.Variables'!$B$16,+'5.Variables'!$C26,+IF(N$18='5.Variables'!$B$39,+'5.Variables'!$C50,+IF(N$18='5.Variables'!$B$62,+'5.Variables'!$C64,+IF(N$18='5.Variables'!$B$76,+'5.Variables'!$C78,+IF(N$18='5.Variables'!$B$90,+'5.Variables'!$C92,+IF(N$18='5.Variables'!$B$104,+'5.Variables'!$C106,0))))))</f>
        <v>1</v>
      </c>
      <c r="O20" s="725">
        <f>IF(O$18='5.Variables'!$B$16,+'5.Variables'!$C26,+IF(O$18='5.Variables'!$B$39,+'5.Variables'!$C50,+IF(O$18='5.Variables'!$B$62,+'5.Variables'!$C64,+IF(O$18='5.Variables'!$B$76,+'5.Variables'!$C78,+IF(O$18='5.Variables'!$B$90,+'5.Variables'!$C92,+IF(O$18='5.Variables'!$B$104,+'5.Variables'!$C106,0))))))</f>
        <v>31</v>
      </c>
      <c r="P20" s="725">
        <f>IF(P$18='5.Variables'!$B$16,+'5.Variables'!$C26,+IF(P$18='5.Variables'!$B$39,+'5.Variables'!$C50,+IF(P$18='5.Variables'!$B$62,+'5.Variables'!$C64,+IF(P$18='5.Variables'!$B$76,+'5.Variables'!$C78,+IF(P$18='5.Variables'!$B$90,+'5.Variables'!$C92,+IF(P$18='5.Variables'!$B$104,+'5.Variables'!$C106,0))))))</f>
        <v>0</v>
      </c>
      <c r="Q20" s="245"/>
      <c r="R20" s="558">
        <f>$V$34+(K20*$V$35)+(L20*$V$36)+(M20*$V$37)+(N20*$V$38)+(O20*$V$39)</f>
        <v>21280406.377867807</v>
      </c>
      <c r="S20" s="264"/>
      <c r="T20" s="245"/>
      <c r="U20" s="549" t="s">
        <v>7</v>
      </c>
      <c r="V20" s="549"/>
      <c r="W20"/>
      <c r="X20"/>
      <c r="Y20"/>
      <c r="Z20"/>
      <c r="AA20"/>
      <c r="AB20"/>
      <c r="AC20"/>
      <c r="AD20" s="261"/>
      <c r="AE20" s="245"/>
      <c r="AF20" s="245"/>
      <c r="AG20" s="245"/>
      <c r="AH20" s="245"/>
      <c r="AI20" s="245"/>
      <c r="AJ20" s="245"/>
      <c r="AK20" s="245"/>
      <c r="AL20" s="245"/>
      <c r="AM20" s="245"/>
    </row>
    <row r="21" spans="1:39" x14ac:dyDescent="0.2">
      <c r="A21" s="503">
        <f>+A20+1</f>
        <v>2</v>
      </c>
      <c r="B21" s="262" t="str">
        <f>CONCATENATE('3. Consumption by Rate Class'!B26,"-",'3. Consumption by Rate Class'!C26)</f>
        <v>2005-February</v>
      </c>
      <c r="C21" s="697">
        <v>19532450.321269371</v>
      </c>
      <c r="D21" s="703">
        <v>-51000</v>
      </c>
      <c r="E21" s="702"/>
      <c r="F21" s="702"/>
      <c r="G21" s="702"/>
      <c r="H21" s="702"/>
      <c r="I21" s="702"/>
      <c r="J21" s="263">
        <f t="shared" ref="J21:J84" si="0">SUM(C21:I21)</f>
        <v>19481450.321269371</v>
      </c>
      <c r="K21" s="725">
        <f>IF(K$18='5.Variables'!$B$16,+'5.Variables'!$D27,+IF(K$18='5.Variables'!$B$39,+'5.Variables'!$D50,+IF(K$18='5.Variables'!$B$62,+'5.Variables'!$D64,+IF(K$18='5.Variables'!$B$76,+'5.Variables'!$D78,+IF(K$18='5.Variables'!$B$90,+'5.Variables'!$D92,+IF(K$18='5.Variables'!$B$104,+'5.Variables'!$D106,0))))))</f>
        <v>700.6</v>
      </c>
      <c r="L21" s="725">
        <f>IF(L$18='5.Variables'!$B$16,+'5.Variables'!$D27,+IF(L$18='5.Variables'!$B$39,+'5.Variables'!$D50,+IF(L$18='5.Variables'!$B$62,+'5.Variables'!$D64,+IF(L$18='5.Variables'!$B$76,+'5.Variables'!$D78,+IF(L$18='5.Variables'!$B$90,+'5.Variables'!$D92,+IF(L$18='5.Variables'!$B$104,+'5.Variables'!$D106,0))))))</f>
        <v>0</v>
      </c>
      <c r="M21" s="725">
        <f>IF(M$18='5.Variables'!$B$16,+'5.Variables'!$D26,+IF(M$18='5.Variables'!$B$39,+'5.Variables'!$D50,+IF(M$18='5.Variables'!$B$62,+'5.Variables'!$D64,+IF(M$18='5.Variables'!$B$76,+'5.Variables'!$D78,+IF(M$18='5.Variables'!$B$90,+'5.Variables'!$D92,+IF(M$18='5.Variables'!$B$104,+'5.Variables'!$D106,0))))))</f>
        <v>1</v>
      </c>
      <c r="N21" s="725">
        <f>IF(N$18='5.Variables'!$B$16,+'5.Variables'!$D26,+IF(N$18='5.Variables'!$B$39,+'5.Variables'!$D50,+IF(N$18='5.Variables'!$B$62,+'5.Variables'!$D64,+IF(N$18='5.Variables'!$B$76,+'5.Variables'!$D78,+IF(N$18='5.Variables'!$B$90,+'5.Variables'!$D92,+IF(N$18='5.Variables'!$B$104,+'5.Variables'!$D106,0))))))</f>
        <v>0</v>
      </c>
      <c r="O21" s="725">
        <f>IF(O$18='5.Variables'!$B$16,+'5.Variables'!$D26,+IF(O$18='5.Variables'!$B$39,+'5.Variables'!$D50,+IF(O$18='5.Variables'!$B$62,+'5.Variables'!$D64,+IF(O$18='5.Variables'!$B$76,+'5.Variables'!$D78,+IF(O$18='5.Variables'!$B$90,+'5.Variables'!$D92,+IF(O$18='5.Variables'!$B$104,+'5.Variables'!$D106,0))))))</f>
        <v>28</v>
      </c>
      <c r="P21" s="725">
        <f>IF(P$18='5.Variables'!$B$16,+'5.Variables'!$D26,+IF(P$18='5.Variables'!$B$39,+'5.Variables'!$D50,+IF(P$18='5.Variables'!$B$62,+'5.Variables'!$D64,+IF(P$18='5.Variables'!$B$76,+'5.Variables'!$D78,+IF(P$18='5.Variables'!$B$90,+'5.Variables'!$D92,+IF(P$18='5.Variables'!$B$104,+'5.Variables'!$D106,0))))))</f>
        <v>0</v>
      </c>
      <c r="Q21" s="245"/>
      <c r="R21" s="558">
        <f t="shared" ref="R21:R84" si="1">$V$34+(K21*$V$35)+(L21*$V$36)+(M21*$V$37)+(N21*$V$38)+(O21*$V$39)</f>
        <v>19050523.640920468</v>
      </c>
      <c r="S21" s="264"/>
      <c r="T21" s="245"/>
      <c r="U21" s="546" t="s">
        <v>8</v>
      </c>
      <c r="V21" s="546">
        <v>0.92668223566941954</v>
      </c>
      <c r="W21"/>
      <c r="X21"/>
      <c r="Y21"/>
      <c r="Z21"/>
      <c r="AA21"/>
      <c r="AB21"/>
      <c r="AC21"/>
      <c r="AD21" s="261"/>
      <c r="AE21" s="245"/>
      <c r="AF21" s="245"/>
      <c r="AG21" s="245"/>
      <c r="AH21" s="245"/>
      <c r="AI21" s="245"/>
      <c r="AJ21" s="245"/>
      <c r="AK21" s="245"/>
      <c r="AL21" s="245"/>
      <c r="AM21" s="245"/>
    </row>
    <row r="22" spans="1:39" x14ac:dyDescent="0.2">
      <c r="A22" s="503">
        <f t="shared" ref="A22:A85" si="2">+A21+1</f>
        <v>3</v>
      </c>
      <c r="B22" s="262" t="str">
        <f>CONCATENATE('3. Consumption by Rate Class'!B27,"-",'3. Consumption by Rate Class'!C27)</f>
        <v>2005-March</v>
      </c>
      <c r="C22" s="697">
        <v>18788975.258694019</v>
      </c>
      <c r="D22" s="703">
        <v>-60600</v>
      </c>
      <c r="E22" s="703"/>
      <c r="F22" s="703"/>
      <c r="G22" s="703"/>
      <c r="H22" s="704"/>
      <c r="I22" s="704"/>
      <c r="J22" s="263">
        <f t="shared" si="0"/>
        <v>18728375.258694019</v>
      </c>
      <c r="K22" s="725">
        <f>IF(K$18='5.Variables'!$B$16,+'5.Variables'!$E27,+IF(K$18='5.Variables'!$B$39,+'5.Variables'!$E50,+IF(K$18='5.Variables'!$B$62,+'5.Variables'!$E64,+IF(K$18='5.Variables'!$B$76,+'5.Variables'!$E78,+IF(K$18='5.Variables'!$B$90,+'5.Variables'!$E92,+IF(K$18='5.Variables'!$B$104,+'5.Variables'!$E106,0))))))</f>
        <v>668.8</v>
      </c>
      <c r="L22" s="725">
        <f>IF(L$18='5.Variables'!$B$16,+'5.Variables'!$E27,+IF(L$18='5.Variables'!$B$39,+'5.Variables'!$E50,+IF(L$18='5.Variables'!$B$62,+'5.Variables'!$E64,+IF(L$18='5.Variables'!$B$76,+'5.Variables'!$E78,+IF(L$18='5.Variables'!$B$90,+'5.Variables'!$E92,+IF(L$18='5.Variables'!$B$104,+'5.Variables'!$E106,0))))))</f>
        <v>0</v>
      </c>
      <c r="M22" s="725">
        <f>IF(M$18='5.Variables'!$B$16,+'5.Variables'!$E26,+IF(M$18='5.Variables'!$B$39,+'5.Variables'!$E50,+IF(M$18='5.Variables'!$B$62,+'5.Variables'!$E64,+IF(M$18='5.Variables'!$B$76,+'5.Variables'!$E78,+IF(M$18='5.Variables'!$B$90,+'5.Variables'!$E92,+IF(M$18='5.Variables'!$B$104,+'5.Variables'!$E106,0))))))</f>
        <v>0</v>
      </c>
      <c r="N22" s="725">
        <f>IF(N$18='5.Variables'!$B$16,+'5.Variables'!$E26,+IF(N$18='5.Variables'!$B$39,+'5.Variables'!$E50,+IF(N$18='5.Variables'!$B$62,+'5.Variables'!$E64,+IF(N$18='5.Variables'!$B$76,+'5.Variables'!$E78,+IF(N$18='5.Variables'!$B$90,+'5.Variables'!$E92,+IF(N$18='5.Variables'!$B$104,+'5.Variables'!$E106,0))))))</f>
        <v>1</v>
      </c>
      <c r="O22" s="725">
        <f>IF(O$18='5.Variables'!$B$16,+'5.Variables'!$E26,+IF(O$18='5.Variables'!$B$39,+'5.Variables'!$E50,+IF(O$18='5.Variables'!$B$62,+'5.Variables'!$E64,+IF(O$18='5.Variables'!$B$76,+'5.Variables'!$E78,+IF(O$18='5.Variables'!$B$90,+'5.Variables'!$E92,+IF(O$18='5.Variables'!$B$104,+'5.Variables'!$E106,0))))))</f>
        <v>31</v>
      </c>
      <c r="P22" s="725">
        <f>IF(P$18='5.Variables'!$B$16,+'5.Variables'!$E26,+IF(P$18='5.Variables'!$B$39,+'5.Variables'!$E50,+IF(P$18='5.Variables'!$B$62,+'5.Variables'!$E64,+IF(P$18='5.Variables'!$B$76,+'5.Variables'!$E78,+IF(P$18='5.Variables'!$B$90,+'5.Variables'!$E92,+IF(P$18='5.Variables'!$B$104,+'5.Variables'!$E106,0))))))</f>
        <v>0</v>
      </c>
      <c r="Q22" s="245"/>
      <c r="R22" s="558">
        <f t="shared" si="1"/>
        <v>18031701.21690198</v>
      </c>
      <c r="S22" s="265"/>
      <c r="T22" s="245"/>
      <c r="U22" s="546" t="s">
        <v>9</v>
      </c>
      <c r="V22" s="546">
        <v>0.85873996590527357</v>
      </c>
      <c r="W22"/>
      <c r="X22"/>
      <c r="Y22"/>
      <c r="Z22"/>
      <c r="AA22"/>
      <c r="AB22"/>
      <c r="AC22"/>
      <c r="AD22" s="261"/>
      <c r="AE22" s="245"/>
      <c r="AF22" s="245"/>
      <c r="AG22" s="245"/>
      <c r="AH22" s="245"/>
      <c r="AI22" s="245"/>
      <c r="AJ22" s="245"/>
      <c r="AK22" s="245"/>
      <c r="AL22" s="245"/>
      <c r="AM22" s="245"/>
    </row>
    <row r="23" spans="1:39" x14ac:dyDescent="0.2">
      <c r="A23" s="503">
        <f t="shared" si="2"/>
        <v>4</v>
      </c>
      <c r="B23" s="262" t="str">
        <f>CONCATENATE('3. Consumption by Rate Class'!B28,"-",'3. Consumption by Rate Class'!C28)</f>
        <v>2005-April</v>
      </c>
      <c r="C23" s="697">
        <v>16627360.577996613</v>
      </c>
      <c r="D23" s="703">
        <v>-36600</v>
      </c>
      <c r="E23" s="703"/>
      <c r="F23" s="703"/>
      <c r="G23" s="703"/>
      <c r="H23" s="704"/>
      <c r="I23" s="704"/>
      <c r="J23" s="263">
        <f t="shared" si="0"/>
        <v>16590760.577996613</v>
      </c>
      <c r="K23" s="725">
        <f>IF(K$18='5.Variables'!$B$16,+'5.Variables'!$F27,+IF(K$18='5.Variables'!$B$39,+'5.Variables'!$F50,+IF(K$18='5.Variables'!$B$62,+'5.Variables'!$F64,+IF(K$18='5.Variables'!$B$76,+'5.Variables'!$F78,+IF(K$18='5.Variables'!$B$90,+'5.Variables'!$F92,+IF(K$18='5.Variables'!$B$104,+'5.Variables'!$F106,0))))))</f>
        <v>324.8</v>
      </c>
      <c r="L23" s="725">
        <f>IF(L$18='5.Variables'!$B$16,+'5.Variables'!$F27,+IF(L$18='5.Variables'!$B$39,+'5.Variables'!$F50,+IF(L$18='5.Variables'!$B$62,+'5.Variables'!$F64,+IF(L$18='5.Variables'!$B$76,+'5.Variables'!$F78,+IF(L$18='5.Variables'!$B$90,+'5.Variables'!$F92,+IF(L$18='5.Variables'!$B$104,+'5.Variables'!$F106,0))))))</f>
        <v>0</v>
      </c>
      <c r="M23" s="725">
        <f>IF(M$18='5.Variables'!$B$16,+'5.Variables'!$F26,+IF(M$18='5.Variables'!$B$39,+'5.Variables'!$F50,+IF(M$18='5.Variables'!$B$62,+'5.Variables'!$F64,+IF(M$18='5.Variables'!$B$76,+'5.Variables'!$F78,+IF(M$18='5.Variables'!$B$90,+'5.Variables'!$F92,+IF(M$18='5.Variables'!$B$104,+'5.Variables'!$F106,0))))))</f>
        <v>0</v>
      </c>
      <c r="N23" s="725">
        <f>IF(N$18='5.Variables'!$B$16,+'5.Variables'!$F26,+IF(N$18='5.Variables'!$B$39,+'5.Variables'!$F50,+IF(N$18='5.Variables'!$B$62,+'5.Variables'!$F64,+IF(N$18='5.Variables'!$B$76,+'5.Variables'!$F78,+IF(N$18='5.Variables'!$B$90,+'5.Variables'!$F92,+IF(N$18='5.Variables'!$B$104,+'5.Variables'!$F106,0))))))</f>
        <v>0</v>
      </c>
      <c r="O23" s="725">
        <f>IF(O$18='5.Variables'!$B$16,+'5.Variables'!$F26,+IF(O$18='5.Variables'!$B$39,+'5.Variables'!$F50,+IF(O$18='5.Variables'!$B$62,+'5.Variables'!$F64,+IF(O$18='5.Variables'!$B$76,+'5.Variables'!$F78,+IF(O$18='5.Variables'!$B$90,+'5.Variables'!$F92,+IF(O$18='5.Variables'!$B$104,+'5.Variables'!$F106,0))))))</f>
        <v>30</v>
      </c>
      <c r="P23" s="725">
        <f>IF(P$18='5.Variables'!$B$16,+'5.Variables'!$F26,+IF(P$18='5.Variables'!$B$39,+'5.Variables'!$F50,+IF(P$18='5.Variables'!$B$62,+'5.Variables'!$F64,+IF(P$18='5.Variables'!$B$76,+'5.Variables'!$F78,+IF(P$18='5.Variables'!$B$90,+'5.Variables'!$F92,+IF(P$18='5.Variables'!$B$104,+'5.Variables'!$F106,0))))))</f>
        <v>0</v>
      </c>
      <c r="Q23" s="245"/>
      <c r="R23" s="558">
        <f t="shared" si="1"/>
        <v>15286872.78594489</v>
      </c>
      <c r="S23" s="265"/>
      <c r="T23" s="245"/>
      <c r="U23" s="546" t="s">
        <v>10</v>
      </c>
      <c r="V23" s="546">
        <v>0.85254435037480314</v>
      </c>
      <c r="W23"/>
      <c r="X23"/>
      <c r="Y23"/>
      <c r="Z23"/>
      <c r="AA23"/>
      <c r="AB23"/>
      <c r="AC23"/>
      <c r="AD23" s="261"/>
      <c r="AE23" s="245"/>
      <c r="AF23" s="245"/>
      <c r="AG23" s="245"/>
      <c r="AH23" s="245"/>
      <c r="AI23" s="245"/>
      <c r="AJ23" s="245"/>
      <c r="AK23" s="245"/>
      <c r="AL23" s="245"/>
      <c r="AM23" s="245"/>
    </row>
    <row r="24" spans="1:39" x14ac:dyDescent="0.2">
      <c r="A24" s="503">
        <f t="shared" si="2"/>
        <v>5</v>
      </c>
      <c r="B24" s="262" t="str">
        <f>CONCATENATE('3. Consumption by Rate Class'!B29,"-",'3. Consumption by Rate Class'!C29)</f>
        <v>2005-May</v>
      </c>
      <c r="C24" s="697">
        <v>15334365.959005743</v>
      </c>
      <c r="D24" s="703">
        <v>-48600</v>
      </c>
      <c r="E24" s="703"/>
      <c r="F24" s="703"/>
      <c r="G24" s="703"/>
      <c r="H24" s="704"/>
      <c r="I24" s="704"/>
      <c r="J24" s="263">
        <f t="shared" si="0"/>
        <v>15285765.959005743</v>
      </c>
      <c r="K24" s="725">
        <f>IF(K$18='5.Variables'!$B$16,+'5.Variables'!$G27,+IF(K$18='5.Variables'!$B$39,+'5.Variables'!$G50,+IF(K$18='5.Variables'!$B$62,+'5.Variables'!$G64,+IF(K$18='5.Variables'!$B$76,+'5.Variables'!$G78,+IF(K$18='5.Variables'!$B$90,+'5.Variables'!$G92,+IF(K$18='5.Variables'!$B$104,+'5.Variables'!$G106,0))))))</f>
        <v>205</v>
      </c>
      <c r="L24" s="725">
        <f>IF(L$18='5.Variables'!$B$16,+'5.Variables'!$G27,+IF(L$18='5.Variables'!$B$39,+'5.Variables'!$G50,+IF(L$18='5.Variables'!$B$62,+'5.Variables'!$G64,+IF(L$18='5.Variables'!$B$76,+'5.Variables'!$G78,+IF(L$18='5.Variables'!$B$90,+'5.Variables'!$G92,+IF(L$18='5.Variables'!$B$104,+'5.Variables'!$G106,0))))))</f>
        <v>1.9</v>
      </c>
      <c r="M24" s="725">
        <f>IF(M$18='5.Variables'!$B$16,+'5.Variables'!$G26,+IF(M$18='5.Variables'!$B$39,+'5.Variables'!$G50,+IF(M$18='5.Variables'!$B$62,+'5.Variables'!$G64,+IF(M$18='5.Variables'!$B$76,+'5.Variables'!$G78,+IF(M$18='5.Variables'!$B$90,+'5.Variables'!$G92,+IF(M$18='5.Variables'!$B$104,+'5.Variables'!$G106,0))))))</f>
        <v>0</v>
      </c>
      <c r="N24" s="725">
        <f>IF(N$18='5.Variables'!$B$16,+'5.Variables'!$G26,+IF(N$18='5.Variables'!$B$39,+'5.Variables'!$G50,+IF(N$18='5.Variables'!$B$62,+'5.Variables'!$G64,+IF(N$18='5.Variables'!$B$76,+'5.Variables'!$G78,+IF(N$18='5.Variables'!$B$90,+'5.Variables'!$G92,+IF(N$18='5.Variables'!$B$104,+'5.Variables'!$G106,0))))))</f>
        <v>0</v>
      </c>
      <c r="O24" s="725">
        <f>IF(O$18='5.Variables'!$B$16,+'5.Variables'!$G26,+IF(O$18='5.Variables'!$B$39,+'5.Variables'!$G50,+IF(O$18='5.Variables'!$B$62,+'5.Variables'!$G64,+IF(O$18='5.Variables'!$B$76,+'5.Variables'!$G78,+IF(O$18='5.Variables'!$B$90,+'5.Variables'!$G92,+IF(O$18='5.Variables'!$B$104,+'5.Variables'!$G106,0))))))</f>
        <v>31</v>
      </c>
      <c r="P24" s="725">
        <f>IF(P$18='5.Variables'!$B$16,+'5.Variables'!$G26,+IF(P$18='5.Variables'!$B$39,+'5.Variables'!$G50,+IF(P$18='5.Variables'!$B$62,+'5.Variables'!$G64,+IF(P$18='5.Variables'!$B$76,+'5.Variables'!$G78,+IF(P$18='5.Variables'!$B$90,+'5.Variables'!$G92,+IF(P$18='5.Variables'!$B$104,+'5.Variables'!$G106,0))))))</f>
        <v>0</v>
      </c>
      <c r="Q24" s="245"/>
      <c r="R24" s="558">
        <f t="shared" si="1"/>
        <v>14696669.203625463</v>
      </c>
      <c r="S24" s="265"/>
      <c r="T24" s="245"/>
      <c r="U24" s="546" t="s">
        <v>11</v>
      </c>
      <c r="V24" s="546">
        <v>912139.52476786438</v>
      </c>
      <c r="W24"/>
      <c r="X24"/>
      <c r="Y24"/>
      <c r="Z24"/>
      <c r="AA24"/>
      <c r="AB24"/>
      <c r="AC24"/>
      <c r="AD24" s="261"/>
      <c r="AE24" s="245"/>
      <c r="AF24" s="245"/>
      <c r="AG24" s="245"/>
      <c r="AH24" s="245"/>
      <c r="AI24" s="245"/>
      <c r="AJ24" s="245"/>
      <c r="AK24" s="245"/>
      <c r="AL24" s="245"/>
      <c r="AM24" s="245"/>
    </row>
    <row r="25" spans="1:39" ht="13.5" thickBot="1" x14ac:dyDescent="0.25">
      <c r="A25" s="503">
        <f t="shared" si="2"/>
        <v>6</v>
      </c>
      <c r="B25" s="262" t="str">
        <f>CONCATENATE('3. Consumption by Rate Class'!B30,"-",'3. Consumption by Rate Class'!C30)</f>
        <v>2005-June</v>
      </c>
      <c r="C25" s="697">
        <v>17387211.672388487</v>
      </c>
      <c r="D25" s="703">
        <v>-60600</v>
      </c>
      <c r="E25" s="703"/>
      <c r="F25" s="703"/>
      <c r="G25" s="703"/>
      <c r="H25" s="704"/>
      <c r="I25" s="704"/>
      <c r="J25" s="263">
        <f t="shared" si="0"/>
        <v>17326611.672388487</v>
      </c>
      <c r="K25" s="725">
        <f>IF(K$18='5.Variables'!$B$16,+'5.Variables'!$H27,+IF(K$18='5.Variables'!$B$39,+'5.Variables'!$H50,+IF(K$18='5.Variables'!$B$62,+'5.Variables'!$H64,+IF(K$18='5.Variables'!$B$76,+'5.Variables'!$H78,+IF(K$18='5.Variables'!$B$90,+'5.Variables'!$H92,+IF(K$18='5.Variables'!$B$104,+'5.Variables'!$H106,0))))))</f>
        <v>16.100000000000001</v>
      </c>
      <c r="L25" s="725">
        <f>IF(L$18='5.Variables'!$B$16,+'5.Variables'!$H27,+IF(L$18='5.Variables'!$B$39,+'5.Variables'!$H50,+IF(L$18='5.Variables'!$B$62,+'5.Variables'!$H64,+IF(L$18='5.Variables'!$B$76,+'5.Variables'!$H78,+IF(L$18='5.Variables'!$B$90,+'5.Variables'!$H92,+IF(L$18='5.Variables'!$B$104,+'5.Variables'!$H106,0))))))</f>
        <v>111.6</v>
      </c>
      <c r="M25" s="725">
        <f>IF(M$18='5.Variables'!$B$16,+'5.Variables'!$H26,+IF(M$18='5.Variables'!$B$39,+'5.Variables'!$H50,+IF(M$18='5.Variables'!$B$62,+'5.Variables'!$H64,+IF(M$18='5.Variables'!$B$76,+'5.Variables'!$H78,+IF(M$18='5.Variables'!$B$90,+'5.Variables'!$H92,+IF(M$18='5.Variables'!$B$104,+'5.Variables'!$H106,0))))))</f>
        <v>0</v>
      </c>
      <c r="N25" s="725">
        <f>IF(N$18='5.Variables'!$B$16,+'5.Variables'!$H26,+IF(N$18='5.Variables'!$B$39,+'5.Variables'!$H50,+IF(N$18='5.Variables'!$B$62,+'5.Variables'!$H64,+IF(N$18='5.Variables'!$B$76,+'5.Variables'!$H78,+IF(N$18='5.Variables'!$B$90,+'5.Variables'!$H92,+IF(N$18='5.Variables'!$B$104,+'5.Variables'!$H106,0))))))</f>
        <v>0</v>
      </c>
      <c r="O25" s="725">
        <f>IF(O$18='5.Variables'!$B$16,+'5.Variables'!$H26,+IF(O$18='5.Variables'!$B$39,+'5.Variables'!$H50,+IF(O$18='5.Variables'!$B$62,+'5.Variables'!$H64,+IF(O$18='5.Variables'!$B$76,+'5.Variables'!$H78,+IF(O$18='5.Variables'!$B$90,+'5.Variables'!$H92,+IF(O$18='5.Variables'!$B$104,+'5.Variables'!$H106,0))))))</f>
        <v>30</v>
      </c>
      <c r="P25" s="725">
        <f>IF(P$18='5.Variables'!$B$16,+'5.Variables'!$H26,+IF(P$18='5.Variables'!$B$39,+'5.Variables'!$H50,+IF(P$18='5.Variables'!$B$62,+'5.Variables'!$H64,+IF(P$18='5.Variables'!$B$76,+'5.Variables'!$H78,+IF(P$18='5.Variables'!$B$90,+'5.Variables'!$H92,+IF(P$18='5.Variables'!$B$104,+'5.Variables'!$H106,0))))))</f>
        <v>0</v>
      </c>
      <c r="Q25" s="245"/>
      <c r="R25" s="558">
        <f t="shared" si="1"/>
        <v>15934470.651966024</v>
      </c>
      <c r="S25" s="265"/>
      <c r="T25" s="245"/>
      <c r="U25" s="547" t="s">
        <v>12</v>
      </c>
      <c r="V25" s="547">
        <v>120</v>
      </c>
      <c r="W25"/>
      <c r="X25"/>
      <c r="Y25"/>
      <c r="Z25"/>
      <c r="AA25"/>
      <c r="AB25"/>
      <c r="AC25"/>
      <c r="AD25" s="261"/>
      <c r="AE25" s="245"/>
      <c r="AF25" s="245"/>
      <c r="AG25" s="245"/>
      <c r="AH25" s="245"/>
      <c r="AI25" s="245"/>
      <c r="AJ25" s="245"/>
      <c r="AK25" s="245"/>
      <c r="AL25" s="245"/>
      <c r="AM25" s="245"/>
    </row>
    <row r="26" spans="1:39" x14ac:dyDescent="0.2">
      <c r="A26" s="503">
        <f t="shared" si="2"/>
        <v>7</v>
      </c>
      <c r="B26" s="262" t="str">
        <f>CONCATENATE('3. Consumption by Rate Class'!B31,"-",'3. Consumption by Rate Class'!C31)</f>
        <v>2005-July</v>
      </c>
      <c r="C26" s="697">
        <v>16573581.857891716</v>
      </c>
      <c r="D26" s="703">
        <v>-20400</v>
      </c>
      <c r="E26" s="703"/>
      <c r="F26" s="703"/>
      <c r="G26" s="703"/>
      <c r="H26" s="704"/>
      <c r="I26" s="704"/>
      <c r="J26" s="263">
        <f t="shared" si="0"/>
        <v>16553181.857891716</v>
      </c>
      <c r="K26" s="725">
        <f>IF(K$18='5.Variables'!$B$16,+'5.Variables'!$I27,+IF(K$18='5.Variables'!$B$39,+'5.Variables'!$I50,+IF(K$18='5.Variables'!$B$62,+'5.Variables'!$I64,+IF(K$18='5.Variables'!$B$76,+'5.Variables'!$I78,+IF(K$18='5.Variables'!$B$90,+'5.Variables'!$I92,+IF(K$18='5.Variables'!$B$104,+'5.Variables'!$I106,0))))))</f>
        <v>2.9</v>
      </c>
      <c r="L26" s="725">
        <f>IF(L$18='5.Variables'!$B$16,+'5.Variables'!$I27,+IF(L$18='5.Variables'!$B$39,+'5.Variables'!$I50,+IF(L$18='5.Variables'!$B$62,+'5.Variables'!$I64,+IF(L$18='5.Variables'!$B$76,+'5.Variables'!$I78,+IF(L$18='5.Variables'!$B$90,+'5.Variables'!$I92,+IF(L$18='5.Variables'!$B$104,+'5.Variables'!$I106,0))))))</f>
        <v>128.6</v>
      </c>
      <c r="M26" s="725">
        <f>IF(M$18='5.Variables'!$B$16,+'5.Variables'!$I26,+IF(M$18='5.Variables'!$B$39,+'5.Variables'!$I50,+IF(M$18='5.Variables'!$B$62,+'5.Variables'!$I64,+IF(M$18='5.Variables'!$B$76,+'5.Variables'!$I78,+IF(M$18='5.Variables'!$B$90,+'5.Variables'!$I92,+IF(M$18='5.Variables'!$B$104,+'5.Variables'!$I106,0))))))</f>
        <v>0</v>
      </c>
      <c r="N26" s="725">
        <f>IF(N$18='5.Variables'!$B$16,+'5.Variables'!$I26,+IF(N$18='5.Variables'!$B$39,+'5.Variables'!$I50,+IF(N$18='5.Variables'!$B$62,+'5.Variables'!$I64,+IF(N$18='5.Variables'!$B$76,+'5.Variables'!$I78,+IF(N$18='5.Variables'!$B$90,+'5.Variables'!$I92,+IF(N$18='5.Variables'!$B$104,+'5.Variables'!$I106,0))))))</f>
        <v>1</v>
      </c>
      <c r="O26" s="725">
        <f>IF(O$18='5.Variables'!$B$16,+'5.Variables'!$I26,+IF(O$18='5.Variables'!$B$39,+'5.Variables'!$I50,+IF(O$18='5.Variables'!$B$62,+'5.Variables'!$I64,+IF(O$18='5.Variables'!$B$76,+'5.Variables'!$I78,+IF(O$18='5.Variables'!$B$90,+'5.Variables'!$I92,+IF(O$18='5.Variables'!$B$104,+'5.Variables'!$I106,0))))))</f>
        <v>31</v>
      </c>
      <c r="P26" s="725">
        <f>IF(P$18='5.Variables'!$B$16,+'5.Variables'!$I26,+IF(P$18='5.Variables'!$B$39,+'5.Variables'!$I50,+IF(P$18='5.Variables'!$B$62,+'5.Variables'!$I64,+IF(P$18='5.Variables'!$B$76,+'5.Variables'!$I78,+IF(P$18='5.Variables'!$B$90,+'5.Variables'!$I92,+IF(P$18='5.Variables'!$B$104,+'5.Variables'!$I106,0))))))</f>
        <v>0</v>
      </c>
      <c r="Q26" s="245"/>
      <c r="R26" s="558">
        <f t="shared" si="1"/>
        <v>16750641.712683622</v>
      </c>
      <c r="S26" s="265"/>
      <c r="T26" s="245"/>
      <c r="U26"/>
      <c r="V26"/>
      <c r="W26"/>
      <c r="X26"/>
      <c r="Y26"/>
      <c r="Z26"/>
      <c r="AA26"/>
      <c r="AB26"/>
      <c r="AC26"/>
      <c r="AD26" s="261"/>
      <c r="AE26" s="245"/>
      <c r="AF26" s="245"/>
      <c r="AG26" s="245"/>
      <c r="AH26" s="245"/>
      <c r="AI26" s="245"/>
      <c r="AJ26" s="245"/>
      <c r="AK26" s="245"/>
      <c r="AL26" s="245"/>
      <c r="AM26" s="245"/>
    </row>
    <row r="27" spans="1:39" ht="13.5" thickBot="1" x14ac:dyDescent="0.25">
      <c r="A27" s="503">
        <f t="shared" si="2"/>
        <v>8</v>
      </c>
      <c r="B27" s="262" t="str">
        <f>CONCATENATE('3. Consumption by Rate Class'!B32,"-",'3. Consumption by Rate Class'!C32)</f>
        <v>2005-August</v>
      </c>
      <c r="C27" s="697">
        <v>15704074.029739005</v>
      </c>
      <c r="D27" s="703">
        <v>-67800</v>
      </c>
      <c r="E27" s="703"/>
      <c r="F27" s="703"/>
      <c r="G27" s="703"/>
      <c r="H27" s="704"/>
      <c r="I27" s="704"/>
      <c r="J27" s="263">
        <f t="shared" si="0"/>
        <v>15636274.029739005</v>
      </c>
      <c r="K27" s="725">
        <f>IF(K$18='5.Variables'!$B$16,+'5.Variables'!$J27,+IF(K$18='5.Variables'!$B$39,+'5.Variables'!$J50,+IF(K$18='5.Variables'!$B$62,+'5.Variables'!$J64,+IF(K$18='5.Variables'!$B$76,+'5.Variables'!$J78,+IF(K$18='5.Variables'!$B$90,+'5.Variables'!$J92,+IF(K$18='5.Variables'!$B$104,+'5.Variables'!$J106,0))))))</f>
        <v>8.4</v>
      </c>
      <c r="L27" s="725">
        <f>IF(L$18='5.Variables'!$B$16,+'5.Variables'!$J27,+IF(L$18='5.Variables'!$B$39,+'5.Variables'!$J50,+IF(L$18='5.Variables'!$B$62,+'5.Variables'!$J64,+IF(L$18='5.Variables'!$B$76,+'5.Variables'!$J78,+IF(L$18='5.Variables'!$B$90,+'5.Variables'!$J92,+IF(L$18='5.Variables'!$B$104,+'5.Variables'!$J106,0))))))</f>
        <v>115.4</v>
      </c>
      <c r="M27" s="725">
        <f>IF(M$18='5.Variables'!$B$16,+'5.Variables'!$J26,+IF(M$18='5.Variables'!$B$39,+'5.Variables'!$J50,+IF(M$18='5.Variables'!$B$62,+'5.Variables'!$J64,+IF(M$18='5.Variables'!$B$76,+'5.Variables'!$J78,+IF(M$18='5.Variables'!$B$90,+'5.Variables'!$J92,+IF(M$18='5.Variables'!$B$104,+'5.Variables'!$J106,0))))))</f>
        <v>0</v>
      </c>
      <c r="N27" s="725">
        <f>IF(N$18='5.Variables'!$B$16,+'5.Variables'!$J26,+IF(N$18='5.Variables'!$B$39,+'5.Variables'!$J50,+IF(N$18='5.Variables'!$B$62,+'5.Variables'!$J64,+IF(N$18='5.Variables'!$B$76,+'5.Variables'!$J78,+IF(N$18='5.Variables'!$B$90,+'5.Variables'!$J92,+IF(N$18='5.Variables'!$B$104,+'5.Variables'!$J106,0))))))</f>
        <v>0</v>
      </c>
      <c r="O27" s="725">
        <f>IF(O$18='5.Variables'!$B$16,+'5.Variables'!$J26,+IF(O$18='5.Variables'!$B$39,+'5.Variables'!$J50,+IF(O$18='5.Variables'!$B$62,+'5.Variables'!$J64,+IF(O$18='5.Variables'!$B$76,+'5.Variables'!$J78,+IF(O$18='5.Variables'!$B$90,+'5.Variables'!$J92,+IF(O$18='5.Variables'!$B$104,+'5.Variables'!$J106,0))))))</f>
        <v>31</v>
      </c>
      <c r="P27" s="725">
        <f>IF(P$18='5.Variables'!$B$16,+'5.Variables'!$J26,+IF(P$18='5.Variables'!$B$39,+'5.Variables'!$J50,+IF(P$18='5.Variables'!$B$62,+'5.Variables'!$J64,+IF(P$18='5.Variables'!$B$76,+'5.Variables'!$J78,+IF(P$18='5.Variables'!$B$90,+'5.Variables'!$J92,+IF(P$18='5.Variables'!$B$104,+'5.Variables'!$J106,0))))))</f>
        <v>0</v>
      </c>
      <c r="Q27" s="245"/>
      <c r="R27" s="558">
        <f t="shared" si="1"/>
        <v>16122327.737018831</v>
      </c>
      <c r="S27" s="265"/>
      <c r="T27" s="245"/>
      <c r="U27" t="s">
        <v>13</v>
      </c>
      <c r="V27"/>
      <c r="W27"/>
      <c r="X27"/>
      <c r="Y27"/>
      <c r="Z27"/>
      <c r="AA27"/>
      <c r="AB27"/>
      <c r="AC27"/>
      <c r="AD27" s="261"/>
      <c r="AE27" s="245"/>
      <c r="AF27" s="245"/>
      <c r="AG27" s="245"/>
      <c r="AH27" s="245"/>
      <c r="AI27" s="245"/>
      <c r="AJ27" s="245"/>
      <c r="AK27" s="245"/>
      <c r="AL27" s="245"/>
      <c r="AM27" s="245"/>
    </row>
    <row r="28" spans="1:39" x14ac:dyDescent="0.2">
      <c r="A28" s="503">
        <f t="shared" si="2"/>
        <v>9</v>
      </c>
      <c r="B28" s="262" t="str">
        <f>CONCATENATE('3. Consumption by Rate Class'!B33,"-",'3. Consumption by Rate Class'!C33)</f>
        <v>2005-September</v>
      </c>
      <c r="C28" s="697">
        <v>15074613.851820258</v>
      </c>
      <c r="D28" s="703">
        <v>-58200</v>
      </c>
      <c r="E28" s="703"/>
      <c r="F28" s="703"/>
      <c r="G28" s="703"/>
      <c r="H28" s="704"/>
      <c r="I28" s="704"/>
      <c r="J28" s="263">
        <f t="shared" si="0"/>
        <v>15016413.851820258</v>
      </c>
      <c r="K28" s="725">
        <f>IF(K$18='5.Variables'!$B$16,+'5.Variables'!$K27,+IF(K$18='5.Variables'!$B$39,+'5.Variables'!$K50,+IF(K$18='5.Variables'!$B$62,+'5.Variables'!$K64,+IF(K$18='5.Variables'!$B$76,+'5.Variables'!$K78,+IF(K$18='5.Variables'!$B$90,+'5.Variables'!$K92,+IF(K$18='5.Variables'!$B$104,+'5.Variables'!$K106,0))))))</f>
        <v>59.2</v>
      </c>
      <c r="L28" s="725">
        <f>IF(L$18='5.Variables'!$B$16,+'5.Variables'!$K27,+IF(L$18='5.Variables'!$B$39,+'5.Variables'!$K50,+IF(L$18='5.Variables'!$B$62,+'5.Variables'!$K64,+IF(L$18='5.Variables'!$B$76,+'5.Variables'!$K78,+IF(L$18='5.Variables'!$B$90,+'5.Variables'!$K92,+IF(L$18='5.Variables'!$B$104,+'5.Variables'!$K106,0))))))</f>
        <v>33.1</v>
      </c>
      <c r="M28" s="725">
        <f>IF(M$18='5.Variables'!$B$16,+'5.Variables'!$K26,+IF(M$18='5.Variables'!$B$39,+'5.Variables'!$K50,+IF(M$18='5.Variables'!$B$62,+'5.Variables'!$K64,+IF(M$18='5.Variables'!$B$76,+'5.Variables'!$K78,+IF(M$18='5.Variables'!$B$90,+'5.Variables'!$K92,+IF(M$18='5.Variables'!$B$104,+'5.Variables'!$K106,0))))))</f>
        <v>0</v>
      </c>
      <c r="N28" s="725">
        <f>IF(N$18='5.Variables'!$B$16,+'5.Variables'!$K26,+IF(N$18='5.Variables'!$B$39,+'5.Variables'!$K50,+IF(N$18='5.Variables'!$B$62,+'5.Variables'!$K64,+IF(N$18='5.Variables'!$B$76,+'5.Variables'!$K78,+IF(N$18='5.Variables'!$B$90,+'5.Variables'!$K92,+IF(N$18='5.Variables'!$B$104,+'5.Variables'!$K106,0))))))</f>
        <v>0</v>
      </c>
      <c r="O28" s="725">
        <f>IF(O$18='5.Variables'!$B$16,+'5.Variables'!$K26,+IF(O$18='5.Variables'!$B$39,+'5.Variables'!$K50,+IF(O$18='5.Variables'!$B$62,+'5.Variables'!$K64,+IF(O$18='5.Variables'!$B$76,+'5.Variables'!$K78,+IF(O$18='5.Variables'!$B$90,+'5.Variables'!$K92,+IF(O$18='5.Variables'!$B$104,+'5.Variables'!$K106,0))))))</f>
        <v>30</v>
      </c>
      <c r="P28" s="725">
        <f>IF(P$18='5.Variables'!$B$16,+'5.Variables'!$K26,+IF(P$18='5.Variables'!$B$39,+'5.Variables'!$K50,+IF(P$18='5.Variables'!$B$62,+'5.Variables'!$K64,+IF(P$18='5.Variables'!$B$76,+'5.Variables'!$K78,+IF(P$18='5.Variables'!$B$90,+'5.Variables'!$K92,+IF(P$18='5.Variables'!$B$104,+'5.Variables'!$K106,0))))))</f>
        <v>0</v>
      </c>
      <c r="Q28" s="245"/>
      <c r="R28" s="558">
        <f t="shared" si="1"/>
        <v>14341416.084636012</v>
      </c>
      <c r="S28" s="265"/>
      <c r="T28" s="245"/>
      <c r="U28" s="548"/>
      <c r="V28" s="548" t="s">
        <v>18</v>
      </c>
      <c r="W28" s="548" t="s">
        <v>19</v>
      </c>
      <c r="X28" s="548" t="s">
        <v>20</v>
      </c>
      <c r="Y28" s="548" t="s">
        <v>21</v>
      </c>
      <c r="Z28" s="548" t="s">
        <v>22</v>
      </c>
      <c r="AA28"/>
      <c r="AB28"/>
      <c r="AC28"/>
      <c r="AD28" s="261"/>
      <c r="AE28" s="245"/>
      <c r="AF28" s="245"/>
      <c r="AG28" s="245"/>
      <c r="AH28" s="245"/>
      <c r="AI28" s="245"/>
      <c r="AJ28" s="245"/>
      <c r="AK28" s="245"/>
      <c r="AL28" s="245"/>
      <c r="AM28" s="245"/>
    </row>
    <row r="29" spans="1:39" x14ac:dyDescent="0.2">
      <c r="A29" s="503">
        <f t="shared" si="2"/>
        <v>10</v>
      </c>
      <c r="B29" s="262" t="str">
        <f>CONCATENATE('3. Consumption by Rate Class'!B34,"-",'3. Consumption by Rate Class'!C34)</f>
        <v>2005-October</v>
      </c>
      <c r="C29" s="697">
        <v>14827971.713964712</v>
      </c>
      <c r="D29" s="703">
        <v>-56400</v>
      </c>
      <c r="E29" s="703"/>
      <c r="F29" s="703"/>
      <c r="G29" s="703"/>
      <c r="H29" s="704"/>
      <c r="I29" s="704"/>
      <c r="J29" s="263">
        <f t="shared" si="0"/>
        <v>14771571.713964712</v>
      </c>
      <c r="K29" s="725">
        <f>IF(K$18='5.Variables'!$B$16,+'5.Variables'!$L27,+IF(K$18='5.Variables'!$B$39,+'5.Variables'!$L50,+IF(K$18='5.Variables'!$B$62,+'5.Variables'!$L64,+IF(K$18='5.Variables'!$B$76,+'5.Variables'!$L78,+IF(K$18='5.Variables'!$B$90,+'5.Variables'!$L92,+IF(K$18='5.Variables'!$B$104,+'5.Variables'!$L106,0))))))</f>
        <v>269.7</v>
      </c>
      <c r="L29" s="725">
        <f>IF(L$18='5.Variables'!$B$16,+'5.Variables'!$L27,+IF(L$18='5.Variables'!$B$39,+'5.Variables'!$L50,+IF(L$18='5.Variables'!$B$62,+'5.Variables'!$L64,+IF(L$18='5.Variables'!$B$76,+'5.Variables'!$L78,+IF(L$18='5.Variables'!$B$90,+'5.Variables'!$L92,+IF(L$18='5.Variables'!$B$104,+'5.Variables'!$L106,0))))))</f>
        <v>6.4</v>
      </c>
      <c r="M29" s="725">
        <f>IF(M$18='5.Variables'!$B$16,+'5.Variables'!$L26,+IF(M$18='5.Variables'!$B$39,+'5.Variables'!$L50,+IF(M$18='5.Variables'!$B$62,+'5.Variables'!$L64,+IF(M$18='5.Variables'!$B$76,+'5.Variables'!$L78,+IF(M$18='5.Variables'!$B$90,+'5.Variables'!$L92,+IF(M$18='5.Variables'!$B$104,+'5.Variables'!$L106,0))))))</f>
        <v>0</v>
      </c>
      <c r="N29" s="725">
        <f>IF(N$18='5.Variables'!$B$16,+'5.Variables'!$L26,+IF(N$18='5.Variables'!$B$39,+'5.Variables'!$L50,+IF(N$18='5.Variables'!$B$62,+'5.Variables'!$L64,+IF(N$18='5.Variables'!$B$76,+'5.Variables'!$L78,+IF(N$18='5.Variables'!$B$90,+'5.Variables'!$L92,+IF(N$18='5.Variables'!$B$104,+'5.Variables'!$L106,0))))))</f>
        <v>0</v>
      </c>
      <c r="O29" s="725">
        <f>IF(O$18='5.Variables'!$B$16,+'5.Variables'!$L26,+IF(O$18='5.Variables'!$B$39,+'5.Variables'!$L50,+IF(O$18='5.Variables'!$B$62,+'5.Variables'!$L64,+IF(O$18='5.Variables'!$B$76,+'5.Variables'!$L78,+IF(O$18='5.Variables'!$B$90,+'5.Variables'!$L92,+IF(O$18='5.Variables'!$B$104,+'5.Variables'!$L106,0))))))</f>
        <v>31</v>
      </c>
      <c r="P29" s="725">
        <f>IF(P$18='5.Variables'!$B$16,+'5.Variables'!$L26,+IF(P$18='5.Variables'!$B$39,+'5.Variables'!$L50,+IF(P$18='5.Variables'!$B$62,+'5.Variables'!$L64,+IF(P$18='5.Variables'!$B$76,+'5.Variables'!$L78,+IF(P$18='5.Variables'!$B$90,+'5.Variables'!$L92,+IF(P$18='5.Variables'!$B$104,+'5.Variables'!$L106,0))))))</f>
        <v>0</v>
      </c>
      <c r="Q29" s="245"/>
      <c r="R29" s="558">
        <f t="shared" si="1"/>
        <v>15227017.792023096</v>
      </c>
      <c r="S29" s="265"/>
      <c r="T29" s="245"/>
      <c r="U29" s="546" t="s">
        <v>14</v>
      </c>
      <c r="V29" s="546">
        <v>5</v>
      </c>
      <c r="W29" s="546">
        <v>576593536886782.62</v>
      </c>
      <c r="X29" s="546">
        <v>115318707377356.53</v>
      </c>
      <c r="Y29" s="546">
        <v>138.60446337929332</v>
      </c>
      <c r="Z29" s="546">
        <v>9.5068561616320363E-47</v>
      </c>
      <c r="AA29"/>
      <c r="AB29"/>
      <c r="AC29"/>
      <c r="AD29" s="261"/>
      <c r="AE29" s="245"/>
      <c r="AF29" s="245"/>
      <c r="AG29" s="245"/>
      <c r="AH29" s="245"/>
      <c r="AI29" s="245"/>
      <c r="AJ29" s="245"/>
      <c r="AK29" s="245"/>
      <c r="AL29" s="245"/>
      <c r="AM29" s="245"/>
    </row>
    <row r="30" spans="1:39" x14ac:dyDescent="0.2">
      <c r="A30" s="503">
        <f t="shared" si="2"/>
        <v>11</v>
      </c>
      <c r="B30" s="262" t="str">
        <f>CONCATENATE('3. Consumption by Rate Class'!B35,"-",'3. Consumption by Rate Class'!C35)</f>
        <v>2005-November</v>
      </c>
      <c r="C30" s="697">
        <v>16770749.158282166</v>
      </c>
      <c r="D30" s="703">
        <v>-62400</v>
      </c>
      <c r="E30" s="703"/>
      <c r="F30" s="703"/>
      <c r="G30" s="703"/>
      <c r="H30" s="704"/>
      <c r="I30" s="704"/>
      <c r="J30" s="263">
        <f t="shared" si="0"/>
        <v>16708349.158282166</v>
      </c>
      <c r="K30" s="725">
        <f>IF(K$18='5.Variables'!$B$16,+'5.Variables'!$M27,+IF(K$18='5.Variables'!$B$39,+'5.Variables'!$M50,+IF(K$18='5.Variables'!$B$62,+'5.Variables'!$M64,+IF(K$18='5.Variables'!$B$76,+'5.Variables'!$M78,+IF(K$18='5.Variables'!$B$90,+'5.Variables'!$M92,+IF(K$18='5.Variables'!$B$104,+'5.Variables'!$M106,0))))))</f>
        <v>484.2</v>
      </c>
      <c r="L30" s="725">
        <f>IF(L$18='5.Variables'!$B$16,+'5.Variables'!$M27,+IF(L$18='5.Variables'!$B$39,+'5.Variables'!$M50,+IF(L$18='5.Variables'!$B$62,+'5.Variables'!$M64,+IF(L$18='5.Variables'!$B$76,+'5.Variables'!$M78,+IF(L$18='5.Variables'!$B$90,+'5.Variables'!$M92,+IF(L$18='5.Variables'!$B$104,+'5.Variables'!$M106,0))))))</f>
        <v>0</v>
      </c>
      <c r="M30" s="725">
        <f>IF(M$18='5.Variables'!$B$16,+'5.Variables'!$M26,+IF(M$18='5.Variables'!$B$39,+'5.Variables'!$M50,+IF(M$18='5.Variables'!$B$62,+'5.Variables'!$M64,+IF(M$18='5.Variables'!$B$76,+'5.Variables'!$M78,+IF(M$18='5.Variables'!$B$90,+'5.Variables'!$M92,+IF(M$18='5.Variables'!$B$104,+'5.Variables'!$M106,0))))))</f>
        <v>0</v>
      </c>
      <c r="N30" s="725">
        <f>IF(N$18='5.Variables'!$B$16,+'5.Variables'!$M26,+IF(N$18='5.Variables'!$B$39,+'5.Variables'!$M50,+IF(N$18='5.Variables'!$B$62,+'5.Variables'!$M64,+IF(N$18='5.Variables'!$B$76,+'5.Variables'!$M78,+IF(N$18='5.Variables'!$B$90,+'5.Variables'!$M92,+IF(N$18='5.Variables'!$B$104,+'5.Variables'!$M106,0))))))</f>
        <v>0</v>
      </c>
      <c r="O30" s="725">
        <f>IF(O$18='5.Variables'!$B$16,+'5.Variables'!$M26,+IF(O$18='5.Variables'!$B$39,+'5.Variables'!$M50,+IF(O$18='5.Variables'!$B$62,+'5.Variables'!$M64,+IF(O$18='5.Variables'!$B$76,+'5.Variables'!$M78,+IF(O$18='5.Variables'!$B$90,+'5.Variables'!$M92,+IF(O$18='5.Variables'!$B$104,+'5.Variables'!$M106,0))))))</f>
        <v>30</v>
      </c>
      <c r="P30" s="725">
        <f>IF(P$18='5.Variables'!$B$16,+'5.Variables'!$M26,+IF(P$18='5.Variables'!$B$39,+'5.Variables'!$M50,+IF(P$18='5.Variables'!$B$62,+'5.Variables'!$M64,+IF(P$18='5.Variables'!$B$76,+'5.Variables'!$M78,+IF(P$18='5.Variables'!$B$90,+'5.Variables'!$M92,+IF(P$18='5.Variables'!$B$104,+'5.Variables'!$M106,0))))))</f>
        <v>0</v>
      </c>
      <c r="Q30" s="245"/>
      <c r="R30" s="558">
        <f t="shared" si="1"/>
        <v>16328709.500203634</v>
      </c>
      <c r="S30" s="265"/>
      <c r="T30" s="245"/>
      <c r="U30" s="546" t="s">
        <v>15</v>
      </c>
      <c r="V30" s="546">
        <v>114</v>
      </c>
      <c r="W30" s="546">
        <v>94847830441386.984</v>
      </c>
      <c r="X30" s="546">
        <v>831998512643.74548</v>
      </c>
      <c r="Y30" s="546"/>
      <c r="Z30" s="546"/>
      <c r="AA30"/>
      <c r="AB30"/>
      <c r="AC30"/>
      <c r="AD30" s="261"/>
      <c r="AE30" s="245"/>
      <c r="AF30" s="245"/>
      <c r="AG30" s="245"/>
      <c r="AH30" s="245"/>
      <c r="AI30" s="245"/>
      <c r="AJ30" s="245"/>
      <c r="AK30" s="245"/>
      <c r="AL30" s="245"/>
      <c r="AM30" s="245"/>
    </row>
    <row r="31" spans="1:39" ht="13.5" thickBot="1" x14ac:dyDescent="0.25">
      <c r="A31" s="503">
        <f t="shared" si="2"/>
        <v>12</v>
      </c>
      <c r="B31" s="522" t="str">
        <f>CONCATENATE('3. Consumption by Rate Class'!B36,"-",'3. Consumption by Rate Class'!C36)</f>
        <v>2005-December</v>
      </c>
      <c r="C31" s="698">
        <v>20488551.590970002</v>
      </c>
      <c r="D31" s="705">
        <v>-51000</v>
      </c>
      <c r="E31" s="705"/>
      <c r="F31" s="705"/>
      <c r="G31" s="705"/>
      <c r="H31" s="706"/>
      <c r="I31" s="706"/>
      <c r="J31" s="263">
        <f t="shared" si="0"/>
        <v>20437551.590970002</v>
      </c>
      <c r="K31" s="725">
        <f>IF(K$18='5.Variables'!$B$16,+'5.Variables'!$N27,+IF(K$18='5.Variables'!$B$39,+'5.Variables'!$N50,+IF(K$18='5.Variables'!$B$62,+'5.Variables'!$N64,+IF(K$18='5.Variables'!$B$76,+'5.Variables'!$N78,+IF(K$18='5.Variables'!$B$90,+'5.Variables'!$N92,+IF(K$18='5.Variables'!$B$104,+'5.Variables'!$N106,0))))))</f>
        <v>762</v>
      </c>
      <c r="L31" s="725">
        <f>IF(L$18='5.Variables'!$B$16,+'5.Variables'!$N27,+IF(L$18='5.Variables'!$B$39,+'5.Variables'!$N50,+IF(L$18='5.Variables'!$B$62,+'5.Variables'!$N64,+IF(L$18='5.Variables'!$B$76,+'5.Variables'!$N78,+IF(L$18='5.Variables'!$B$90,+'5.Variables'!$N92,+IF(L$18='5.Variables'!$B$104,+'5.Variables'!$N106,0))))))</f>
        <v>0</v>
      </c>
      <c r="M31" s="725">
        <f>IF(M$18='5.Variables'!$B$16,+'5.Variables'!$N26,+IF(M$18='5.Variables'!$B$39,+'5.Variables'!$N50,+IF(M$18='5.Variables'!$B$62,+'5.Variables'!$N64,+IF(M$18='5.Variables'!$B$76,+'5.Variables'!$N78,+IF(M$18='5.Variables'!$B$90,+'5.Variables'!$N92,+IF(M$18='5.Variables'!$B$104,+'5.Variables'!$N106,0))))))</f>
        <v>1</v>
      </c>
      <c r="N31" s="725">
        <f>IF(N$18='5.Variables'!$B$16,+'5.Variables'!$N26,+IF(N$18='5.Variables'!$B$39,+'5.Variables'!$N50,+IF(N$18='5.Variables'!$B$62,+'5.Variables'!$N64,+IF(N$18='5.Variables'!$B$76,+'5.Variables'!$N78,+IF(N$18='5.Variables'!$B$90,+'5.Variables'!$N92,+IF(N$18='5.Variables'!$B$104,+'5.Variables'!$N106,0))))))</f>
        <v>1</v>
      </c>
      <c r="O31" s="725">
        <f>IF(O$18='5.Variables'!$B$16,+'5.Variables'!$N26,+IF(O$18='5.Variables'!$B$39,+'5.Variables'!$N50,+IF(O$18='5.Variables'!$B$62,+'5.Variables'!$N64,+IF(O$18='5.Variables'!$B$76,+'5.Variables'!$N78,+IF(O$18='5.Variables'!$B$90,+'5.Variables'!$N92,+IF(O$18='5.Variables'!$B$104,+'5.Variables'!$N106,0))))))</f>
        <v>31</v>
      </c>
      <c r="P31" s="725">
        <f>IF(P$18='5.Variables'!$B$16,+'5.Variables'!$N26,+IF(P$18='5.Variables'!$B$39,+'5.Variables'!$N50,+IF(P$18='5.Variables'!$B$62,+'5.Variables'!$N64,+IF(P$18='5.Variables'!$B$76,+'5.Variables'!$N78,+IF(P$18='5.Variables'!$B$90,+'5.Variables'!$N92,+IF(P$18='5.Variables'!$B$104,+'5.Variables'!$N106,0))))))</f>
        <v>0</v>
      </c>
      <c r="Q31" s="245"/>
      <c r="R31" s="558">
        <f t="shared" si="1"/>
        <v>20243144.856206186</v>
      </c>
      <c r="S31" s="265">
        <f>SUM(R20:R31)</f>
        <v>203293901.55999801</v>
      </c>
      <c r="T31" s="245"/>
      <c r="U31" s="547" t="s">
        <v>16</v>
      </c>
      <c r="V31" s="547">
        <v>119</v>
      </c>
      <c r="W31" s="547">
        <v>671441367328169.62</v>
      </c>
      <c r="X31" s="547"/>
      <c r="Y31" s="547"/>
      <c r="Z31" s="547"/>
      <c r="AA31"/>
      <c r="AB31"/>
      <c r="AC31"/>
      <c r="AD31" s="261"/>
      <c r="AE31" s="245"/>
      <c r="AF31" s="245"/>
      <c r="AG31" s="245"/>
      <c r="AH31" s="245"/>
      <c r="AI31" s="245"/>
      <c r="AJ31" s="245"/>
      <c r="AK31" s="245"/>
      <c r="AL31" s="245"/>
      <c r="AM31" s="245"/>
    </row>
    <row r="32" spans="1:39" ht="13.5" thickBot="1" x14ac:dyDescent="0.25">
      <c r="A32" s="503">
        <f t="shared" si="2"/>
        <v>13</v>
      </c>
      <c r="B32" s="262" t="str">
        <f>CONCATENATE('3. Consumption by Rate Class'!B37,"-",'3. Consumption by Rate Class'!C37)</f>
        <v>2006-January</v>
      </c>
      <c r="C32" s="697">
        <v>20121798.356498003</v>
      </c>
      <c r="D32" s="703">
        <v>-43800</v>
      </c>
      <c r="E32" s="703"/>
      <c r="F32" s="703"/>
      <c r="G32" s="703"/>
      <c r="H32" s="704"/>
      <c r="I32" s="704"/>
      <c r="J32" s="263">
        <f t="shared" si="0"/>
        <v>20077998.356498003</v>
      </c>
      <c r="K32" s="725">
        <f>IF(K$18='5.Variables'!$B$16,+'5.Variables'!$C28,+IF(K$18='5.Variables'!$B$39,+'5.Variables'!$C51,+IF(K$18='5.Variables'!$B$62,+'5.Variables'!$C65,+IF(K$18='5.Variables'!$B$76,+'5.Variables'!$C79,+IF(K$18='5.Variables'!$B$90,+'5.Variables'!$C93,+IF(K$18='5.Variables'!$B$104,+'5.Variables'!$C107,0))))))</f>
        <v>733.5</v>
      </c>
      <c r="L32" s="725">
        <f>IF(L$18='5.Variables'!$B$16,+'5.Variables'!$C27,+IF(L$18='5.Variables'!$B$39,+'5.Variables'!$C51,+IF(L$18='5.Variables'!$B$62,+'5.Variables'!$C65,+IF(L$18='5.Variables'!$B$76,+'5.Variables'!$C79,+IF(L$18='5.Variables'!$B$90,+'5.Variables'!$C93,+IF(L$18='5.Variables'!$B$104,+'5.Variables'!$C107,0))))))</f>
        <v>0</v>
      </c>
      <c r="M32" s="725">
        <f>IF(M$18='5.Variables'!$B$16,+'5.Variables'!$C27,+IF(M$18='5.Variables'!$B$39,+'5.Variables'!$C51,+IF(M$18='5.Variables'!$B$62,+'5.Variables'!$C65,+IF(M$18='5.Variables'!$B$76,+'5.Variables'!$C79,+IF(M$18='5.Variables'!$B$90,+'5.Variables'!$C93,+IF(M$18='5.Variables'!$B$104,+'5.Variables'!$C107,0))))))</f>
        <v>1</v>
      </c>
      <c r="N32" s="725">
        <f>IF(N$18='5.Variables'!$B$16,+'5.Variables'!$C27,+IF(N$18='5.Variables'!$B$39,+'5.Variables'!$C51,+IF(N$18='5.Variables'!$B$62,+'5.Variables'!$C65,+IF(N$18='5.Variables'!$B$76,+'5.Variables'!$C79,+IF(N$18='5.Variables'!$B$90,+'5.Variables'!$C93,+IF(N$18='5.Variables'!$B$104,+'5.Variables'!$C107,0))))))</f>
        <v>1</v>
      </c>
      <c r="O32" s="725">
        <f>IF(O$18='5.Variables'!$B$16,+'5.Variables'!$C27,+IF(O$18='5.Variables'!$B$39,+'5.Variables'!$C51,+IF(O$18='5.Variables'!$B$62,+'5.Variables'!$C65,+IF(O$18='5.Variables'!$B$76,+'5.Variables'!$C79,+IF(O$18='5.Variables'!$B$90,+'5.Variables'!$C93,+IF(O$18='5.Variables'!$B$104,+'5.Variables'!$C107,0))))))</f>
        <v>31</v>
      </c>
      <c r="P32" s="725">
        <f>IF(P$18='5.Variables'!$B$16,+'5.Variables'!$C27,+IF(P$18='5.Variables'!$B$39,+'5.Variables'!$C51,+IF(P$18='5.Variables'!$B$62,+'5.Variables'!$C65,+IF(P$18='5.Variables'!$B$76,+'5.Variables'!$C79,+IF(P$18='5.Variables'!$B$90,+'5.Variables'!$C93,+IF(P$18='5.Variables'!$B$104,+'5.Variables'!$C107,0))))))</f>
        <v>0</v>
      </c>
      <c r="Q32" s="245"/>
      <c r="R32" s="558">
        <f t="shared" si="1"/>
        <v>20056869.157609109</v>
      </c>
      <c r="S32" s="265"/>
      <c r="T32" s="245"/>
      <c r="U32"/>
      <c r="V32"/>
      <c r="W32"/>
      <c r="X32"/>
      <c r="Y32"/>
      <c r="Z32"/>
      <c r="AA32"/>
      <c r="AB32"/>
      <c r="AC32"/>
      <c r="AD32" s="261"/>
      <c r="AE32" s="245"/>
      <c r="AF32" s="245"/>
      <c r="AG32" s="245"/>
      <c r="AH32" s="245"/>
      <c r="AI32" s="245"/>
      <c r="AJ32" s="245"/>
      <c r="AK32" s="245"/>
      <c r="AL32" s="245"/>
      <c r="AM32" s="245"/>
    </row>
    <row r="33" spans="1:39" x14ac:dyDescent="0.2">
      <c r="A33" s="503">
        <f t="shared" si="2"/>
        <v>14</v>
      </c>
      <c r="B33" s="262" t="str">
        <f>CONCATENATE('3. Consumption by Rate Class'!B38,"-",'3. Consumption by Rate Class'!C38)</f>
        <v>2006-February</v>
      </c>
      <c r="C33" s="697">
        <v>20144052.542633999</v>
      </c>
      <c r="D33" s="703">
        <v>-40200</v>
      </c>
      <c r="E33" s="703"/>
      <c r="F33" s="703"/>
      <c r="G33" s="703"/>
      <c r="H33" s="704"/>
      <c r="I33" s="704"/>
      <c r="J33" s="263">
        <f t="shared" si="0"/>
        <v>20103852.542633999</v>
      </c>
      <c r="K33" s="725">
        <f>IF(K$18='5.Variables'!$B$16,+'5.Variables'!$D28,+IF(K$18='5.Variables'!$B$39,+'5.Variables'!$D51,+IF(K$18='5.Variables'!$B$62,+'5.Variables'!$D65,+IF(K$18='5.Variables'!$B$76,+'5.Variables'!$D79,+IF(K$18='5.Variables'!$B$90,+'5.Variables'!$D93,+IF(K$18='5.Variables'!$B$104,+'5.Variables'!$D107,0))))))</f>
        <v>720.9</v>
      </c>
      <c r="L33" s="725">
        <f>IF(L$18='5.Variables'!$B$16,+'5.Variables'!$D27,+IF(L$18='5.Variables'!$B$39,+'5.Variables'!$D51,+IF(L$18='5.Variables'!$B$62,+'5.Variables'!$D65,+IF(L$18='5.Variables'!$B$76,+'5.Variables'!$D79,+IF(L$18='5.Variables'!$B$90,+'5.Variables'!$D93,+IF(L$18='5.Variables'!$B$104,+'5.Variables'!$D107,0))))))</f>
        <v>0</v>
      </c>
      <c r="M33" s="725">
        <f>IF(M$18='5.Variables'!$B$16,+'5.Variables'!$D27,+IF(M$18='5.Variables'!$B$39,+'5.Variables'!$D51,+IF(M$18='5.Variables'!$B$62,+'5.Variables'!$D65,+IF(M$18='5.Variables'!$B$76,+'5.Variables'!$D79,+IF(M$18='5.Variables'!$B$90,+'5.Variables'!$D93,+IF(M$18='5.Variables'!$B$104,+'5.Variables'!$D107,0))))))</f>
        <v>1</v>
      </c>
      <c r="N33" s="725">
        <f>IF(N$18='5.Variables'!$B$16,+'5.Variables'!$D27,+IF(N$18='5.Variables'!$B$39,+'5.Variables'!$D51,+IF(N$18='5.Variables'!$B$62,+'5.Variables'!$D65,+IF(N$18='5.Variables'!$B$76,+'5.Variables'!$D79,+IF(N$18='5.Variables'!$B$90,+'5.Variables'!$D93,+IF(N$18='5.Variables'!$B$104,+'5.Variables'!$D107,0))))))</f>
        <v>0</v>
      </c>
      <c r="O33" s="725">
        <f>IF(O$18='5.Variables'!$B$16,+'5.Variables'!$D27,+IF(O$18='5.Variables'!$B$39,+'5.Variables'!$D51,+IF(O$18='5.Variables'!$B$62,+'5.Variables'!$D65,+IF(O$18='5.Variables'!$B$76,+'5.Variables'!$D79,+IF(O$18='5.Variables'!$B$90,+'5.Variables'!$D93,+IF(O$18='5.Variables'!$B$104,+'5.Variables'!$D107,0))))))</f>
        <v>28</v>
      </c>
      <c r="P33" s="725">
        <f>IF(P$18='5.Variables'!$B$16,+'5.Variables'!$D27,+IF(P$18='5.Variables'!$B$39,+'5.Variables'!$D51,+IF(P$18='5.Variables'!$B$62,+'5.Variables'!$D65,+IF(P$18='5.Variables'!$B$76,+'5.Variables'!$D79,+IF(P$18='5.Variables'!$B$90,+'5.Variables'!$D93,+IF(P$18='5.Variables'!$B$104,+'5.Variables'!$D107,0))))))</f>
        <v>0</v>
      </c>
      <c r="Q33" s="245"/>
      <c r="R33" s="558">
        <f t="shared" si="1"/>
        <v>19183204.226236984</v>
      </c>
      <c r="S33" s="265"/>
      <c r="T33" s="245"/>
      <c r="U33" s="548"/>
      <c r="V33" s="548" t="s">
        <v>23</v>
      </c>
      <c r="W33" s="548" t="s">
        <v>11</v>
      </c>
      <c r="X33" s="548" t="s">
        <v>24</v>
      </c>
      <c r="Y33" s="548" t="s">
        <v>25</v>
      </c>
      <c r="Z33" s="548" t="s">
        <v>26</v>
      </c>
      <c r="AA33" s="548" t="s">
        <v>27</v>
      </c>
      <c r="AB33" s="548" t="s">
        <v>28</v>
      </c>
      <c r="AC33" s="548" t="s">
        <v>29</v>
      </c>
      <c r="AD33" s="261"/>
      <c r="AE33" s="245"/>
      <c r="AF33" s="245"/>
      <c r="AG33" s="245"/>
      <c r="AH33" s="245"/>
      <c r="AI33" s="245"/>
      <c r="AJ33" s="245"/>
      <c r="AK33" s="245"/>
      <c r="AL33" s="245"/>
      <c r="AM33" s="245"/>
    </row>
    <row r="34" spans="1:39" x14ac:dyDescent="0.2">
      <c r="A34" s="503">
        <f t="shared" si="2"/>
        <v>15</v>
      </c>
      <c r="B34" s="262" t="str">
        <f>CONCATENATE('3. Consumption by Rate Class'!B39,"-",'3. Consumption by Rate Class'!C39)</f>
        <v>2006-March</v>
      </c>
      <c r="C34" s="697">
        <v>18617454.222617</v>
      </c>
      <c r="D34" s="703">
        <v>-41400</v>
      </c>
      <c r="E34" s="707"/>
      <c r="F34" s="703"/>
      <c r="G34" s="703"/>
      <c r="H34" s="704"/>
      <c r="I34" s="704"/>
      <c r="J34" s="263">
        <f t="shared" si="0"/>
        <v>18576054.222617</v>
      </c>
      <c r="K34" s="725">
        <f>IF(K$18='5.Variables'!$B$16,+'5.Variables'!$E28,+IF(K$18='5.Variables'!$B$39,+'5.Variables'!$E51,+IF(K$18='5.Variables'!$B$62,+'5.Variables'!$E65,+IF(K$18='5.Variables'!$B$76,+'5.Variables'!$E79,+IF(K$18='5.Variables'!$B$90,+'5.Variables'!$E93,+IF(K$18='5.Variables'!$B$104,+'5.Variables'!$E107,0))))))</f>
        <v>600.4</v>
      </c>
      <c r="L34" s="725">
        <f>IF(L$18='5.Variables'!$B$16,+'5.Variables'!$E27,+IF(L$18='5.Variables'!$B$39,+'5.Variables'!$E51,+IF(L$18='5.Variables'!$B$62,+'5.Variables'!$E65,+IF(L$18='5.Variables'!$B$76,+'5.Variables'!$E79,+IF(L$18='5.Variables'!$B$90,+'5.Variables'!$E93,+IF(L$18='5.Variables'!$B$104,+'5.Variables'!$E107,0))))))</f>
        <v>0</v>
      </c>
      <c r="M34" s="725">
        <f>IF(M$18='5.Variables'!$B$16,+'5.Variables'!$E27,+IF(M$18='5.Variables'!$B$39,+'5.Variables'!$E51,+IF(M$18='5.Variables'!$B$62,+'5.Variables'!$E65,+IF(M$18='5.Variables'!$B$76,+'5.Variables'!$E79,+IF(M$18='5.Variables'!$B$90,+'5.Variables'!$E93,+IF(M$18='5.Variables'!$B$104,+'5.Variables'!$E107,0))))))</f>
        <v>0</v>
      </c>
      <c r="N34" s="725">
        <f>IF(N$18='5.Variables'!$B$16,+'5.Variables'!$E27,+IF(N$18='5.Variables'!$B$39,+'5.Variables'!$E51,+IF(N$18='5.Variables'!$B$62,+'5.Variables'!$E65,+IF(N$18='5.Variables'!$B$76,+'5.Variables'!$E79,+IF(N$18='5.Variables'!$B$90,+'5.Variables'!$E93,+IF(N$18='5.Variables'!$B$104,+'5.Variables'!$E107,0))))))</f>
        <v>1</v>
      </c>
      <c r="O34" s="725">
        <f>IF(O$18='5.Variables'!$B$16,+'5.Variables'!$E27,+IF(O$18='5.Variables'!$B$39,+'5.Variables'!$E51,+IF(O$18='5.Variables'!$B$62,+'5.Variables'!$E65,+IF(O$18='5.Variables'!$B$76,+'5.Variables'!$E79,+IF(O$18='5.Variables'!$B$90,+'5.Variables'!$E93,+IF(O$18='5.Variables'!$B$104,+'5.Variables'!$E107,0))))))</f>
        <v>31</v>
      </c>
      <c r="P34" s="725">
        <f>IF(P$18='5.Variables'!$B$16,+'5.Variables'!$E27,+IF(P$18='5.Variables'!$B$39,+'5.Variables'!$E51,+IF(P$18='5.Variables'!$B$62,+'5.Variables'!$E65,+IF(P$18='5.Variables'!$B$76,+'5.Variables'!$E79,+IF(P$18='5.Variables'!$B$90,+'5.Variables'!$E93,+IF(P$18='5.Variables'!$B$104,+'5.Variables'!$E107,0))))))</f>
        <v>0</v>
      </c>
      <c r="Q34" s="245"/>
      <c r="R34" s="558">
        <f t="shared" si="1"/>
        <v>17584639.540268995</v>
      </c>
      <c r="S34" s="265"/>
      <c r="T34" s="245"/>
      <c r="U34" s="546" t="s">
        <v>17</v>
      </c>
      <c r="V34" s="546">
        <v>8741032.4856701158</v>
      </c>
      <c r="W34" s="546">
        <v>4558814.727491878</v>
      </c>
      <c r="X34" s="546">
        <v>1.9173914730417587</v>
      </c>
      <c r="Y34" s="546">
        <v>5.7690619174398487E-2</v>
      </c>
      <c r="Z34" s="546">
        <v>-289944.37739021145</v>
      </c>
      <c r="AA34" s="546">
        <v>17772009.348730445</v>
      </c>
      <c r="AB34" s="546">
        <v>-289944.37739021145</v>
      </c>
      <c r="AC34" s="546">
        <v>17772009.348730445</v>
      </c>
      <c r="AD34" s="261"/>
      <c r="AE34" s="245"/>
      <c r="AF34" s="245"/>
      <c r="AG34" s="245"/>
      <c r="AH34" s="245"/>
      <c r="AI34" s="245"/>
      <c r="AJ34" s="245"/>
      <c r="AK34" s="245"/>
      <c r="AL34" s="245"/>
      <c r="AM34" s="245"/>
    </row>
    <row r="35" spans="1:39" ht="15" x14ac:dyDescent="0.25">
      <c r="A35" s="503">
        <f t="shared" si="2"/>
        <v>16</v>
      </c>
      <c r="B35" s="262" t="str">
        <f>CONCATENATE('3. Consumption by Rate Class'!B40,"-",'3. Consumption by Rate Class'!C40)</f>
        <v>2006-April</v>
      </c>
      <c r="C35" s="697">
        <v>15813969.868452001</v>
      </c>
      <c r="D35" s="703">
        <v>-39000</v>
      </c>
      <c r="E35" s="707"/>
      <c r="F35" s="703"/>
      <c r="G35" s="703"/>
      <c r="H35" s="704"/>
      <c r="I35" s="704"/>
      <c r="J35" s="263">
        <f t="shared" si="0"/>
        <v>15774969.868452001</v>
      </c>
      <c r="K35" s="725">
        <f>IF(K$18='5.Variables'!$B$16,+'5.Variables'!$F28,+IF(K$18='5.Variables'!$B$39,+'5.Variables'!$F51,+IF(K$18='5.Variables'!$B$62,+'5.Variables'!$F65,+IF(K$18='5.Variables'!$B$76,+'5.Variables'!$F79,+IF(K$18='5.Variables'!$B$90,+'5.Variables'!$F93,+IF(K$18='5.Variables'!$B$104,+'5.Variables'!$F107,0))))))</f>
        <v>321.60000000000002</v>
      </c>
      <c r="L35" s="725">
        <f>IF(L$18='5.Variables'!$B$16,+'5.Variables'!$F27,+IF(L$18='5.Variables'!$B$39,+'5.Variables'!$F51,+IF(L$18='5.Variables'!$B$62,+'5.Variables'!$F65,+IF(L$18='5.Variables'!$B$76,+'5.Variables'!$F79,+IF(L$18='5.Variables'!$B$90,+'5.Variables'!$F93,+IF(L$18='5.Variables'!$B$104,+'5.Variables'!$F107,0))))))</f>
        <v>0</v>
      </c>
      <c r="M35" s="725">
        <f>IF(M$18='5.Variables'!$B$16,+'5.Variables'!$F27,+IF(M$18='5.Variables'!$B$39,+'5.Variables'!$F51,+IF(M$18='5.Variables'!$B$62,+'5.Variables'!$F65,+IF(M$18='5.Variables'!$B$76,+'5.Variables'!$F79,+IF(M$18='5.Variables'!$B$90,+'5.Variables'!$F93,+IF(M$18='5.Variables'!$B$104,+'5.Variables'!$F107,0))))))</f>
        <v>0</v>
      </c>
      <c r="N35" s="725">
        <f>IF(N$18='5.Variables'!$B$16,+'5.Variables'!$F27,+IF(N$18='5.Variables'!$B$39,+'5.Variables'!$F51,+IF(N$18='5.Variables'!$B$62,+'5.Variables'!$F65,+IF(N$18='5.Variables'!$B$76,+'5.Variables'!$F79,+IF(N$18='5.Variables'!$B$90,+'5.Variables'!$F93,+IF(N$18='5.Variables'!$B$104,+'5.Variables'!$F107,0))))))</f>
        <v>0</v>
      </c>
      <c r="O35" s="725">
        <f>IF(O$18='5.Variables'!$B$16,+'5.Variables'!$F27,+IF(O$18='5.Variables'!$B$39,+'5.Variables'!$F51,+IF(O$18='5.Variables'!$B$62,+'5.Variables'!$F65,+IF(O$18='5.Variables'!$B$76,+'5.Variables'!$F79,+IF(O$18='5.Variables'!$B$90,+'5.Variables'!$F93,+IF(O$18='5.Variables'!$B$104,+'5.Variables'!$F107,0))))))</f>
        <v>30</v>
      </c>
      <c r="P35" s="725">
        <f>IF(P$18='5.Variables'!$B$16,+'5.Variables'!$F27,+IF(P$18='5.Variables'!$B$39,+'5.Variables'!$F51,+IF(P$18='5.Variables'!$B$62,+'5.Variables'!$F65,+IF(P$18='5.Variables'!$B$76,+'5.Variables'!$F79,+IF(P$18='5.Variables'!$B$90,+'5.Variables'!$F93,+IF(P$18='5.Variables'!$B$104,+'5.Variables'!$F107,0))))))</f>
        <v>0</v>
      </c>
      <c r="Q35" s="245"/>
      <c r="R35" s="558">
        <f t="shared" si="1"/>
        <v>15265957.619786622</v>
      </c>
      <c r="S35" s="265"/>
      <c r="T35" s="519"/>
      <c r="U35" s="803" t="s">
        <v>1</v>
      </c>
      <c r="V35" s="546">
        <v>6535.9894244588641</v>
      </c>
      <c r="W35" s="546">
        <v>697.1191117335693</v>
      </c>
      <c r="X35" s="546">
        <v>9.3757140127824261</v>
      </c>
      <c r="Y35" s="546">
        <v>7.9193340633128532E-16</v>
      </c>
      <c r="Z35" s="546">
        <v>5155.0018333428907</v>
      </c>
      <c r="AA35" s="546">
        <v>7916.9770155748374</v>
      </c>
      <c r="AB35" s="546">
        <v>5155.0018333428907</v>
      </c>
      <c r="AC35" s="546">
        <v>7916.9770155748374</v>
      </c>
      <c r="AD35" s="261"/>
      <c r="AE35" s="245"/>
      <c r="AF35" s="245"/>
      <c r="AG35" s="245"/>
      <c r="AH35" s="245"/>
      <c r="AI35" s="245"/>
      <c r="AJ35" s="245"/>
      <c r="AK35" s="245"/>
      <c r="AL35" s="245"/>
      <c r="AM35" s="245"/>
    </row>
    <row r="36" spans="1:39" ht="15" x14ac:dyDescent="0.25">
      <c r="A36" s="503">
        <f t="shared" si="2"/>
        <v>17</v>
      </c>
      <c r="B36" s="262" t="str">
        <f>CONCATENATE('3. Consumption by Rate Class'!B41,"-",'3. Consumption by Rate Class'!C41)</f>
        <v>2006-May</v>
      </c>
      <c r="C36" s="697">
        <v>14937402.02</v>
      </c>
      <c r="D36" s="703">
        <v>-40800</v>
      </c>
      <c r="E36" s="707"/>
      <c r="F36" s="703"/>
      <c r="G36" s="703"/>
      <c r="H36" s="704"/>
      <c r="I36" s="704"/>
      <c r="J36" s="263">
        <f t="shared" si="0"/>
        <v>14896602.02</v>
      </c>
      <c r="K36" s="725">
        <f>IF(K$18='5.Variables'!$B$16,+'5.Variables'!$G28,+IF(K$18='5.Variables'!$B$39,+'5.Variables'!$G51,+IF(K$18='5.Variables'!$B$62,+'5.Variables'!$G65,+IF(K$18='5.Variables'!$B$76,+'5.Variables'!$G79,+IF(K$18='5.Variables'!$B$90,+'5.Variables'!$G93,+IF(K$18='5.Variables'!$B$104,+'5.Variables'!$G107,0))))))</f>
        <v>128.19999999999999</v>
      </c>
      <c r="L36" s="725">
        <f>IF(L$18='5.Variables'!$B$16,+'5.Variables'!$G27,+IF(L$18='5.Variables'!$B$39,+'5.Variables'!$G51,+IF(L$18='5.Variables'!$B$62,+'5.Variables'!$G65,+IF(L$18='5.Variables'!$B$76,+'5.Variables'!$G79,+IF(L$18='5.Variables'!$B$90,+'5.Variables'!$G93,+IF(L$18='5.Variables'!$B$104,+'5.Variables'!$G107,0))))))</f>
        <v>16.899999999999999</v>
      </c>
      <c r="M36" s="725">
        <f>IF(M$18='5.Variables'!$B$16,+'5.Variables'!$G27,+IF(M$18='5.Variables'!$B$39,+'5.Variables'!$G51,+IF(M$18='5.Variables'!$B$62,+'5.Variables'!$G65,+IF(M$18='5.Variables'!$B$76,+'5.Variables'!$G79,+IF(M$18='5.Variables'!$B$90,+'5.Variables'!$G93,+IF(M$18='5.Variables'!$B$104,+'5.Variables'!$G107,0))))))</f>
        <v>0</v>
      </c>
      <c r="N36" s="725">
        <f>IF(N$18='5.Variables'!$B$16,+'5.Variables'!$G27,+IF(N$18='5.Variables'!$B$39,+'5.Variables'!$G51,+IF(N$18='5.Variables'!$B$62,+'5.Variables'!$G65,+IF(N$18='5.Variables'!$B$76,+'5.Variables'!$G79,+IF(N$18='5.Variables'!$B$90,+'5.Variables'!$G93,+IF(N$18='5.Variables'!$B$104,+'5.Variables'!$G107,0))))))</f>
        <v>0</v>
      </c>
      <c r="O36" s="725">
        <f>IF(O$18='5.Variables'!$B$16,+'5.Variables'!$G27,+IF(O$18='5.Variables'!$B$39,+'5.Variables'!$G51,+IF(O$18='5.Variables'!$B$62,+'5.Variables'!$G65,+IF(O$18='5.Variables'!$B$76,+'5.Variables'!$G79,+IF(O$18='5.Variables'!$B$90,+'5.Variables'!$G93,+IF(O$18='5.Variables'!$B$104,+'5.Variables'!$G107,0))))))</f>
        <v>31</v>
      </c>
      <c r="P36" s="725">
        <f>IF(P$18='5.Variables'!$B$16,+'5.Variables'!$G27,+IF(P$18='5.Variables'!$B$39,+'5.Variables'!$G51,+IF(P$18='5.Variables'!$B$62,+'5.Variables'!$G65,+IF(P$18='5.Variables'!$B$76,+'5.Variables'!$G79,+IF(P$18='5.Variables'!$B$90,+'5.Variables'!$G93,+IF(P$18='5.Variables'!$B$104,+'5.Variables'!$G107,0))))))</f>
        <v>0</v>
      </c>
      <c r="Q36" s="245"/>
      <c r="R36" s="558">
        <f t="shared" si="1"/>
        <v>14552938.791277505</v>
      </c>
      <c r="S36" s="265"/>
      <c r="T36" s="519"/>
      <c r="U36" s="803" t="s">
        <v>2</v>
      </c>
      <c r="V36" s="546">
        <v>23882.238363365457</v>
      </c>
      <c r="W36" s="546">
        <v>3791.0175307780228</v>
      </c>
      <c r="X36" s="546">
        <v>6.2996908269279759</v>
      </c>
      <c r="Y36" s="546">
        <v>5.7778879292262121E-9</v>
      </c>
      <c r="Z36" s="546">
        <v>16372.261833402732</v>
      </c>
      <c r="AA36" s="546">
        <v>31392.214893328182</v>
      </c>
      <c r="AB36" s="546">
        <v>16372.261833402732</v>
      </c>
      <c r="AC36" s="546">
        <v>31392.214893328182</v>
      </c>
      <c r="AD36" s="261"/>
      <c r="AE36" s="245"/>
      <c r="AF36" s="245"/>
      <c r="AG36" s="245"/>
      <c r="AH36" s="245"/>
      <c r="AI36" s="245"/>
      <c r="AJ36" s="245"/>
      <c r="AK36" s="245"/>
      <c r="AL36" s="245"/>
      <c r="AM36" s="245"/>
    </row>
    <row r="37" spans="1:39" ht="15" x14ac:dyDescent="0.25">
      <c r="A37" s="503">
        <f t="shared" si="2"/>
        <v>18</v>
      </c>
      <c r="B37" s="262" t="str">
        <f>CONCATENATE('3. Consumption by Rate Class'!B42,"-",'3. Consumption by Rate Class'!C42)</f>
        <v>2006-June</v>
      </c>
      <c r="C37" s="697">
        <v>15216019.100000001</v>
      </c>
      <c r="D37" s="703">
        <v>-39600</v>
      </c>
      <c r="E37" s="707"/>
      <c r="F37" s="703"/>
      <c r="G37" s="703"/>
      <c r="H37" s="704"/>
      <c r="I37" s="704"/>
      <c r="J37" s="263">
        <f t="shared" si="0"/>
        <v>15176419.100000001</v>
      </c>
      <c r="K37" s="725">
        <f>IF(K$18='5.Variables'!$B$16,+'5.Variables'!$H28,+IF(K$18='5.Variables'!$B$39,+'5.Variables'!$H51,+IF(K$18='5.Variables'!$B$62,+'5.Variables'!$H65,+IF(K$18='5.Variables'!$B$76,+'5.Variables'!$H79,+IF(K$18='5.Variables'!$B$90,+'5.Variables'!$H93,+IF(K$18='5.Variables'!$B$104,+'5.Variables'!$H107,0))))))</f>
        <v>27.6</v>
      </c>
      <c r="L37" s="725">
        <f>IF(L$18='5.Variables'!$B$16,+'5.Variables'!$H27,+IF(L$18='5.Variables'!$B$39,+'5.Variables'!$H51,+IF(L$18='5.Variables'!$B$62,+'5.Variables'!$H65,+IF(L$18='5.Variables'!$B$76,+'5.Variables'!$H79,+IF(L$18='5.Variables'!$B$90,+'5.Variables'!$H93,+IF(L$18='5.Variables'!$B$104,+'5.Variables'!$H107,0))))))</f>
        <v>48.2</v>
      </c>
      <c r="M37" s="725">
        <f>IF(M$18='5.Variables'!$B$16,+'5.Variables'!$H27,+IF(M$18='5.Variables'!$B$39,+'5.Variables'!$H51,+IF(M$18='5.Variables'!$B$62,+'5.Variables'!$H65,+IF(M$18='5.Variables'!$B$76,+'5.Variables'!$H79,+IF(M$18='5.Variables'!$B$90,+'5.Variables'!$H93,+IF(M$18='5.Variables'!$B$104,+'5.Variables'!$H107,0))))))</f>
        <v>0</v>
      </c>
      <c r="N37" s="725">
        <f>IF(N$18='5.Variables'!$B$16,+'5.Variables'!$H27,+IF(N$18='5.Variables'!$B$39,+'5.Variables'!$H51,+IF(N$18='5.Variables'!$B$62,+'5.Variables'!$H65,+IF(N$18='5.Variables'!$B$76,+'5.Variables'!$H79,+IF(N$18='5.Variables'!$B$90,+'5.Variables'!$H93,+IF(N$18='5.Variables'!$B$104,+'5.Variables'!$H107,0))))))</f>
        <v>0</v>
      </c>
      <c r="O37" s="725">
        <f>IF(O$18='5.Variables'!$B$16,+'5.Variables'!$H27,+IF(O$18='5.Variables'!$B$39,+'5.Variables'!$H51,+IF(O$18='5.Variables'!$B$62,+'5.Variables'!$H65,+IF(O$18='5.Variables'!$B$76,+'5.Variables'!$H79,+IF(O$18='5.Variables'!$B$90,+'5.Variables'!$H93,+IF(O$18='5.Variables'!$B$104,+'5.Variables'!$H107,0))))))</f>
        <v>30</v>
      </c>
      <c r="P37" s="725">
        <f>IF(P$18='5.Variables'!$B$16,+'5.Variables'!$H27,+IF(P$18='5.Variables'!$B$39,+'5.Variables'!$H51,+IF(P$18='5.Variables'!$B$62,+'5.Variables'!$H65,+IF(P$18='5.Variables'!$B$76,+'5.Variables'!$H79,+IF(P$18='5.Variables'!$B$90,+'5.Variables'!$H93,+IF(P$18='5.Variables'!$B$104,+'5.Variables'!$H107,0))))))</f>
        <v>0</v>
      </c>
      <c r="Q37" s="245"/>
      <c r="R37" s="558">
        <f t="shared" si="1"/>
        <v>14495500.618109932</v>
      </c>
      <c r="S37" s="265"/>
      <c r="T37" s="519"/>
      <c r="U37" s="803" t="s">
        <v>416</v>
      </c>
      <c r="V37" s="546">
        <v>1602289.4249446383</v>
      </c>
      <c r="W37" s="546">
        <v>330721.58922940941</v>
      </c>
      <c r="X37" s="546">
        <v>4.8448286326816996</v>
      </c>
      <c r="Y37" s="546">
        <v>4.0276505998579839E-6</v>
      </c>
      <c r="Z37" s="546">
        <v>947132.5039068422</v>
      </c>
      <c r="AA37" s="546">
        <v>2257446.3459824342</v>
      </c>
      <c r="AB37" s="546">
        <v>947132.5039068422</v>
      </c>
      <c r="AC37" s="546">
        <v>2257446.3459824342</v>
      </c>
      <c r="AD37" s="261"/>
      <c r="AE37" s="245"/>
      <c r="AF37" s="245"/>
      <c r="AG37" s="245"/>
      <c r="AH37" s="245"/>
      <c r="AI37" s="245"/>
      <c r="AJ37" s="245"/>
      <c r="AK37" s="245"/>
      <c r="AL37" s="245"/>
      <c r="AM37" s="245"/>
    </row>
    <row r="38" spans="1:39" ht="15" x14ac:dyDescent="0.25">
      <c r="A38" s="503">
        <f t="shared" si="2"/>
        <v>19</v>
      </c>
      <c r="B38" s="262" t="str">
        <f>CONCATENATE('3. Consumption by Rate Class'!B43,"-",'3. Consumption by Rate Class'!C43)</f>
        <v>2006-July</v>
      </c>
      <c r="C38" s="697">
        <v>17288814.59</v>
      </c>
      <c r="D38" s="703">
        <v>-24000</v>
      </c>
      <c r="E38" s="707"/>
      <c r="F38" s="703"/>
      <c r="G38" s="703"/>
      <c r="H38" s="704"/>
      <c r="I38" s="704"/>
      <c r="J38" s="263">
        <f t="shared" si="0"/>
        <v>17264814.59</v>
      </c>
      <c r="K38" s="725">
        <f>IF(K$18='5.Variables'!$B$16,+'5.Variables'!$I28,+IF(K$18='5.Variables'!$B$39,+'5.Variables'!$I51,+IF(K$18='5.Variables'!$B$62,+'5.Variables'!$I65,+IF(K$18='5.Variables'!$B$76,+'5.Variables'!$I79,+IF(K$18='5.Variables'!$B$90,+'5.Variables'!$I93,+IF(K$18='5.Variables'!$B$104,+'5.Variables'!$I107,0))))))</f>
        <v>0.3</v>
      </c>
      <c r="L38" s="725">
        <f>IF(L$18='5.Variables'!$B$16,+'5.Variables'!$I27,+IF(L$18='5.Variables'!$B$39,+'5.Variables'!$I51,+IF(L$18='5.Variables'!$B$62,+'5.Variables'!$I65,+IF(L$18='5.Variables'!$B$76,+'5.Variables'!$I79,+IF(L$18='5.Variables'!$B$90,+'5.Variables'!$I93,+IF(L$18='5.Variables'!$B$104,+'5.Variables'!$I107,0))))))</f>
        <v>130.6</v>
      </c>
      <c r="M38" s="725">
        <f>IF(M$18='5.Variables'!$B$16,+'5.Variables'!$I27,+IF(M$18='5.Variables'!$B$39,+'5.Variables'!$I51,+IF(M$18='5.Variables'!$B$62,+'5.Variables'!$I65,+IF(M$18='5.Variables'!$B$76,+'5.Variables'!$I79,+IF(M$18='5.Variables'!$B$90,+'5.Variables'!$I93,+IF(M$18='5.Variables'!$B$104,+'5.Variables'!$I107,0))))))</f>
        <v>0</v>
      </c>
      <c r="N38" s="725">
        <f>IF(N$18='5.Variables'!$B$16,+'5.Variables'!$I27,+IF(N$18='5.Variables'!$B$39,+'5.Variables'!$I51,+IF(N$18='5.Variables'!$B$62,+'5.Variables'!$I65,+IF(N$18='5.Variables'!$B$76,+'5.Variables'!$I79,+IF(N$18='5.Variables'!$B$90,+'5.Variables'!$I93,+IF(N$18='5.Variables'!$B$104,+'5.Variables'!$I107,0))))))</f>
        <v>1</v>
      </c>
      <c r="O38" s="725">
        <f>IF(O$18='5.Variables'!$B$16,+'5.Variables'!$I27,+IF(O$18='5.Variables'!$B$39,+'5.Variables'!$I51,+IF(O$18='5.Variables'!$B$62,+'5.Variables'!$I65,+IF(O$18='5.Variables'!$B$76,+'5.Variables'!$I79,+IF(O$18='5.Variables'!$B$90,+'5.Variables'!$I93,+IF(O$18='5.Variables'!$B$104,+'5.Variables'!$I107,0))))))</f>
        <v>31</v>
      </c>
      <c r="P38" s="725">
        <f>IF(P$18='5.Variables'!$B$16,+'5.Variables'!$I27,+IF(P$18='5.Variables'!$B$39,+'5.Variables'!$I51,+IF(P$18='5.Variables'!$B$62,+'5.Variables'!$I65,+IF(P$18='5.Variables'!$B$76,+'5.Variables'!$I79,+IF(P$18='5.Variables'!$B$90,+'5.Variables'!$I93,+IF(P$18='5.Variables'!$B$104,+'5.Variables'!$I107,0))))))</f>
        <v>0</v>
      </c>
      <c r="Q38" s="245"/>
      <c r="R38" s="558">
        <f t="shared" si="1"/>
        <v>16781412.616906758</v>
      </c>
      <c r="S38" s="265"/>
      <c r="T38" s="519"/>
      <c r="U38" s="803" t="s">
        <v>408</v>
      </c>
      <c r="V38" s="546">
        <v>349016.37110289093</v>
      </c>
      <c r="W38" s="546">
        <v>318903.24981230561</v>
      </c>
      <c r="X38" s="546">
        <v>1.0944271383509223</v>
      </c>
      <c r="Y38" s="546">
        <v>0.276074686511116</v>
      </c>
      <c r="Z38" s="546">
        <v>-282728.51057475794</v>
      </c>
      <c r="AA38" s="546">
        <v>980761.2527805398</v>
      </c>
      <c r="AB38" s="546">
        <v>-282728.51057475794</v>
      </c>
      <c r="AC38" s="546">
        <v>980761.2527805398</v>
      </c>
      <c r="AD38" s="261"/>
      <c r="AE38" s="245"/>
      <c r="AF38" s="245"/>
      <c r="AG38" s="245"/>
      <c r="AH38" s="245"/>
      <c r="AI38" s="245"/>
      <c r="AJ38" s="245"/>
      <c r="AK38" s="245"/>
      <c r="AL38" s="245"/>
      <c r="AM38" s="245"/>
    </row>
    <row r="39" spans="1:39" ht="15.75" thickBot="1" x14ac:dyDescent="0.3">
      <c r="A39" s="503">
        <f t="shared" si="2"/>
        <v>20</v>
      </c>
      <c r="B39" s="262" t="str">
        <f>CONCATENATE('3. Consumption by Rate Class'!B44,"-",'3. Consumption by Rate Class'!C44)</f>
        <v>2006-August</v>
      </c>
      <c r="C39" s="697">
        <v>14646590.370000001</v>
      </c>
      <c r="D39" s="703">
        <v>-39000</v>
      </c>
      <c r="E39" s="707"/>
      <c r="F39" s="703"/>
      <c r="G39" s="703"/>
      <c r="H39" s="704"/>
      <c r="I39" s="704"/>
      <c r="J39" s="263">
        <f t="shared" si="0"/>
        <v>14607590.370000001</v>
      </c>
      <c r="K39" s="725">
        <f>IF(K$18='5.Variables'!$B$16,+'5.Variables'!$J28,+IF(K$18='5.Variables'!$B$39,+'5.Variables'!$J51,+IF(K$18='5.Variables'!$B$62,+'5.Variables'!$J65,+IF(K$18='5.Variables'!$B$76,+'5.Variables'!$J79,+IF(K$18='5.Variables'!$B$90,+'5.Variables'!$J93,+IF(K$18='5.Variables'!$B$104,+'5.Variables'!$J107,0))))))</f>
        <v>18.2</v>
      </c>
      <c r="L39" s="725">
        <f>IF(L$18='5.Variables'!$B$16,+'5.Variables'!$J27,+IF(L$18='5.Variables'!$B$39,+'5.Variables'!$J51,+IF(L$18='5.Variables'!$B$62,+'5.Variables'!$J65,+IF(L$18='5.Variables'!$B$76,+'5.Variables'!$J79,+IF(L$18='5.Variables'!$B$90,+'5.Variables'!$J93,+IF(L$18='5.Variables'!$B$104,+'5.Variables'!$J107,0))))))</f>
        <v>68.099999999999994</v>
      </c>
      <c r="M39" s="725">
        <f>IF(M$18='5.Variables'!$B$16,+'5.Variables'!$J27,+IF(M$18='5.Variables'!$B$39,+'5.Variables'!$J51,+IF(M$18='5.Variables'!$B$62,+'5.Variables'!$J65,+IF(M$18='5.Variables'!$B$76,+'5.Variables'!$J79,+IF(M$18='5.Variables'!$B$90,+'5.Variables'!$J93,+IF(M$18='5.Variables'!$B$104,+'5.Variables'!$J107,0))))))</f>
        <v>0</v>
      </c>
      <c r="N39" s="725">
        <f>IF(N$18='5.Variables'!$B$16,+'5.Variables'!$J27,+IF(N$18='5.Variables'!$B$39,+'5.Variables'!$J51,+IF(N$18='5.Variables'!$B$62,+'5.Variables'!$J65,+IF(N$18='5.Variables'!$B$76,+'5.Variables'!$J79,+IF(N$18='5.Variables'!$B$90,+'5.Variables'!$J93,+IF(N$18='5.Variables'!$B$104,+'5.Variables'!$J107,0))))))</f>
        <v>0</v>
      </c>
      <c r="O39" s="725">
        <f>IF(O$18='5.Variables'!$B$16,+'5.Variables'!$J27,+IF(O$18='5.Variables'!$B$39,+'5.Variables'!$J51,+IF(O$18='5.Variables'!$B$62,+'5.Variables'!$J65,+IF(O$18='5.Variables'!$B$76,+'5.Variables'!$J79,+IF(O$18='5.Variables'!$B$90,+'5.Variables'!$J93,+IF(O$18='5.Variables'!$B$104,+'5.Variables'!$J107,0))))))</f>
        <v>31</v>
      </c>
      <c r="P39" s="725">
        <f>IF(P$18='5.Variables'!$B$16,+'5.Variables'!$J27,+IF(P$18='5.Variables'!$B$39,+'5.Variables'!$J51,+IF(P$18='5.Variables'!$B$62,+'5.Variables'!$J65,+IF(P$18='5.Variables'!$B$76,+'5.Variables'!$J79,+IF(P$18='5.Variables'!$B$90,+'5.Variables'!$J93,+IF(P$18='5.Variables'!$B$104,+'5.Variables'!$J107,0))))))</f>
        <v>0</v>
      </c>
      <c r="Q39" s="245"/>
      <c r="R39" s="558">
        <f t="shared" si="1"/>
        <v>15056750.558791339</v>
      </c>
      <c r="S39" s="265"/>
      <c r="T39" s="519"/>
      <c r="U39" s="804" t="s">
        <v>417</v>
      </c>
      <c r="V39" s="547">
        <v>147431.69784035117</v>
      </c>
      <c r="W39" s="547">
        <v>148056.87763293143</v>
      </c>
      <c r="X39" s="547">
        <v>0.99577743497920967</v>
      </c>
      <c r="Y39" s="547">
        <v>0.3214672364638046</v>
      </c>
      <c r="Z39" s="547">
        <v>-145867.83641284032</v>
      </c>
      <c r="AA39" s="547">
        <v>440731.2320935427</v>
      </c>
      <c r="AB39" s="547">
        <v>-145867.83641284032</v>
      </c>
      <c r="AC39" s="547">
        <v>440731.2320935427</v>
      </c>
      <c r="AD39" s="261"/>
      <c r="AE39" s="245"/>
      <c r="AF39" s="245"/>
      <c r="AG39" s="245"/>
      <c r="AH39" s="245"/>
      <c r="AI39" s="245"/>
      <c r="AJ39" s="245"/>
      <c r="AK39" s="245"/>
      <c r="AL39" s="245"/>
      <c r="AM39" s="245"/>
    </row>
    <row r="40" spans="1:39" ht="15.75" thickBot="1" x14ac:dyDescent="0.3">
      <c r="A40" s="503">
        <f t="shared" si="2"/>
        <v>21</v>
      </c>
      <c r="B40" s="262" t="str">
        <f>CONCATENATE('3. Consumption by Rate Class'!B45,"-",'3. Consumption by Rate Class'!C45)</f>
        <v>2006-September</v>
      </c>
      <c r="C40" s="697">
        <v>14317893.41</v>
      </c>
      <c r="D40" s="703">
        <v>-42600</v>
      </c>
      <c r="E40" s="707"/>
      <c r="F40" s="703"/>
      <c r="G40" s="703"/>
      <c r="H40" s="704"/>
      <c r="I40" s="704"/>
      <c r="J40" s="263">
        <f t="shared" si="0"/>
        <v>14275293.41</v>
      </c>
      <c r="K40" s="725">
        <f>IF(K$18='5.Variables'!$B$16,+'5.Variables'!$K28,+IF(K$18='5.Variables'!$B$39,+'5.Variables'!$K51,+IF(K$18='5.Variables'!$B$62,+'5.Variables'!$K65,+IF(K$18='5.Variables'!$B$76,+'5.Variables'!$K79,+IF(K$18='5.Variables'!$B$90,+'5.Variables'!$K93,+IF(K$18='5.Variables'!$B$104,+'5.Variables'!$K107,0))))))</f>
        <v>121</v>
      </c>
      <c r="L40" s="725">
        <f>IF(L$18='5.Variables'!$B$16,+'5.Variables'!$K27,+IF(L$18='5.Variables'!$B$39,+'5.Variables'!$K51,+IF(L$18='5.Variables'!$B$62,+'5.Variables'!$K65,+IF(L$18='5.Variables'!$B$76,+'5.Variables'!$K79,+IF(L$18='5.Variables'!$B$90,+'5.Variables'!$K93,+IF(L$18='5.Variables'!$B$104,+'5.Variables'!$K107,0))))))</f>
        <v>5.3</v>
      </c>
      <c r="M40" s="725">
        <f>IF(M$18='5.Variables'!$B$16,+'5.Variables'!$K27,+IF(M$18='5.Variables'!$B$39,+'5.Variables'!$K51,+IF(M$18='5.Variables'!$B$62,+'5.Variables'!$K65,+IF(M$18='5.Variables'!$B$76,+'5.Variables'!$K79,+IF(M$18='5.Variables'!$B$90,+'5.Variables'!$K93,+IF(M$18='5.Variables'!$B$104,+'5.Variables'!$K107,0))))))</f>
        <v>0</v>
      </c>
      <c r="N40" s="725">
        <f>IF(N$18='5.Variables'!$B$16,+'5.Variables'!$K27,+IF(N$18='5.Variables'!$B$39,+'5.Variables'!$K51,+IF(N$18='5.Variables'!$B$62,+'5.Variables'!$K65,+IF(N$18='5.Variables'!$B$76,+'5.Variables'!$K79,+IF(N$18='5.Variables'!$B$90,+'5.Variables'!$K93,+IF(N$18='5.Variables'!$B$104,+'5.Variables'!$K107,0))))))</f>
        <v>0</v>
      </c>
      <c r="O40" s="725">
        <f>IF(O$18='5.Variables'!$B$16,+'5.Variables'!$K27,+IF(O$18='5.Variables'!$B$39,+'5.Variables'!$K51,+IF(O$18='5.Variables'!$B$62,+'5.Variables'!$K65,+IF(O$18='5.Variables'!$B$76,+'5.Variables'!$K79,+IF(O$18='5.Variables'!$B$90,+'5.Variables'!$K93,+IF(O$18='5.Variables'!$B$104,+'5.Variables'!$K107,0))))))</f>
        <v>30</v>
      </c>
      <c r="P40" s="725">
        <f>IF(P$18='5.Variables'!$B$16,+'5.Variables'!$K27,+IF(P$18='5.Variables'!$B$39,+'5.Variables'!$K51,+IF(P$18='5.Variables'!$B$62,+'5.Variables'!$K65,+IF(P$18='5.Variables'!$B$76,+'5.Variables'!$K79,+IF(P$18='5.Variables'!$B$90,+'5.Variables'!$K93,+IF(P$18='5.Variables'!$B$104,+'5.Variables'!$K107,0))))))</f>
        <v>0</v>
      </c>
      <c r="Q40" s="245"/>
      <c r="R40" s="558">
        <f t="shared" si="1"/>
        <v>14081414.00456601</v>
      </c>
      <c r="S40" s="265"/>
      <c r="T40" s="519"/>
      <c r="U40" s="547"/>
      <c r="V40" s="547"/>
      <c r="W40" s="547"/>
      <c r="X40" s="547"/>
      <c r="Y40" s="547"/>
      <c r="Z40" s="547"/>
      <c r="AA40" s="547"/>
      <c r="AB40" s="547"/>
      <c r="AC40" s="547"/>
      <c r="AD40" s="261"/>
      <c r="AE40" s="245"/>
      <c r="AF40" s="245"/>
      <c r="AG40" s="245"/>
      <c r="AH40" s="245"/>
      <c r="AI40" s="245"/>
      <c r="AJ40" s="245"/>
      <c r="AK40" s="245"/>
      <c r="AL40" s="245"/>
      <c r="AM40" s="245"/>
    </row>
    <row r="41" spans="1:39" x14ac:dyDescent="0.2">
      <c r="A41" s="503">
        <f t="shared" si="2"/>
        <v>22</v>
      </c>
      <c r="B41" s="262" t="str">
        <f>CONCATENATE('3. Consumption by Rate Class'!B46,"-",'3. Consumption by Rate Class'!C46)</f>
        <v>2006-October</v>
      </c>
      <c r="C41" s="697">
        <v>16184185.029999999</v>
      </c>
      <c r="D41" s="703">
        <v>-39000</v>
      </c>
      <c r="E41" s="707"/>
      <c r="F41" s="703"/>
      <c r="G41" s="703"/>
      <c r="H41" s="704"/>
      <c r="I41" s="704"/>
      <c r="J41" s="263">
        <f t="shared" si="0"/>
        <v>16145185.029999999</v>
      </c>
      <c r="K41" s="725">
        <f>IF(K$18='5.Variables'!$B$16,+'5.Variables'!$L28,+IF(K$18='5.Variables'!$B$39,+'5.Variables'!$L51,+IF(K$18='5.Variables'!$B$62,+'5.Variables'!$L65,+IF(K$18='5.Variables'!$B$76,+'5.Variables'!$L79,+IF(K$18='5.Variables'!$B$90,+'5.Variables'!$L93,+IF(K$18='5.Variables'!$B$104,+'5.Variables'!$L107,0))))))</f>
        <v>335.7</v>
      </c>
      <c r="L41" s="725">
        <f>IF(L$18='5.Variables'!$B$16,+'5.Variables'!$L27,+IF(L$18='5.Variables'!$B$39,+'5.Variables'!$L51,+IF(L$18='5.Variables'!$B$62,+'5.Variables'!$L65,+IF(L$18='5.Variables'!$B$76,+'5.Variables'!$L79,+IF(L$18='5.Variables'!$B$90,+'5.Variables'!$L93,+IF(L$18='5.Variables'!$B$104,+'5.Variables'!$L107,0))))))</f>
        <v>0</v>
      </c>
      <c r="M41" s="725">
        <f>IF(M$18='5.Variables'!$B$16,+'5.Variables'!$L27,+IF(M$18='5.Variables'!$B$39,+'5.Variables'!$L51,+IF(M$18='5.Variables'!$B$62,+'5.Variables'!$L65,+IF(M$18='5.Variables'!$B$76,+'5.Variables'!$L79,+IF(M$18='5.Variables'!$B$90,+'5.Variables'!$L93,+IF(M$18='5.Variables'!$B$104,+'5.Variables'!$L107,0))))))</f>
        <v>0</v>
      </c>
      <c r="N41" s="725">
        <f>IF(N$18='5.Variables'!$B$16,+'5.Variables'!$L27,+IF(N$18='5.Variables'!$B$39,+'5.Variables'!$L51,+IF(N$18='5.Variables'!$B$62,+'5.Variables'!$L65,+IF(N$18='5.Variables'!$B$76,+'5.Variables'!$L79,+IF(N$18='5.Variables'!$B$90,+'5.Variables'!$L93,+IF(N$18='5.Variables'!$B$104,+'5.Variables'!$L107,0))))))</f>
        <v>0</v>
      </c>
      <c r="O41" s="725">
        <f>IF(O$18='5.Variables'!$B$16,+'5.Variables'!$L27,+IF(O$18='5.Variables'!$B$39,+'5.Variables'!$L51,+IF(O$18='5.Variables'!$B$62,+'5.Variables'!$L65,+IF(O$18='5.Variables'!$B$76,+'5.Variables'!$L79,+IF(O$18='5.Variables'!$B$90,+'5.Variables'!$L93,+IF(O$18='5.Variables'!$B$104,+'5.Variables'!$L107,0))))))</f>
        <v>31</v>
      </c>
      <c r="P41" s="725">
        <f>IF(P$18='5.Variables'!$B$16,+'5.Variables'!$L27,+IF(P$18='5.Variables'!$B$39,+'5.Variables'!$L51,+IF(P$18='5.Variables'!$B$62,+'5.Variables'!$L65,+IF(P$18='5.Variables'!$B$76,+'5.Variables'!$L79,+IF(P$18='5.Variables'!$B$90,+'5.Variables'!$L93,+IF(P$18='5.Variables'!$B$104,+'5.Variables'!$L107,0))))))</f>
        <v>0</v>
      </c>
      <c r="Q41" s="245"/>
      <c r="R41" s="558">
        <f t="shared" si="1"/>
        <v>15505546.768511843</v>
      </c>
      <c r="S41" s="265"/>
      <c r="T41" s="245"/>
      <c r="U41"/>
      <c r="V41"/>
      <c r="W41"/>
      <c r="X41"/>
      <c r="Y41"/>
      <c r="Z41"/>
      <c r="AA41"/>
      <c r="AB41"/>
      <c r="AC41"/>
      <c r="AD41" s="261"/>
      <c r="AE41" s="245"/>
      <c r="AF41" s="245"/>
      <c r="AG41" s="245"/>
      <c r="AH41" s="245"/>
      <c r="AI41" s="245"/>
      <c r="AJ41" s="245"/>
      <c r="AK41" s="245"/>
      <c r="AL41" s="245"/>
      <c r="AM41" s="245"/>
    </row>
    <row r="42" spans="1:39" x14ac:dyDescent="0.2">
      <c r="A42" s="503">
        <f t="shared" si="2"/>
        <v>23</v>
      </c>
      <c r="B42" s="262" t="str">
        <f>CONCATENATE('3. Consumption by Rate Class'!B47,"-",'3. Consumption by Rate Class'!C47)</f>
        <v>2006-November</v>
      </c>
      <c r="C42" s="697">
        <v>16855953.34</v>
      </c>
      <c r="D42" s="703">
        <v>-51000</v>
      </c>
      <c r="E42" s="707"/>
      <c r="F42" s="703"/>
      <c r="G42" s="703"/>
      <c r="H42" s="704"/>
      <c r="I42" s="704"/>
      <c r="J42" s="263">
        <f t="shared" si="0"/>
        <v>16804953.34</v>
      </c>
      <c r="K42" s="725">
        <f>IF(K$18='5.Variables'!$B$16,+'5.Variables'!$M28,+IF(K$18='5.Variables'!$B$39,+'5.Variables'!$M51,+IF(K$18='5.Variables'!$B$62,+'5.Variables'!$M65,+IF(K$18='5.Variables'!$B$76,+'5.Variables'!$M79,+IF(K$18='5.Variables'!$B$90,+'5.Variables'!$M93,+IF(K$18='5.Variables'!$B$104,+'5.Variables'!$M107,0))))))</f>
        <v>417.3</v>
      </c>
      <c r="L42" s="725">
        <f>IF(L$18='5.Variables'!$B$16,+'5.Variables'!$M27,+IF(L$18='5.Variables'!$B$39,+'5.Variables'!$M51,+IF(L$18='5.Variables'!$B$62,+'5.Variables'!$M65,+IF(L$18='5.Variables'!$B$76,+'5.Variables'!$M79,+IF(L$18='5.Variables'!$B$90,+'5.Variables'!$M93,+IF(L$18='5.Variables'!$B$104,+'5.Variables'!$M107,0))))))</f>
        <v>0</v>
      </c>
      <c r="M42" s="725">
        <f>IF(M$18='5.Variables'!$B$16,+'5.Variables'!$M27,+IF(M$18='5.Variables'!$B$39,+'5.Variables'!$M51,+IF(M$18='5.Variables'!$B$62,+'5.Variables'!$M65,+IF(M$18='5.Variables'!$B$76,+'5.Variables'!$M79,+IF(M$18='5.Variables'!$B$90,+'5.Variables'!$M93,+IF(M$18='5.Variables'!$B$104,+'5.Variables'!$M107,0))))))</f>
        <v>0</v>
      </c>
      <c r="N42" s="725">
        <f>IF(N$18='5.Variables'!$B$16,+'5.Variables'!$M27,+IF(N$18='5.Variables'!$B$39,+'5.Variables'!$M51,+IF(N$18='5.Variables'!$B$62,+'5.Variables'!$M65,+IF(N$18='5.Variables'!$B$76,+'5.Variables'!$M79,+IF(N$18='5.Variables'!$B$90,+'5.Variables'!$M93,+IF(N$18='5.Variables'!$B$104,+'5.Variables'!$M107,0))))))</f>
        <v>0</v>
      </c>
      <c r="O42" s="725">
        <f>IF(O$18='5.Variables'!$B$16,+'5.Variables'!$M27,+IF(O$18='5.Variables'!$B$39,+'5.Variables'!$M51,+IF(O$18='5.Variables'!$B$62,+'5.Variables'!$M65,+IF(O$18='5.Variables'!$B$76,+'5.Variables'!$M79,+IF(O$18='5.Variables'!$B$90,+'5.Variables'!$M93,+IF(O$18='5.Variables'!$B$104,+'5.Variables'!$M107,0))))))</f>
        <v>30</v>
      </c>
      <c r="P42" s="725">
        <f>IF(P$18='5.Variables'!$B$16,+'5.Variables'!$M27,+IF(P$18='5.Variables'!$B$39,+'5.Variables'!$M51,+IF(P$18='5.Variables'!$B$62,+'5.Variables'!$M65,+IF(P$18='5.Variables'!$B$76,+'5.Variables'!$M79,+IF(P$18='5.Variables'!$B$90,+'5.Variables'!$M93,+IF(P$18='5.Variables'!$B$104,+'5.Variables'!$M107,0))))))</f>
        <v>0</v>
      </c>
      <c r="Q42" s="245"/>
      <c r="R42" s="558">
        <f t="shared" si="1"/>
        <v>15891451.807707336</v>
      </c>
      <c r="S42" s="265"/>
      <c r="T42" s="245"/>
      <c r="U42"/>
      <c r="V42"/>
      <c r="W42"/>
      <c r="X42"/>
      <c r="Y42"/>
      <c r="Z42"/>
      <c r="AA42"/>
      <c r="AB42"/>
      <c r="AC42"/>
      <c r="AD42" s="261"/>
      <c r="AE42" s="245"/>
      <c r="AF42" s="245"/>
      <c r="AG42" s="245"/>
      <c r="AH42" s="245"/>
      <c r="AI42" s="245"/>
      <c r="AJ42" s="245"/>
      <c r="AK42" s="245"/>
      <c r="AL42" s="245"/>
      <c r="AM42" s="245"/>
    </row>
    <row r="43" spans="1:39" ht="13.5" customHeight="1" x14ac:dyDescent="0.2">
      <c r="A43" s="503">
        <f t="shared" si="2"/>
        <v>24</v>
      </c>
      <c r="B43" s="522" t="str">
        <f>CONCATENATE('3. Consumption by Rate Class'!B48,"-",'3. Consumption by Rate Class'!C48)</f>
        <v>2006-December</v>
      </c>
      <c r="C43" s="698">
        <v>19706058.609999999</v>
      </c>
      <c r="D43" s="705">
        <v>-42000</v>
      </c>
      <c r="E43" s="705"/>
      <c r="F43" s="705"/>
      <c r="G43" s="705"/>
      <c r="H43" s="706"/>
      <c r="I43" s="706"/>
      <c r="J43" s="263">
        <f t="shared" si="0"/>
        <v>19664058.609999999</v>
      </c>
      <c r="K43" s="725">
        <f>IF(K$18='5.Variables'!$B$16,+'5.Variables'!$N28,+IF(K$18='5.Variables'!$B$39,+'5.Variables'!$N51,+IF(K$18='5.Variables'!$B$62,+'5.Variables'!$N65,+IF(K$18='5.Variables'!$B$76,+'5.Variables'!$N79,+IF(K$18='5.Variables'!$B$90,+'5.Variables'!$N93,+IF(K$18='5.Variables'!$B$104,+'5.Variables'!$N107,0))))))</f>
        <v>610</v>
      </c>
      <c r="L43" s="725">
        <f>IF(L$18='5.Variables'!$B$16,+'5.Variables'!$N27,+IF(L$18='5.Variables'!$B$39,+'5.Variables'!$N51,+IF(L$18='5.Variables'!$B$62,+'5.Variables'!$N65,+IF(L$18='5.Variables'!$B$76,+'5.Variables'!$N79,+IF(L$18='5.Variables'!$B$90,+'5.Variables'!$N93,+IF(L$18='5.Variables'!$B$104,+'5.Variables'!$N107,0))))))</f>
        <v>0</v>
      </c>
      <c r="M43" s="725">
        <f>IF(M$18='5.Variables'!$B$16,+'5.Variables'!$N27,+IF(M$18='5.Variables'!$B$39,+'5.Variables'!$N51,+IF(M$18='5.Variables'!$B$62,+'5.Variables'!$N65,+IF(M$18='5.Variables'!$B$76,+'5.Variables'!$N79,+IF(M$18='5.Variables'!$B$90,+'5.Variables'!$N93,+IF(M$18='5.Variables'!$B$104,+'5.Variables'!$N107,0))))))</f>
        <v>1</v>
      </c>
      <c r="N43" s="725">
        <f>IF(N$18='5.Variables'!$B$16,+'5.Variables'!$N27,+IF(N$18='5.Variables'!$B$39,+'5.Variables'!$N51,+IF(N$18='5.Variables'!$B$62,+'5.Variables'!$N65,+IF(N$18='5.Variables'!$B$76,+'5.Variables'!$N79,+IF(N$18='5.Variables'!$B$90,+'5.Variables'!$N93,+IF(N$18='5.Variables'!$B$104,+'5.Variables'!$N107,0))))))</f>
        <v>1</v>
      </c>
      <c r="O43" s="725">
        <f>IF(O$18='5.Variables'!$B$16,+'5.Variables'!$N27,+IF(O$18='5.Variables'!$B$39,+'5.Variables'!$N51,+IF(O$18='5.Variables'!$B$62,+'5.Variables'!$N65,+IF(O$18='5.Variables'!$B$76,+'5.Variables'!$N79,+IF(O$18='5.Variables'!$B$90,+'5.Variables'!$N93,+IF(O$18='5.Variables'!$B$104,+'5.Variables'!$N107,0))))))</f>
        <v>31</v>
      </c>
      <c r="P43" s="725">
        <f>IF(P$18='5.Variables'!$B$16,+'5.Variables'!$N27,+IF(P$18='5.Variables'!$B$39,+'5.Variables'!$N51,+IF(P$18='5.Variables'!$B$62,+'5.Variables'!$N65,+IF(P$18='5.Variables'!$B$76,+'5.Variables'!$N79,+IF(P$18='5.Variables'!$B$90,+'5.Variables'!$N93,+IF(P$18='5.Variables'!$B$104,+'5.Variables'!$N107,0))))))</f>
        <v>0</v>
      </c>
      <c r="Q43" s="245"/>
      <c r="R43" s="558">
        <f t="shared" si="1"/>
        <v>19249674.463688437</v>
      </c>
      <c r="S43" s="265">
        <f>SUM(R32:R43)</f>
        <v>197705360.17346084</v>
      </c>
      <c r="T43" s="245"/>
      <c r="U43"/>
      <c r="V43"/>
      <c r="W43"/>
      <c r="X43"/>
      <c r="Y43"/>
      <c r="Z43"/>
      <c r="AA43"/>
      <c r="AB43"/>
      <c r="AC43"/>
      <c r="AD43" s="261"/>
      <c r="AE43" s="245"/>
      <c r="AF43" s="245"/>
      <c r="AG43" s="245"/>
      <c r="AH43" s="245"/>
      <c r="AI43" s="245"/>
      <c r="AJ43" s="245"/>
      <c r="AK43" s="245"/>
      <c r="AL43" s="245"/>
      <c r="AM43" s="245"/>
    </row>
    <row r="44" spans="1:39" x14ac:dyDescent="0.2">
      <c r="A44" s="503">
        <f t="shared" si="2"/>
        <v>25</v>
      </c>
      <c r="B44" s="262" t="str">
        <f>CONCATENATE('3. Consumption by Rate Class'!B49,"-",'3. Consumption by Rate Class'!C49)</f>
        <v>2007-January</v>
      </c>
      <c r="C44" s="697">
        <v>19930521.599999998</v>
      </c>
      <c r="D44" s="703">
        <v>-51600</v>
      </c>
      <c r="E44" s="707"/>
      <c r="F44" s="703"/>
      <c r="G44" s="703"/>
      <c r="H44" s="704"/>
      <c r="I44" s="704"/>
      <c r="J44" s="263">
        <f t="shared" si="0"/>
        <v>19878921.599999998</v>
      </c>
      <c r="K44" s="725">
        <f>IF(K$18='5.Variables'!$B$16,+'5.Variables'!$C29,+IF(K$18='5.Variables'!$B$39,+'5.Variables'!$C52,+IF(K$18='5.Variables'!$B$62,+'5.Variables'!$C66,+IF(K$18='5.Variables'!$B$76,+'5.Variables'!$C80,+IF(K$18='5.Variables'!$B$90,+'5.Variables'!$C94,+IF(K$18='5.Variables'!$B$104,+'5.Variables'!$C108,0))))))</f>
        <v>797.1</v>
      </c>
      <c r="L44" s="725">
        <f>IF(L$18='5.Variables'!$B$16,+'5.Variables'!$C28,+IF(L$18='5.Variables'!$B$39,+'5.Variables'!$C52,+IF(L$18='5.Variables'!$B$62,+'5.Variables'!$C66,+IF(L$18='5.Variables'!$B$76,+'5.Variables'!$C80,+IF(L$18='5.Variables'!$B$90,+'5.Variables'!$C94,+IF(L$18='5.Variables'!$B$104,+'5.Variables'!$C108,0))))))</f>
        <v>0</v>
      </c>
      <c r="M44" s="725">
        <f>IF(M$18='5.Variables'!$B$16,+'5.Variables'!$C28,+IF(M$18='5.Variables'!$B$39,+'5.Variables'!$C52,+IF(M$18='5.Variables'!$B$62,+'5.Variables'!$C66,+IF(M$18='5.Variables'!$B$76,+'5.Variables'!$C80,+IF(M$18='5.Variables'!$B$90,+'5.Variables'!$C94,+IF(M$18='5.Variables'!$B$104,+'5.Variables'!$C108,0))))))</f>
        <v>1</v>
      </c>
      <c r="N44" s="725">
        <f>IF(N$18='5.Variables'!$B$16,+'5.Variables'!$C28,+IF(N$18='5.Variables'!$B$39,+'5.Variables'!$C52,+IF(N$18='5.Variables'!$B$62,+'5.Variables'!$C66,+IF(N$18='5.Variables'!$B$76,+'5.Variables'!$C80,+IF(N$18='5.Variables'!$B$90,+'5.Variables'!$C94,+IF(N$18='5.Variables'!$B$104,+'5.Variables'!$C108,0))))))</f>
        <v>1</v>
      </c>
      <c r="O44" s="725">
        <f>IF(O$18='5.Variables'!$B$16,+'5.Variables'!$C28,+IF(O$18='5.Variables'!$B$39,+'5.Variables'!$C52,+IF(O$18='5.Variables'!$B$62,+'5.Variables'!$C66,+IF(O$18='5.Variables'!$B$76,+'5.Variables'!$C80,+IF(O$18='5.Variables'!$B$90,+'5.Variables'!$C94,+IF(O$18='5.Variables'!$B$104,+'5.Variables'!$C108,0))))))</f>
        <v>31</v>
      </c>
      <c r="P44" s="725">
        <f>IF(P$18='5.Variables'!$B$16,+'5.Variables'!$C28,+IF(P$18='5.Variables'!$B$39,+'5.Variables'!$C52,+IF(P$18='5.Variables'!$B$62,+'5.Variables'!$C66,+IF(P$18='5.Variables'!$B$76,+'5.Variables'!$C80,+IF(P$18='5.Variables'!$B$90,+'5.Variables'!$C94,+IF(P$18='5.Variables'!$B$104,+'5.Variables'!$C108,0))))))</f>
        <v>0</v>
      </c>
      <c r="Q44" s="245"/>
      <c r="R44" s="558">
        <f t="shared" si="1"/>
        <v>20472558.085004691</v>
      </c>
      <c r="S44" s="265"/>
      <c r="T44" s="245"/>
      <c r="U44" s="266" t="s">
        <v>166</v>
      </c>
      <c r="V44" s="259"/>
      <c r="W44" s="259"/>
      <c r="X44" s="259"/>
      <c r="Y44" s="259"/>
      <c r="Z44" s="259"/>
      <c r="AA44" s="259"/>
      <c r="AB44" s="259"/>
      <c r="AC44" s="259"/>
      <c r="AD44" s="261"/>
      <c r="AE44" s="245"/>
      <c r="AF44" s="245"/>
      <c r="AG44" s="245"/>
      <c r="AH44" s="245"/>
      <c r="AI44" s="245"/>
      <c r="AJ44" s="245"/>
      <c r="AK44" s="245"/>
      <c r="AL44" s="245"/>
      <c r="AM44" s="245"/>
    </row>
    <row r="45" spans="1:39" x14ac:dyDescent="0.2">
      <c r="A45" s="503">
        <f t="shared" si="2"/>
        <v>26</v>
      </c>
      <c r="B45" s="262" t="str">
        <f>CONCATENATE('3. Consumption by Rate Class'!B50,"-",'3. Consumption by Rate Class'!C50)</f>
        <v>2007-February</v>
      </c>
      <c r="C45" s="697">
        <v>20103742.48</v>
      </c>
      <c r="D45" s="703">
        <v>-53400</v>
      </c>
      <c r="E45" s="707"/>
      <c r="F45" s="703"/>
      <c r="G45" s="703"/>
      <c r="H45" s="704"/>
      <c r="I45" s="704"/>
      <c r="J45" s="263">
        <f t="shared" si="0"/>
        <v>20050342.48</v>
      </c>
      <c r="K45" s="725">
        <f>IF(K$18='5.Variables'!$B$16,+'5.Variables'!$D29,+IF(K$18='5.Variables'!$B$39,+'5.Variables'!$D52,+IF(K$18='5.Variables'!$B$62,+'5.Variables'!$D66,+IF(K$18='5.Variables'!$B$76,+'5.Variables'!$D80,+IF(K$18='5.Variables'!$B$90,+'5.Variables'!$D94,+IF(K$18='5.Variables'!$B$104,+'5.Variables'!$D108,0))))))</f>
        <v>820</v>
      </c>
      <c r="L45" s="725">
        <f>IF(L$18='5.Variables'!$B$16,+'5.Variables'!$D28,+IF(L$18='5.Variables'!$B$39,+'5.Variables'!$D52,+IF(L$18='5.Variables'!$B$62,+'5.Variables'!$D66,+IF(L$18='5.Variables'!$B$76,+'5.Variables'!$D80,+IF(L$18='5.Variables'!$B$90,+'5.Variables'!$D94,+IF(L$18='5.Variables'!$B$104,+'5.Variables'!$D108,0))))))</f>
        <v>0</v>
      </c>
      <c r="M45" s="725">
        <f>IF(M$18='5.Variables'!$B$16,+'5.Variables'!$D28,+IF(M$18='5.Variables'!$B$39,+'5.Variables'!$D52,+IF(M$18='5.Variables'!$B$62,+'5.Variables'!$D66,+IF(M$18='5.Variables'!$B$76,+'5.Variables'!$D80,+IF(M$18='5.Variables'!$B$90,+'5.Variables'!$D94,+IF(M$18='5.Variables'!$B$104,+'5.Variables'!$D108,0))))))</f>
        <v>1</v>
      </c>
      <c r="N45" s="725">
        <f>IF(N$18='5.Variables'!$B$16,+'5.Variables'!$D28,+IF(N$18='5.Variables'!$B$39,+'5.Variables'!$D52,+IF(N$18='5.Variables'!$B$62,+'5.Variables'!$D66,+IF(N$18='5.Variables'!$B$76,+'5.Variables'!$D80,+IF(N$18='5.Variables'!$B$90,+'5.Variables'!$D94,+IF(N$18='5.Variables'!$B$104,+'5.Variables'!$D108,0))))))</f>
        <v>0</v>
      </c>
      <c r="O45" s="725">
        <f>IF(O$18='5.Variables'!$B$16,+'5.Variables'!$D28,+IF(O$18='5.Variables'!$B$39,+'5.Variables'!$D52,+IF(O$18='5.Variables'!$B$62,+'5.Variables'!$D66,+IF(O$18='5.Variables'!$B$76,+'5.Variables'!$D80,+IF(O$18='5.Variables'!$B$90,+'5.Variables'!$D94,+IF(O$18='5.Variables'!$B$104,+'5.Variables'!$D108,0))))))</f>
        <v>28</v>
      </c>
      <c r="P45" s="725">
        <f>IF(P$18='5.Variables'!$B$16,+'5.Variables'!$D28,+IF(P$18='5.Variables'!$B$39,+'5.Variables'!$D52,+IF(P$18='5.Variables'!$B$62,+'5.Variables'!$D66,+IF(P$18='5.Variables'!$B$76,+'5.Variables'!$D80,+IF(P$18='5.Variables'!$B$90,+'5.Variables'!$D94,+IF(P$18='5.Variables'!$B$104,+'5.Variables'!$D108,0))))))</f>
        <v>0</v>
      </c>
      <c r="Q45" s="245"/>
      <c r="R45" s="558">
        <f t="shared" si="1"/>
        <v>19830920.778200857</v>
      </c>
      <c r="S45" s="265"/>
      <c r="T45" s="245"/>
      <c r="U45" s="249" t="s">
        <v>33</v>
      </c>
      <c r="V45" s="249" t="s">
        <v>43</v>
      </c>
      <c r="W45" s="249" t="s">
        <v>45</v>
      </c>
      <c r="X45" s="249" t="s">
        <v>31</v>
      </c>
      <c r="Y45" s="249" t="s">
        <v>45</v>
      </c>
      <c r="Z45" s="249" t="s">
        <v>46</v>
      </c>
      <c r="AA45" s="245"/>
      <c r="AB45" s="245"/>
      <c r="AC45" s="245"/>
      <c r="AD45" s="261"/>
      <c r="AE45" s="245"/>
      <c r="AF45" s="245"/>
      <c r="AG45" s="245"/>
      <c r="AH45" s="245"/>
      <c r="AI45" s="245"/>
      <c r="AJ45" s="245"/>
      <c r="AK45" s="245"/>
      <c r="AL45" s="245"/>
      <c r="AM45" s="245"/>
    </row>
    <row r="46" spans="1:39" x14ac:dyDescent="0.2">
      <c r="A46" s="503">
        <f t="shared" si="2"/>
        <v>27</v>
      </c>
      <c r="B46" s="262" t="str">
        <f>CONCATENATE('3. Consumption by Rate Class'!B51,"-",'3. Consumption by Rate Class'!C51)</f>
        <v>2007-March</v>
      </c>
      <c r="C46" s="697">
        <v>18408483.109999999</v>
      </c>
      <c r="D46" s="703">
        <v>-55200</v>
      </c>
      <c r="E46" s="707"/>
      <c r="F46" s="703"/>
      <c r="G46" s="703"/>
      <c r="H46" s="704"/>
      <c r="I46" s="704"/>
      <c r="J46" s="263">
        <f t="shared" si="0"/>
        <v>18353283.109999999</v>
      </c>
      <c r="K46" s="725">
        <f>IF(K$18='5.Variables'!$B$16,+'5.Variables'!$E29,+IF(K$18='5.Variables'!$B$39,+'5.Variables'!$E52,+IF(K$18='5.Variables'!$B$62,+'5.Variables'!$E66,+IF(K$18='5.Variables'!$B$76,+'5.Variables'!$E80,+IF(K$18='5.Variables'!$B$90,+'5.Variables'!$E94,+IF(K$18='5.Variables'!$B$104,+'5.Variables'!$E108,0))))))</f>
        <v>643</v>
      </c>
      <c r="L46" s="725">
        <f>IF(L$18='5.Variables'!$B$16,+'5.Variables'!$E28,+IF(L$18='5.Variables'!$B$39,+'5.Variables'!$E52,+IF(L$18='5.Variables'!$B$62,+'5.Variables'!$E66,+IF(L$18='5.Variables'!$B$76,+'5.Variables'!$E80,+IF(L$18='5.Variables'!$B$90,+'5.Variables'!$E94,+IF(L$18='5.Variables'!$B$104,+'5.Variables'!$E108,0))))))</f>
        <v>0</v>
      </c>
      <c r="M46" s="725">
        <f>IF(M$18='5.Variables'!$B$16,+'5.Variables'!$E28,+IF(M$18='5.Variables'!$B$39,+'5.Variables'!$E52,+IF(M$18='5.Variables'!$B$62,+'5.Variables'!$E66,+IF(M$18='5.Variables'!$B$76,+'5.Variables'!$E80,+IF(M$18='5.Variables'!$B$90,+'5.Variables'!$E94,+IF(M$18='5.Variables'!$B$104,+'5.Variables'!$E108,0))))))</f>
        <v>0</v>
      </c>
      <c r="N46" s="725">
        <f>IF(N$18='5.Variables'!$B$16,+'5.Variables'!$E28,+IF(N$18='5.Variables'!$B$39,+'5.Variables'!$E52,+IF(N$18='5.Variables'!$B$62,+'5.Variables'!$E66,+IF(N$18='5.Variables'!$B$76,+'5.Variables'!$E80,+IF(N$18='5.Variables'!$B$90,+'5.Variables'!$E94,+IF(N$18='5.Variables'!$B$104,+'5.Variables'!$E108,0))))))</f>
        <v>1</v>
      </c>
      <c r="O46" s="725">
        <f>IF(O$18='5.Variables'!$B$16,+'5.Variables'!$E28,+IF(O$18='5.Variables'!$B$39,+'5.Variables'!$E52,+IF(O$18='5.Variables'!$B$62,+'5.Variables'!$E66,+IF(O$18='5.Variables'!$B$76,+'5.Variables'!$E80,+IF(O$18='5.Variables'!$B$90,+'5.Variables'!$E94,+IF(O$18='5.Variables'!$B$104,+'5.Variables'!$E108,0))))))</f>
        <v>31</v>
      </c>
      <c r="P46" s="725">
        <f>IF(P$18='5.Variables'!$B$16,+'5.Variables'!$E28,+IF(P$18='5.Variables'!$B$39,+'5.Variables'!$E52,+IF(P$18='5.Variables'!$B$62,+'5.Variables'!$E66,+IF(P$18='5.Variables'!$B$76,+'5.Variables'!$E80,+IF(P$18='5.Variables'!$B$90,+'5.Variables'!$E94,+IF(P$18='5.Variables'!$B$104,+'5.Variables'!$E108,0))))))</f>
        <v>0</v>
      </c>
      <c r="Q46" s="245"/>
      <c r="R46" s="558">
        <f t="shared" si="1"/>
        <v>17863072.689750943</v>
      </c>
      <c r="S46" s="265"/>
      <c r="T46" s="245"/>
      <c r="U46" s="250">
        <f>'4. Customer Growth'!B17</f>
        <v>2005</v>
      </c>
      <c r="V46" s="267">
        <f>SUM(J20:J31)</f>
        <v>209871328.75141218</v>
      </c>
      <c r="W46" s="267"/>
      <c r="X46" s="267">
        <f>S31</f>
        <v>203293901.55999801</v>
      </c>
      <c r="Y46" s="267"/>
      <c r="Z46" s="268">
        <f t="shared" ref="Z46:Z55" si="3">(X46-V46)/V46</f>
        <v>-3.1340284690363734E-2</v>
      </c>
      <c r="AA46" s="245"/>
      <c r="AB46" s="245"/>
      <c r="AC46" s="245"/>
      <c r="AD46" s="261"/>
      <c r="AE46" s="245"/>
      <c r="AF46" s="245"/>
      <c r="AG46" s="245"/>
      <c r="AH46" s="245"/>
      <c r="AI46" s="245"/>
      <c r="AJ46" s="245"/>
      <c r="AK46" s="245"/>
      <c r="AL46" s="245"/>
      <c r="AM46" s="245"/>
    </row>
    <row r="47" spans="1:39" x14ac:dyDescent="0.2">
      <c r="A47" s="503">
        <f t="shared" si="2"/>
        <v>28</v>
      </c>
      <c r="B47" s="262" t="str">
        <f>CONCATENATE('3. Consumption by Rate Class'!B52,"-",'3. Consumption by Rate Class'!C52)</f>
        <v>2007-April</v>
      </c>
      <c r="C47" s="697">
        <v>16371659.470000001</v>
      </c>
      <c r="D47" s="703">
        <v>-51600</v>
      </c>
      <c r="E47" s="707"/>
      <c r="F47" s="703"/>
      <c r="G47" s="703"/>
      <c r="H47" s="704"/>
      <c r="I47" s="704"/>
      <c r="J47" s="263">
        <f t="shared" si="0"/>
        <v>16320059.470000001</v>
      </c>
      <c r="K47" s="725">
        <f>IF(K$18='5.Variables'!$B$16,+'5.Variables'!$F29,+IF(K$18='5.Variables'!$B$39,+'5.Variables'!$F52,+IF(K$18='5.Variables'!$B$62,+'5.Variables'!$F66,+IF(K$18='5.Variables'!$B$76,+'5.Variables'!$F80,+IF(K$18='5.Variables'!$B$90,+'5.Variables'!$F94,+IF(K$18='5.Variables'!$B$104,+'5.Variables'!$F108,0))))))</f>
        <v>361.1</v>
      </c>
      <c r="L47" s="725">
        <f>IF(L$18='5.Variables'!$B$16,+'5.Variables'!$F28,+IF(L$18='5.Variables'!$B$39,+'5.Variables'!$F52,+IF(L$18='5.Variables'!$B$62,+'5.Variables'!$F66,+IF(L$18='5.Variables'!$B$76,+'5.Variables'!$F80,+IF(L$18='5.Variables'!$B$90,+'5.Variables'!$F94,+IF(L$18='5.Variables'!$B$104,+'5.Variables'!$F108,0))))))</f>
        <v>0</v>
      </c>
      <c r="M47" s="725">
        <f>IF(M$18='5.Variables'!$B$16,+'5.Variables'!$F28,+IF(M$18='5.Variables'!$B$39,+'5.Variables'!$F52,+IF(M$18='5.Variables'!$B$62,+'5.Variables'!$F66,+IF(M$18='5.Variables'!$B$76,+'5.Variables'!$F80,+IF(M$18='5.Variables'!$B$90,+'5.Variables'!$F94,+IF(M$18='5.Variables'!$B$104,+'5.Variables'!$F108,0))))))</f>
        <v>0</v>
      </c>
      <c r="N47" s="725">
        <f>IF(N$18='5.Variables'!$B$16,+'5.Variables'!$F28,+IF(N$18='5.Variables'!$B$39,+'5.Variables'!$F52,+IF(N$18='5.Variables'!$B$62,+'5.Variables'!$F66,+IF(N$18='5.Variables'!$B$76,+'5.Variables'!$F80,+IF(N$18='5.Variables'!$B$90,+'5.Variables'!$F94,+IF(N$18='5.Variables'!$B$104,+'5.Variables'!$F108,0))))))</f>
        <v>0</v>
      </c>
      <c r="O47" s="725">
        <f>IF(O$18='5.Variables'!$B$16,+'5.Variables'!$F28,+IF(O$18='5.Variables'!$B$39,+'5.Variables'!$F52,+IF(O$18='5.Variables'!$B$62,+'5.Variables'!$F66,+IF(O$18='5.Variables'!$B$76,+'5.Variables'!$F80,+IF(O$18='5.Variables'!$B$90,+'5.Variables'!$F94,+IF(O$18='5.Variables'!$B$104,+'5.Variables'!$F108,0))))))</f>
        <v>30</v>
      </c>
      <c r="P47" s="725">
        <f>IF(P$18='5.Variables'!$B$16,+'5.Variables'!$F28,+IF(P$18='5.Variables'!$B$39,+'5.Variables'!$F52,+IF(P$18='5.Variables'!$B$62,+'5.Variables'!$F66,+IF(P$18='5.Variables'!$B$76,+'5.Variables'!$F80,+IF(P$18='5.Variables'!$B$90,+'5.Variables'!$F94,+IF(P$18='5.Variables'!$B$104,+'5.Variables'!$F108,0))))))</f>
        <v>0</v>
      </c>
      <c r="Q47" s="245"/>
      <c r="R47" s="558">
        <f t="shared" si="1"/>
        <v>15524129.202052748</v>
      </c>
      <c r="S47" s="265"/>
      <c r="T47" s="245"/>
      <c r="U47" s="250">
        <f>'4. Customer Growth'!B18</f>
        <v>2006</v>
      </c>
      <c r="V47" s="267">
        <f>SUM(J32:J43)</f>
        <v>203367791.46020103</v>
      </c>
      <c r="W47" s="268">
        <f>(V47-V46)/V46</f>
        <v>-3.0988212300854349E-2</v>
      </c>
      <c r="X47" s="267">
        <f>S43</f>
        <v>197705360.17346084</v>
      </c>
      <c r="Y47" s="268">
        <f>(X47-X46)/X46</f>
        <v>-2.7489960808725105E-2</v>
      </c>
      <c r="Z47" s="268">
        <f t="shared" si="3"/>
        <v>-2.7843304222774722E-2</v>
      </c>
      <c r="AA47" s="245"/>
      <c r="AB47" s="245"/>
      <c r="AC47" s="245"/>
      <c r="AD47" s="245"/>
      <c r="AE47" s="245"/>
      <c r="AF47" s="245"/>
      <c r="AG47" s="245"/>
      <c r="AH47" s="245"/>
      <c r="AI47" s="245"/>
      <c r="AJ47" s="245"/>
      <c r="AK47" s="245"/>
      <c r="AL47" s="245"/>
      <c r="AM47" s="245"/>
    </row>
    <row r="48" spans="1:39" x14ac:dyDescent="0.2">
      <c r="A48" s="503">
        <f t="shared" si="2"/>
        <v>29</v>
      </c>
      <c r="B48" s="262" t="str">
        <f>CONCATENATE('3. Consumption by Rate Class'!B53,"-",'3. Consumption by Rate Class'!C53)</f>
        <v>2007-May</v>
      </c>
      <c r="C48" s="697">
        <v>14545862.369999999</v>
      </c>
      <c r="D48" s="703">
        <v>-48600</v>
      </c>
      <c r="E48" s="707"/>
      <c r="F48" s="703"/>
      <c r="G48" s="703"/>
      <c r="H48" s="704"/>
      <c r="I48" s="704"/>
      <c r="J48" s="263">
        <f t="shared" si="0"/>
        <v>14497262.369999999</v>
      </c>
      <c r="K48" s="725">
        <f>IF(K$18='5.Variables'!$B$16,+'5.Variables'!$G29,+IF(K$18='5.Variables'!$B$39,+'5.Variables'!$G52,+IF(K$18='5.Variables'!$B$62,+'5.Variables'!$G66,+IF(K$18='5.Variables'!$B$76,+'5.Variables'!$G80,+IF(K$18='5.Variables'!$B$90,+'5.Variables'!$G94,+IF(K$18='5.Variables'!$B$104,+'5.Variables'!$G108,0))))))</f>
        <v>157.30000000000001</v>
      </c>
      <c r="L48" s="725">
        <f>IF(L$18='5.Variables'!$B$16,+'5.Variables'!$G28,+IF(L$18='5.Variables'!$B$39,+'5.Variables'!$G52,+IF(L$18='5.Variables'!$B$62,+'5.Variables'!$G66,+IF(L$18='5.Variables'!$B$76,+'5.Variables'!$G80,+IF(L$18='5.Variables'!$B$90,+'5.Variables'!$G94,+IF(L$18='5.Variables'!$B$104,+'5.Variables'!$G108,0))))))</f>
        <v>17.3</v>
      </c>
      <c r="M48" s="725">
        <f>IF(M$18='5.Variables'!$B$16,+'5.Variables'!$G28,+IF(M$18='5.Variables'!$B$39,+'5.Variables'!$G52,+IF(M$18='5.Variables'!$B$62,+'5.Variables'!$G66,+IF(M$18='5.Variables'!$B$76,+'5.Variables'!$G80,+IF(M$18='5.Variables'!$B$90,+'5.Variables'!$G94,+IF(M$18='5.Variables'!$B$104,+'5.Variables'!$G108,0))))))</f>
        <v>0</v>
      </c>
      <c r="N48" s="725">
        <f>IF(N$18='5.Variables'!$B$16,+'5.Variables'!$G28,+IF(N$18='5.Variables'!$B$39,+'5.Variables'!$G52,+IF(N$18='5.Variables'!$B$62,+'5.Variables'!$G66,+IF(N$18='5.Variables'!$B$76,+'5.Variables'!$G80,+IF(N$18='5.Variables'!$B$90,+'5.Variables'!$G94,+IF(N$18='5.Variables'!$B$104,+'5.Variables'!$G108,0))))))</f>
        <v>0</v>
      </c>
      <c r="O48" s="725">
        <f>IF(O$18='5.Variables'!$B$16,+'5.Variables'!$G28,+IF(O$18='5.Variables'!$B$39,+'5.Variables'!$G52,+IF(O$18='5.Variables'!$B$62,+'5.Variables'!$G66,+IF(O$18='5.Variables'!$B$76,+'5.Variables'!$G80,+IF(O$18='5.Variables'!$B$90,+'5.Variables'!$G94,+IF(O$18='5.Variables'!$B$104,+'5.Variables'!$G108,0))))))</f>
        <v>31</v>
      </c>
      <c r="P48" s="725">
        <f>IF(P$18='5.Variables'!$B$16,+'5.Variables'!$G28,+IF(P$18='5.Variables'!$B$39,+'5.Variables'!$G52,+IF(P$18='5.Variables'!$B$62,+'5.Variables'!$G66,+IF(P$18='5.Variables'!$B$76,+'5.Variables'!$G80,+IF(P$18='5.Variables'!$B$90,+'5.Variables'!$G94,+IF(P$18='5.Variables'!$B$104,+'5.Variables'!$G108,0))))))</f>
        <v>0</v>
      </c>
      <c r="Q48" s="245"/>
      <c r="R48" s="558">
        <f t="shared" si="1"/>
        <v>14752688.978874601</v>
      </c>
      <c r="S48" s="265"/>
      <c r="T48" s="245"/>
      <c r="U48" s="250">
        <f>'4. Customer Growth'!B19</f>
        <v>2007</v>
      </c>
      <c r="V48" s="267">
        <f>SUM(J44:J55)</f>
        <v>205302856.46000004</v>
      </c>
      <c r="W48" s="268">
        <f t="shared" ref="W48:Y55" si="4">(V48-V47)/V47</f>
        <v>9.5151006258417485E-3</v>
      </c>
      <c r="X48" s="267">
        <f>S55</f>
        <v>200129976.47693971</v>
      </c>
      <c r="Y48" s="268">
        <f t="shared" si="4"/>
        <v>1.2263786380660495E-2</v>
      </c>
      <c r="Z48" s="268">
        <f t="shared" si="3"/>
        <v>-2.5196337119976618E-2</v>
      </c>
      <c r="AA48" s="245"/>
      <c r="AB48" s="245"/>
      <c r="AC48" s="245"/>
      <c r="AD48" s="245"/>
      <c r="AE48" s="245"/>
      <c r="AF48" s="245"/>
      <c r="AG48" s="245"/>
      <c r="AH48" s="245"/>
      <c r="AI48" s="245"/>
      <c r="AJ48" s="245"/>
      <c r="AK48" s="245"/>
      <c r="AL48" s="245"/>
      <c r="AM48" s="245"/>
    </row>
    <row r="49" spans="1:39" x14ac:dyDescent="0.2">
      <c r="A49" s="503">
        <f t="shared" si="2"/>
        <v>30</v>
      </c>
      <c r="B49" s="262" t="str">
        <f>CONCATENATE('3. Consumption by Rate Class'!B54,"-",'3. Consumption by Rate Class'!C54)</f>
        <v>2007-June</v>
      </c>
      <c r="C49" s="697">
        <v>15445020.369999999</v>
      </c>
      <c r="D49" s="703">
        <v>-43200</v>
      </c>
      <c r="E49" s="707"/>
      <c r="F49" s="703"/>
      <c r="G49" s="703"/>
      <c r="H49" s="704"/>
      <c r="I49" s="704"/>
      <c r="J49" s="263">
        <f t="shared" si="0"/>
        <v>15401820.369999999</v>
      </c>
      <c r="K49" s="725">
        <f>IF(K$18='5.Variables'!$B$16,+'5.Variables'!$H29,+IF(K$18='5.Variables'!$B$39,+'5.Variables'!$H52,+IF(K$18='5.Variables'!$B$62,+'5.Variables'!$H66,+IF(K$18='5.Variables'!$B$76,+'5.Variables'!$H80,+IF(K$18='5.Variables'!$B$90,+'5.Variables'!$H94,+IF(K$18='5.Variables'!$B$104,+'5.Variables'!$H108,0))))))</f>
        <v>34.200000000000003</v>
      </c>
      <c r="L49" s="725">
        <f>IF(L$18='5.Variables'!$B$16,+'5.Variables'!$H28,+IF(L$18='5.Variables'!$B$39,+'5.Variables'!$H52,+IF(L$18='5.Variables'!$B$62,+'5.Variables'!$H66,+IF(L$18='5.Variables'!$B$76,+'5.Variables'!$H80,+IF(L$18='5.Variables'!$B$90,+'5.Variables'!$H94,+IF(L$18='5.Variables'!$B$104,+'5.Variables'!$H108,0))))))</f>
        <v>66.900000000000006</v>
      </c>
      <c r="M49" s="725">
        <f>IF(M$18='5.Variables'!$B$16,+'5.Variables'!$H28,+IF(M$18='5.Variables'!$B$39,+'5.Variables'!$H52,+IF(M$18='5.Variables'!$B$62,+'5.Variables'!$H66,+IF(M$18='5.Variables'!$B$76,+'5.Variables'!$H80,+IF(M$18='5.Variables'!$B$90,+'5.Variables'!$H94,+IF(M$18='5.Variables'!$B$104,+'5.Variables'!$H108,0))))))</f>
        <v>0</v>
      </c>
      <c r="N49" s="725">
        <f>IF(N$18='5.Variables'!$B$16,+'5.Variables'!$H28,+IF(N$18='5.Variables'!$B$39,+'5.Variables'!$H52,+IF(N$18='5.Variables'!$B$62,+'5.Variables'!$H66,+IF(N$18='5.Variables'!$B$76,+'5.Variables'!$H80,+IF(N$18='5.Variables'!$B$90,+'5.Variables'!$H94,+IF(N$18='5.Variables'!$B$104,+'5.Variables'!$H108,0))))))</f>
        <v>0</v>
      </c>
      <c r="O49" s="725">
        <f>IF(O$18='5.Variables'!$B$16,+'5.Variables'!$H28,+IF(O$18='5.Variables'!$B$39,+'5.Variables'!$H52,+IF(O$18='5.Variables'!$B$62,+'5.Variables'!$H66,+IF(O$18='5.Variables'!$B$76,+'5.Variables'!$H80,+IF(O$18='5.Variables'!$B$90,+'5.Variables'!$H94,+IF(O$18='5.Variables'!$B$104,+'5.Variables'!$H108,0))))))</f>
        <v>30</v>
      </c>
      <c r="P49" s="725">
        <f>IF(P$18='5.Variables'!$B$16,+'5.Variables'!$H28,+IF(P$18='5.Variables'!$B$39,+'5.Variables'!$H52,+IF(P$18='5.Variables'!$B$62,+'5.Variables'!$H66,+IF(P$18='5.Variables'!$B$76,+'5.Variables'!$H80,+IF(P$18='5.Variables'!$B$90,+'5.Variables'!$H94,+IF(P$18='5.Variables'!$B$104,+'5.Variables'!$H108,0))))))</f>
        <v>0</v>
      </c>
      <c r="Q49" s="245"/>
      <c r="R49" s="558">
        <f t="shared" si="1"/>
        <v>14985236.005706294</v>
      </c>
      <c r="S49" s="265"/>
      <c r="T49" s="245"/>
      <c r="U49" s="250">
        <f>'4. Customer Growth'!B20</f>
        <v>2008</v>
      </c>
      <c r="V49" s="267">
        <f>SUM(J56:J67)</f>
        <v>194146899.85907778</v>
      </c>
      <c r="W49" s="268">
        <f t="shared" si="4"/>
        <v>-5.4339022813819519E-2</v>
      </c>
      <c r="X49" s="267">
        <f>S67</f>
        <v>199499870.71552044</v>
      </c>
      <c r="Y49" s="268">
        <f t="shared" si="4"/>
        <v>-3.1484826636746814E-3</v>
      </c>
      <c r="Z49" s="268">
        <f t="shared" si="3"/>
        <v>2.7571755512594498E-2</v>
      </c>
      <c r="AA49" s="245"/>
      <c r="AB49" s="245"/>
      <c r="AC49" s="245"/>
      <c r="AD49" s="245"/>
      <c r="AE49" s="245"/>
      <c r="AF49" s="245"/>
      <c r="AG49" s="245"/>
      <c r="AH49" s="245"/>
      <c r="AI49" s="245"/>
      <c r="AJ49" s="245"/>
      <c r="AK49" s="245"/>
      <c r="AL49" s="245"/>
      <c r="AM49" s="245"/>
    </row>
    <row r="50" spans="1:39" x14ac:dyDescent="0.2">
      <c r="A50" s="503">
        <f t="shared" si="2"/>
        <v>31</v>
      </c>
      <c r="B50" s="262" t="str">
        <f>CONCATENATE('3. Consumption by Rate Class'!B55,"-",'3. Consumption by Rate Class'!C55)</f>
        <v>2007-July</v>
      </c>
      <c r="C50" s="697">
        <v>15701638.34</v>
      </c>
      <c r="D50" s="703">
        <v>-18600</v>
      </c>
      <c r="E50" s="707"/>
      <c r="F50" s="703"/>
      <c r="G50" s="703"/>
      <c r="H50" s="704"/>
      <c r="I50" s="704"/>
      <c r="J50" s="263">
        <f t="shared" si="0"/>
        <v>15683038.34</v>
      </c>
      <c r="K50" s="725">
        <f>IF(K$18='5.Variables'!$B$16,+'5.Variables'!$I29,+IF(K$18='5.Variables'!$B$39,+'5.Variables'!$I52,+IF(K$18='5.Variables'!$B$62,+'5.Variables'!$I66,+IF(K$18='5.Variables'!$B$76,+'5.Variables'!$I80,+IF(K$18='5.Variables'!$B$90,+'5.Variables'!$I94,+IF(K$18='5.Variables'!$B$104,+'5.Variables'!$I108,0))))))</f>
        <v>11.8</v>
      </c>
      <c r="L50" s="725">
        <f>IF(L$18='5.Variables'!$B$16,+'5.Variables'!$I28,+IF(L$18='5.Variables'!$B$39,+'5.Variables'!$I52,+IF(L$18='5.Variables'!$B$62,+'5.Variables'!$I66,+IF(L$18='5.Variables'!$B$76,+'5.Variables'!$I80,+IF(L$18='5.Variables'!$B$90,+'5.Variables'!$I94,+IF(L$18='5.Variables'!$B$104,+'5.Variables'!$I108,0))))))</f>
        <v>65.099999999999994</v>
      </c>
      <c r="M50" s="725">
        <f>IF(M$18='5.Variables'!$B$16,+'5.Variables'!$I28,+IF(M$18='5.Variables'!$B$39,+'5.Variables'!$I52,+IF(M$18='5.Variables'!$B$62,+'5.Variables'!$I66,+IF(M$18='5.Variables'!$B$76,+'5.Variables'!$I80,+IF(M$18='5.Variables'!$B$90,+'5.Variables'!$I94,+IF(M$18='5.Variables'!$B$104,+'5.Variables'!$I108,0))))))</f>
        <v>0</v>
      </c>
      <c r="N50" s="725">
        <f>IF(N$18='5.Variables'!$B$16,+'5.Variables'!$I28,+IF(N$18='5.Variables'!$B$39,+'5.Variables'!$I52,+IF(N$18='5.Variables'!$B$62,+'5.Variables'!$I66,+IF(N$18='5.Variables'!$B$76,+'5.Variables'!$I80,+IF(N$18='5.Variables'!$B$90,+'5.Variables'!$I94,+IF(N$18='5.Variables'!$B$104,+'5.Variables'!$I108,0))))))</f>
        <v>1</v>
      </c>
      <c r="O50" s="725">
        <f>IF(O$18='5.Variables'!$B$16,+'5.Variables'!$I28,+IF(O$18='5.Variables'!$B$39,+'5.Variables'!$I52,+IF(O$18='5.Variables'!$B$62,+'5.Variables'!$I66,+IF(O$18='5.Variables'!$B$76,+'5.Variables'!$I80,+IF(O$18='5.Variables'!$B$90,+'5.Variables'!$I94,+IF(O$18='5.Variables'!$B$104,+'5.Variables'!$I108,0))))))</f>
        <v>31</v>
      </c>
      <c r="P50" s="725">
        <f>IF(P$18='5.Variables'!$B$16,+'5.Variables'!$I28,+IF(P$18='5.Variables'!$B$39,+'5.Variables'!$I52,+IF(P$18='5.Variables'!$B$62,+'5.Variables'!$I66,+IF(P$18='5.Variables'!$B$76,+'5.Variables'!$I80,+IF(P$18='5.Variables'!$B$90,+'5.Variables'!$I94,+IF(P$18='5.Variables'!$B$104,+'5.Variables'!$I108,0))))))</f>
        <v>0</v>
      </c>
      <c r="Q50" s="245"/>
      <c r="R50" s="558">
        <f t="shared" si="1"/>
        <v>15292289.882487599</v>
      </c>
      <c r="S50" s="265"/>
      <c r="T50" s="245"/>
      <c r="U50" s="250">
        <f>'4. Customer Growth'!B21</f>
        <v>2009</v>
      </c>
      <c r="V50" s="267">
        <f>SUM(J68:J79)</f>
        <v>201115656.45999998</v>
      </c>
      <c r="W50" s="268">
        <f t="shared" si="4"/>
        <v>3.5894246088814676E-2</v>
      </c>
      <c r="X50" s="267">
        <f>S79</f>
        <v>198852587.20216557</v>
      </c>
      <c r="Y50" s="268">
        <f t="shared" si="4"/>
        <v>-3.2445309915908188E-3</v>
      </c>
      <c r="Z50" s="268">
        <f t="shared" si="3"/>
        <v>-1.1252576242290256E-2</v>
      </c>
      <c r="AA50" s="245"/>
      <c r="AB50" s="245"/>
      <c r="AC50" s="245"/>
      <c r="AD50" s="245"/>
      <c r="AE50" s="245"/>
      <c r="AF50" s="245"/>
      <c r="AG50" s="245"/>
      <c r="AH50" s="245"/>
      <c r="AI50" s="245"/>
      <c r="AJ50" s="245"/>
      <c r="AK50" s="245"/>
      <c r="AL50" s="245"/>
      <c r="AM50" s="245"/>
    </row>
    <row r="51" spans="1:39" x14ac:dyDescent="0.2">
      <c r="A51" s="503">
        <f t="shared" si="2"/>
        <v>32</v>
      </c>
      <c r="B51" s="262" t="str">
        <f>CONCATENATE('3. Consumption by Rate Class'!B56,"-",'3. Consumption by Rate Class'!C56)</f>
        <v>2007-August</v>
      </c>
      <c r="C51" s="697">
        <v>15347848.23</v>
      </c>
      <c r="D51" s="703">
        <v>-46800</v>
      </c>
      <c r="E51" s="707"/>
      <c r="F51" s="703"/>
      <c r="G51" s="703"/>
      <c r="H51" s="704"/>
      <c r="I51" s="704"/>
      <c r="J51" s="263">
        <f t="shared" si="0"/>
        <v>15301048.23</v>
      </c>
      <c r="K51" s="725">
        <f>IF(K$18='5.Variables'!$B$16,+'5.Variables'!$J29,+IF(K$18='5.Variables'!$B$39,+'5.Variables'!$J52,+IF(K$18='5.Variables'!$B$62,+'5.Variables'!$J66,+IF(K$18='5.Variables'!$B$76,+'5.Variables'!$J80,+IF(K$18='5.Variables'!$B$90,+'5.Variables'!$J94,+IF(K$18='5.Variables'!$B$104,+'5.Variables'!$J108,0))))))</f>
        <v>20.100000000000001</v>
      </c>
      <c r="L51" s="725">
        <f>IF(L$18='5.Variables'!$B$16,+'5.Variables'!$J28,+IF(L$18='5.Variables'!$B$39,+'5.Variables'!$J52,+IF(L$18='5.Variables'!$B$62,+'5.Variables'!$J66,+IF(L$18='5.Variables'!$B$76,+'5.Variables'!$J80,+IF(L$18='5.Variables'!$B$90,+'5.Variables'!$J94,+IF(L$18='5.Variables'!$B$104,+'5.Variables'!$J108,0))))))</f>
        <v>79.3</v>
      </c>
      <c r="M51" s="725">
        <f>IF(M$18='5.Variables'!$B$16,+'5.Variables'!$J28,+IF(M$18='5.Variables'!$B$39,+'5.Variables'!$J52,+IF(M$18='5.Variables'!$B$62,+'5.Variables'!$J66,+IF(M$18='5.Variables'!$B$76,+'5.Variables'!$J80,+IF(M$18='5.Variables'!$B$90,+'5.Variables'!$J94,+IF(M$18='5.Variables'!$B$104,+'5.Variables'!$J108,0))))))</f>
        <v>0</v>
      </c>
      <c r="N51" s="725">
        <f>IF(N$18='5.Variables'!$B$16,+'5.Variables'!$J28,+IF(N$18='5.Variables'!$B$39,+'5.Variables'!$J52,+IF(N$18='5.Variables'!$B$62,+'5.Variables'!$J66,+IF(N$18='5.Variables'!$B$76,+'5.Variables'!$J80,+IF(N$18='5.Variables'!$B$90,+'5.Variables'!$J94,+IF(N$18='5.Variables'!$B$104,+'5.Variables'!$J108,0))))))</f>
        <v>0</v>
      </c>
      <c r="O51" s="725">
        <f>IF(O$18='5.Variables'!$B$16,+'5.Variables'!$J28,+IF(O$18='5.Variables'!$B$39,+'5.Variables'!$J52,+IF(O$18='5.Variables'!$B$62,+'5.Variables'!$J66,+IF(O$18='5.Variables'!$B$76,+'5.Variables'!$J80,+IF(O$18='5.Variables'!$B$90,+'5.Variables'!$J94,+IF(O$18='5.Variables'!$B$104,+'5.Variables'!$J108,0))))))</f>
        <v>31</v>
      </c>
      <c r="P51" s="725">
        <f>IF(P$18='5.Variables'!$B$16,+'5.Variables'!$J28,+IF(P$18='5.Variables'!$B$39,+'5.Variables'!$J52,+IF(P$18='5.Variables'!$B$62,+'5.Variables'!$J66,+IF(P$18='5.Variables'!$B$76,+'5.Variables'!$J80,+IF(P$18='5.Variables'!$B$90,+'5.Variables'!$J94,+IF(P$18='5.Variables'!$B$104,+'5.Variables'!$J108,0))))))</f>
        <v>0</v>
      </c>
      <c r="Q51" s="245"/>
      <c r="R51" s="558">
        <f t="shared" si="1"/>
        <v>15336650.008367505</v>
      </c>
      <c r="S51" s="265"/>
      <c r="T51" s="245"/>
      <c r="U51" s="250">
        <f>'4. Customer Growth'!B22</f>
        <v>2010</v>
      </c>
      <c r="V51" s="267">
        <f>SUM(J80:J91)</f>
        <v>197081317.46300003</v>
      </c>
      <c r="W51" s="268">
        <f t="shared" si="4"/>
        <v>-2.0059795781251579E-2</v>
      </c>
      <c r="X51" s="267">
        <f>S91</f>
        <v>199110325.82630143</v>
      </c>
      <c r="Y51" s="268">
        <f t="shared" si="4"/>
        <v>1.2961290962426311E-3</v>
      </c>
      <c r="Z51" s="268">
        <f t="shared" si="3"/>
        <v>1.0295285161579669E-2</v>
      </c>
      <c r="AA51" s="245"/>
      <c r="AB51" s="245"/>
      <c r="AC51" s="245"/>
      <c r="AD51" s="245"/>
      <c r="AE51" s="245"/>
      <c r="AF51" s="245"/>
      <c r="AG51" s="245"/>
      <c r="AH51" s="245"/>
      <c r="AI51" s="245"/>
      <c r="AJ51" s="245"/>
      <c r="AK51" s="245"/>
      <c r="AL51" s="245"/>
      <c r="AM51" s="245"/>
    </row>
    <row r="52" spans="1:39" x14ac:dyDescent="0.2">
      <c r="A52" s="503">
        <f t="shared" si="2"/>
        <v>33</v>
      </c>
      <c r="B52" s="262" t="str">
        <f>CONCATENATE('3. Consumption by Rate Class'!B57,"-",'3. Consumption by Rate Class'!C57)</f>
        <v>2007-September</v>
      </c>
      <c r="C52" s="697">
        <v>15532450.050000001</v>
      </c>
      <c r="D52" s="703">
        <v>-37200</v>
      </c>
      <c r="E52" s="707"/>
      <c r="F52" s="703"/>
      <c r="G52" s="703"/>
      <c r="H52" s="704"/>
      <c r="I52" s="704"/>
      <c r="J52" s="263">
        <f t="shared" si="0"/>
        <v>15495250.050000001</v>
      </c>
      <c r="K52" s="725">
        <f>IF(K$18='5.Variables'!$B$16,+'5.Variables'!$K29,+IF(K$18='5.Variables'!$B$39,+'5.Variables'!$K52,+IF(K$18='5.Variables'!$B$62,+'5.Variables'!$K66,+IF(K$18='5.Variables'!$B$76,+'5.Variables'!$K80,+IF(K$18='5.Variables'!$B$90,+'5.Variables'!$K94,+IF(K$18='5.Variables'!$B$104,+'5.Variables'!$K108,0))))))</f>
        <v>76</v>
      </c>
      <c r="L52" s="725">
        <f>IF(L$18='5.Variables'!$B$16,+'5.Variables'!$K28,+IF(L$18='5.Variables'!$B$39,+'5.Variables'!$K52,+IF(L$18='5.Variables'!$B$62,+'5.Variables'!$K66,+IF(L$18='5.Variables'!$B$76,+'5.Variables'!$K80,+IF(L$18='5.Variables'!$B$90,+'5.Variables'!$K94,+IF(L$18='5.Variables'!$B$104,+'5.Variables'!$K108,0))))))</f>
        <v>25.7</v>
      </c>
      <c r="M52" s="725">
        <f>IF(M$18='5.Variables'!$B$16,+'5.Variables'!$K28,+IF(M$18='5.Variables'!$B$39,+'5.Variables'!$K52,+IF(M$18='5.Variables'!$B$62,+'5.Variables'!$K66,+IF(M$18='5.Variables'!$B$76,+'5.Variables'!$K80,+IF(M$18='5.Variables'!$B$90,+'5.Variables'!$K94,+IF(M$18='5.Variables'!$B$104,+'5.Variables'!$K108,0))))))</f>
        <v>0</v>
      </c>
      <c r="N52" s="725">
        <f>IF(N$18='5.Variables'!$B$16,+'5.Variables'!$K28,+IF(N$18='5.Variables'!$B$39,+'5.Variables'!$K52,+IF(N$18='5.Variables'!$B$62,+'5.Variables'!$K66,+IF(N$18='5.Variables'!$B$76,+'5.Variables'!$K80,+IF(N$18='5.Variables'!$B$90,+'5.Variables'!$K94,+IF(N$18='5.Variables'!$B$104,+'5.Variables'!$K108,0))))))</f>
        <v>0</v>
      </c>
      <c r="O52" s="725">
        <f>IF(O$18='5.Variables'!$B$16,+'5.Variables'!$K28,+IF(O$18='5.Variables'!$B$39,+'5.Variables'!$K52,+IF(O$18='5.Variables'!$B$62,+'5.Variables'!$K66,+IF(O$18='5.Variables'!$B$76,+'5.Variables'!$K80,+IF(O$18='5.Variables'!$B$90,+'5.Variables'!$K94,+IF(O$18='5.Variables'!$B$104,+'5.Variables'!$K108,0))))))</f>
        <v>30</v>
      </c>
      <c r="P52" s="725">
        <f>IF(P$18='5.Variables'!$B$16,+'5.Variables'!$K28,+IF(P$18='5.Variables'!$B$39,+'5.Variables'!$K52,+IF(P$18='5.Variables'!$B$62,+'5.Variables'!$K66,+IF(P$18='5.Variables'!$B$76,+'5.Variables'!$K80,+IF(P$18='5.Variables'!$B$90,+'5.Variables'!$K94,+IF(P$18='5.Variables'!$B$104,+'5.Variables'!$K108,0))))))</f>
        <v>0</v>
      </c>
      <c r="Q52" s="245"/>
      <c r="R52" s="558">
        <f t="shared" si="1"/>
        <v>14274492.143078016</v>
      </c>
      <c r="S52" s="265"/>
      <c r="T52" s="245"/>
      <c r="U52" s="250">
        <f>'4. Customer Growth'!B23</f>
        <v>2011</v>
      </c>
      <c r="V52" s="267">
        <f>SUM(J92:J103)</f>
        <v>199623009.43799999</v>
      </c>
      <c r="W52" s="268">
        <f t="shared" si="4"/>
        <v>1.2896666247814893E-2</v>
      </c>
      <c r="X52" s="267">
        <f>S103:S103</f>
        <v>197163923.49149352</v>
      </c>
      <c r="Y52" s="268">
        <f t="shared" si="4"/>
        <v>-9.7754967088240947E-3</v>
      </c>
      <c r="Z52" s="268">
        <f t="shared" si="3"/>
        <v>-1.2318649806099766E-2</v>
      </c>
      <c r="AA52" s="245"/>
      <c r="AB52" s="245"/>
      <c r="AC52" s="245"/>
      <c r="AD52" s="245"/>
      <c r="AE52" s="245"/>
      <c r="AF52" s="245"/>
      <c r="AG52" s="245"/>
      <c r="AH52" s="245"/>
      <c r="AI52" s="245"/>
      <c r="AJ52" s="245"/>
      <c r="AK52" s="245"/>
      <c r="AL52" s="245"/>
      <c r="AM52" s="245"/>
    </row>
    <row r="53" spans="1:39" x14ac:dyDescent="0.2">
      <c r="A53" s="503">
        <f t="shared" si="2"/>
        <v>34</v>
      </c>
      <c r="B53" s="262" t="str">
        <f>CONCATENATE('3. Consumption by Rate Class'!B58,"-",'3. Consumption by Rate Class'!C58)</f>
        <v>2007-October</v>
      </c>
      <c r="C53" s="697">
        <v>14439653.280000001</v>
      </c>
      <c r="D53" s="703">
        <v>-38400</v>
      </c>
      <c r="E53" s="707"/>
      <c r="F53" s="703"/>
      <c r="G53" s="703"/>
      <c r="H53" s="704"/>
      <c r="I53" s="704"/>
      <c r="J53" s="263">
        <f t="shared" si="0"/>
        <v>14401253.280000001</v>
      </c>
      <c r="K53" s="725">
        <f>IF(K$18='5.Variables'!$B$16,+'5.Variables'!$L29,+IF(K$18='5.Variables'!$B$39,+'5.Variables'!$L52,+IF(K$18='5.Variables'!$B$62,+'5.Variables'!$L66,+IF(K$18='5.Variables'!$B$76,+'5.Variables'!$L80,+IF(K$18='5.Variables'!$B$90,+'5.Variables'!$L94,+IF(K$18='5.Variables'!$B$104,+'5.Variables'!$L108,0))))))</f>
        <v>227.5</v>
      </c>
      <c r="L53" s="725">
        <f>IF(L$18='5.Variables'!$B$16,+'5.Variables'!$L28,+IF(L$18='5.Variables'!$B$39,+'5.Variables'!$L52,+IF(L$18='5.Variables'!$B$62,+'5.Variables'!$L66,+IF(L$18='5.Variables'!$B$76,+'5.Variables'!$L80,+IF(L$18='5.Variables'!$B$90,+'5.Variables'!$L94,+IF(L$18='5.Variables'!$B$104,+'5.Variables'!$L108,0))))))</f>
        <v>1.9</v>
      </c>
      <c r="M53" s="725">
        <f>IF(M$18='5.Variables'!$B$16,+'5.Variables'!$L28,+IF(M$18='5.Variables'!$B$39,+'5.Variables'!$L52,+IF(M$18='5.Variables'!$B$62,+'5.Variables'!$L66,+IF(M$18='5.Variables'!$B$76,+'5.Variables'!$L80,+IF(M$18='5.Variables'!$B$90,+'5.Variables'!$L94,+IF(M$18='5.Variables'!$B$104,+'5.Variables'!$L108,0))))))</f>
        <v>0</v>
      </c>
      <c r="N53" s="725">
        <f>IF(N$18='5.Variables'!$B$16,+'5.Variables'!$L28,+IF(N$18='5.Variables'!$B$39,+'5.Variables'!$L52,+IF(N$18='5.Variables'!$B$62,+'5.Variables'!$L66,+IF(N$18='5.Variables'!$B$76,+'5.Variables'!$L80,+IF(N$18='5.Variables'!$B$90,+'5.Variables'!$L94,+IF(N$18='5.Variables'!$B$104,+'5.Variables'!$L108,0))))))</f>
        <v>0</v>
      </c>
      <c r="O53" s="725">
        <f>IF(O$18='5.Variables'!$B$16,+'5.Variables'!$L28,+IF(O$18='5.Variables'!$B$39,+'5.Variables'!$L52,+IF(O$18='5.Variables'!$B$62,+'5.Variables'!$L66,+IF(O$18='5.Variables'!$B$76,+'5.Variables'!$L80,+IF(O$18='5.Variables'!$B$90,+'5.Variables'!$L94,+IF(O$18='5.Variables'!$B$104,+'5.Variables'!$L108,0))))))</f>
        <v>31</v>
      </c>
      <c r="P53" s="725">
        <f>IF(P$18='5.Variables'!$B$16,+'5.Variables'!$L28,+IF(P$18='5.Variables'!$B$39,+'5.Variables'!$L52,+IF(P$18='5.Variables'!$B$62,+'5.Variables'!$L66,+IF(P$18='5.Variables'!$B$76,+'5.Variables'!$L80,+IF(P$18='5.Variables'!$B$90,+'5.Variables'!$L94,+IF(P$18='5.Variables'!$B$104,+'5.Variables'!$L108,0))))))</f>
        <v>0</v>
      </c>
      <c r="Q53" s="245"/>
      <c r="R53" s="558">
        <f t="shared" si="1"/>
        <v>14843728.96567579</v>
      </c>
      <c r="S53" s="265"/>
      <c r="T53" s="245"/>
      <c r="U53" s="250">
        <f>'4. Customer Growth'!B24</f>
        <v>2012</v>
      </c>
      <c r="V53" s="267">
        <f>SUM(J104:J115)</f>
        <v>194771161.25000003</v>
      </c>
      <c r="W53" s="268">
        <f t="shared" si="4"/>
        <v>-2.430505482138259E-2</v>
      </c>
      <c r="X53" s="267">
        <f>S115</f>
        <v>200033688.73731855</v>
      </c>
      <c r="Y53" s="268">
        <f t="shared" si="4"/>
        <v>1.4555224886001196E-2</v>
      </c>
      <c r="Z53" s="268">
        <f t="shared" si="3"/>
        <v>2.7019028143307922E-2</v>
      </c>
      <c r="AA53" s="245"/>
      <c r="AB53" s="245"/>
      <c r="AC53" s="245"/>
      <c r="AD53" s="245"/>
      <c r="AE53" s="245"/>
      <c r="AF53" s="245"/>
      <c r="AG53" s="245"/>
      <c r="AH53" s="245"/>
      <c r="AI53" s="245"/>
      <c r="AJ53" s="245"/>
      <c r="AK53" s="245"/>
      <c r="AL53" s="245"/>
      <c r="AM53" s="245"/>
    </row>
    <row r="54" spans="1:39" x14ac:dyDescent="0.2">
      <c r="A54" s="503">
        <f t="shared" si="2"/>
        <v>35</v>
      </c>
      <c r="B54" s="262" t="str">
        <f>CONCATENATE('3. Consumption by Rate Class'!B59,"-",'3. Consumption by Rate Class'!C59)</f>
        <v>2007-November</v>
      </c>
      <c r="C54" s="697">
        <v>18194599.109999999</v>
      </c>
      <c r="D54" s="703">
        <v>-39000</v>
      </c>
      <c r="E54" s="707"/>
      <c r="F54" s="703"/>
      <c r="G54" s="703"/>
      <c r="H54" s="704"/>
      <c r="I54" s="704"/>
      <c r="J54" s="263">
        <f t="shared" si="0"/>
        <v>18155599.109999999</v>
      </c>
      <c r="K54" s="725">
        <f>IF(K$18='5.Variables'!$B$16,+'5.Variables'!$M29,+IF(K$18='5.Variables'!$B$39,+'5.Variables'!$M52,+IF(K$18='5.Variables'!$B$62,+'5.Variables'!$M66,+IF(K$18='5.Variables'!$B$76,+'5.Variables'!$M80,+IF(K$18='5.Variables'!$B$90,+'5.Variables'!$M94,+IF(K$18='5.Variables'!$B$104,+'5.Variables'!$M108,0))))))</f>
        <v>517</v>
      </c>
      <c r="L54" s="725">
        <f>IF(L$18='5.Variables'!$B$16,+'5.Variables'!$M28,+IF(L$18='5.Variables'!$B$39,+'5.Variables'!$M52,+IF(L$18='5.Variables'!$B$62,+'5.Variables'!$M66,+IF(L$18='5.Variables'!$B$76,+'5.Variables'!$M80,+IF(L$18='5.Variables'!$B$90,+'5.Variables'!$M94,+IF(L$18='5.Variables'!$B$104,+'5.Variables'!$M108,0))))))</f>
        <v>0</v>
      </c>
      <c r="M54" s="725">
        <f>IF(M$18='5.Variables'!$B$16,+'5.Variables'!$M28,+IF(M$18='5.Variables'!$B$39,+'5.Variables'!$M52,+IF(M$18='5.Variables'!$B$62,+'5.Variables'!$M66,+IF(M$18='5.Variables'!$B$76,+'5.Variables'!$M80,+IF(M$18='5.Variables'!$B$90,+'5.Variables'!$M94,+IF(M$18='5.Variables'!$B$104,+'5.Variables'!$M108,0))))))</f>
        <v>0</v>
      </c>
      <c r="N54" s="725">
        <f>IF(N$18='5.Variables'!$B$16,+'5.Variables'!$M28,+IF(N$18='5.Variables'!$B$39,+'5.Variables'!$M52,+IF(N$18='5.Variables'!$B$62,+'5.Variables'!$M66,+IF(N$18='5.Variables'!$B$76,+'5.Variables'!$M80,+IF(N$18='5.Variables'!$B$90,+'5.Variables'!$M94,+IF(N$18='5.Variables'!$B$104,+'5.Variables'!$M108,0))))))</f>
        <v>0</v>
      </c>
      <c r="O54" s="725">
        <f>IF(O$18='5.Variables'!$B$16,+'5.Variables'!$M28,+IF(O$18='5.Variables'!$B$39,+'5.Variables'!$M52,+IF(O$18='5.Variables'!$B$62,+'5.Variables'!$M66,+IF(O$18='5.Variables'!$B$76,+'5.Variables'!$M80,+IF(O$18='5.Variables'!$B$90,+'5.Variables'!$M94,+IF(O$18='5.Variables'!$B$104,+'5.Variables'!$M108,0))))))</f>
        <v>30</v>
      </c>
      <c r="P54" s="725">
        <f>IF(P$18='5.Variables'!$B$16,+'5.Variables'!$M28,+IF(P$18='5.Variables'!$B$39,+'5.Variables'!$M52,+IF(P$18='5.Variables'!$B$62,+'5.Variables'!$M66,+IF(P$18='5.Variables'!$B$76,+'5.Variables'!$M80,+IF(P$18='5.Variables'!$B$90,+'5.Variables'!$M94,+IF(P$18='5.Variables'!$B$104,+'5.Variables'!$M108,0))))))</f>
        <v>0</v>
      </c>
      <c r="Q54" s="245"/>
      <c r="R54" s="558">
        <f t="shared" si="1"/>
        <v>16543089.953325884</v>
      </c>
      <c r="S54" s="265"/>
      <c r="T54" s="245"/>
      <c r="U54" s="250">
        <f>'4. Customer Growth'!B25</f>
        <v>2013</v>
      </c>
      <c r="V54" s="267">
        <f>SUM(J116:J127)</f>
        <v>198259056.0149</v>
      </c>
      <c r="W54" s="268">
        <f t="shared" si="4"/>
        <v>1.7907655027137488E-2</v>
      </c>
      <c r="X54" s="267">
        <f>S127</f>
        <v>199265600.47060758</v>
      </c>
      <c r="Y54" s="268">
        <f t="shared" si="4"/>
        <v>-3.8397945444060156E-3</v>
      </c>
      <c r="Z54" s="268">
        <f t="shared" si="3"/>
        <v>5.0769154052258464E-3</v>
      </c>
      <c r="AA54" s="245"/>
      <c r="AB54" s="245"/>
      <c r="AC54" s="245"/>
      <c r="AD54" s="245"/>
      <c r="AE54" s="245"/>
      <c r="AF54" s="245"/>
      <c r="AG54" s="245"/>
      <c r="AH54" s="245"/>
      <c r="AI54" s="245"/>
      <c r="AJ54" s="245"/>
      <c r="AK54" s="245"/>
      <c r="AL54" s="245"/>
      <c r="AM54" s="245"/>
    </row>
    <row r="55" spans="1:39" x14ac:dyDescent="0.2">
      <c r="A55" s="503">
        <f t="shared" si="2"/>
        <v>36</v>
      </c>
      <c r="B55" s="522" t="str">
        <f>CONCATENATE('3. Consumption by Rate Class'!B60,"-",'3. Consumption by Rate Class'!C60)</f>
        <v>2007-December</v>
      </c>
      <c r="C55" s="698">
        <v>21797378.050000001</v>
      </c>
      <c r="D55" s="705">
        <v>-32400</v>
      </c>
      <c r="E55" s="705"/>
      <c r="F55" s="705"/>
      <c r="G55" s="705"/>
      <c r="H55" s="706"/>
      <c r="I55" s="706"/>
      <c r="J55" s="263">
        <f t="shared" si="0"/>
        <v>21764978.050000001</v>
      </c>
      <c r="K55" s="725">
        <f>IF(K$18='5.Variables'!$B$16,+'5.Variables'!$N29,+IF(K$18='5.Variables'!$B$39,+'5.Variables'!$N52,+IF(K$18='5.Variables'!$B$62,+'5.Variables'!$N66,+IF(K$18='5.Variables'!$B$76,+'5.Variables'!$N80,+IF(K$18='5.Variables'!$B$90,+'5.Variables'!$N94,+IF(K$18='5.Variables'!$B$104,+'5.Variables'!$N108,0))))))</f>
        <v>787.7</v>
      </c>
      <c r="L55" s="725">
        <f>IF(L$18='5.Variables'!$B$16,+'5.Variables'!$N28,+IF(L$18='5.Variables'!$B$39,+'5.Variables'!$N52,+IF(L$18='5.Variables'!$B$62,+'5.Variables'!$N66,+IF(L$18='5.Variables'!$B$76,+'5.Variables'!$N80,+IF(L$18='5.Variables'!$B$90,+'5.Variables'!$N94,+IF(L$18='5.Variables'!$B$104,+'5.Variables'!$N108,0))))))</f>
        <v>0</v>
      </c>
      <c r="M55" s="725">
        <f>IF(M$18='5.Variables'!$B$16,+'5.Variables'!$N28,+IF(M$18='5.Variables'!$B$39,+'5.Variables'!$N52,+IF(M$18='5.Variables'!$B$62,+'5.Variables'!$N66,+IF(M$18='5.Variables'!$B$76,+'5.Variables'!$N80,+IF(M$18='5.Variables'!$B$90,+'5.Variables'!$N94,+IF(M$18='5.Variables'!$B$104,+'5.Variables'!$N108,0))))))</f>
        <v>1</v>
      </c>
      <c r="N55" s="725">
        <f>IF(N$18='5.Variables'!$B$16,+'5.Variables'!$N28,+IF(N$18='5.Variables'!$B$39,+'5.Variables'!$N52,+IF(N$18='5.Variables'!$B$62,+'5.Variables'!$N66,+IF(N$18='5.Variables'!$B$76,+'5.Variables'!$N80,+IF(N$18='5.Variables'!$B$90,+'5.Variables'!$N94,+IF(N$18='5.Variables'!$B$104,+'5.Variables'!$N108,0))))))</f>
        <v>1</v>
      </c>
      <c r="O55" s="725">
        <f>IF(O$18='5.Variables'!$B$16,+'5.Variables'!$N28,+IF(O$18='5.Variables'!$B$39,+'5.Variables'!$N52,+IF(O$18='5.Variables'!$B$62,+'5.Variables'!$N66,+IF(O$18='5.Variables'!$B$76,+'5.Variables'!$N80,+IF(O$18='5.Variables'!$B$90,+'5.Variables'!$N94,+IF(O$18='5.Variables'!$B$104,+'5.Variables'!$N108,0))))))</f>
        <v>31</v>
      </c>
      <c r="P55" s="725">
        <f>IF(P$18='5.Variables'!$B$16,+'5.Variables'!$N28,+IF(P$18='5.Variables'!$B$39,+'5.Variables'!$N52,+IF(P$18='5.Variables'!$B$62,+'5.Variables'!$N66,+IF(P$18='5.Variables'!$B$76,+'5.Variables'!$N80,+IF(P$18='5.Variables'!$B$90,+'5.Variables'!$N94,+IF(P$18='5.Variables'!$B$104,+'5.Variables'!$N108,0))))))</f>
        <v>0</v>
      </c>
      <c r="Q55" s="245"/>
      <c r="R55" s="558">
        <f t="shared" si="1"/>
        <v>20411119.784414779</v>
      </c>
      <c r="S55" s="265">
        <f>SUM(R44:R55)</f>
        <v>200129976.47693971</v>
      </c>
      <c r="T55" s="245"/>
      <c r="U55" s="250">
        <f>'4. Customer Growth'!B26</f>
        <v>2014</v>
      </c>
      <c r="V55" s="267">
        <f>SUM(J128:J139)</f>
        <v>191637148.35999998</v>
      </c>
      <c r="W55" s="268">
        <f t="shared" si="4"/>
        <v>-3.3400278342908839E-2</v>
      </c>
      <c r="X55" s="267">
        <f>S139</f>
        <v>200120990.86278558</v>
      </c>
      <c r="Y55" s="268">
        <f t="shared" si="4"/>
        <v>4.2927147995329594E-3</v>
      </c>
      <c r="Z55" s="268">
        <f t="shared" si="3"/>
        <v>4.4270344113283663E-2</v>
      </c>
      <c r="AA55" s="245"/>
      <c r="AB55" s="245"/>
      <c r="AC55" s="245"/>
      <c r="AD55" s="245"/>
      <c r="AE55" s="245"/>
      <c r="AF55" s="245"/>
      <c r="AG55" s="245"/>
      <c r="AH55" s="245"/>
      <c r="AI55" s="245"/>
      <c r="AJ55" s="245"/>
      <c r="AK55" s="245"/>
      <c r="AL55" s="245"/>
      <c r="AM55" s="245"/>
    </row>
    <row r="56" spans="1:39" x14ac:dyDescent="0.2">
      <c r="A56" s="503">
        <f t="shared" si="2"/>
        <v>37</v>
      </c>
      <c r="B56" s="262" t="str">
        <f>CONCATENATE('3. Consumption by Rate Class'!B61,"-",'3. Consumption by Rate Class'!C61)</f>
        <v>2008-January</v>
      </c>
      <c r="C56" s="697">
        <v>18319619</v>
      </c>
      <c r="D56" s="703">
        <v>-33600</v>
      </c>
      <c r="E56" s="707"/>
      <c r="F56" s="703"/>
      <c r="G56" s="703"/>
      <c r="H56" s="704"/>
      <c r="I56" s="704"/>
      <c r="J56" s="263">
        <f t="shared" si="0"/>
        <v>18286019</v>
      </c>
      <c r="K56" s="725">
        <f>IF(K$18='5.Variables'!$B$16,+'5.Variables'!$C30,+IF(K$18='5.Variables'!$B$39,+'5.Variables'!$C53,+IF(K$18='5.Variables'!$B$62,+'5.Variables'!$C67,+IF(K$18='5.Variables'!$B$76,+'5.Variables'!$C81,+IF(K$18='5.Variables'!$B$90,+'5.Variables'!$C95,+IF(K$18='5.Variables'!$B$104,+'5.Variables'!$C109,0))))))</f>
        <v>754.2</v>
      </c>
      <c r="L56" s="725">
        <f>IF(L$18='5.Variables'!$B$16,+'5.Variables'!$C29,+IF(L$18='5.Variables'!$B$39,+'5.Variables'!$C53,+IF(L$18='5.Variables'!$B$62,+'5.Variables'!$C67,+IF(L$18='5.Variables'!$B$76,+'5.Variables'!$C81,+IF(L$18='5.Variables'!$B$90,+'5.Variables'!$C95,+IF(L$18='5.Variables'!$B$104,+'5.Variables'!$C109,0))))))</f>
        <v>0</v>
      </c>
      <c r="M56" s="725">
        <f>IF(M$18='5.Variables'!$B$16,+'5.Variables'!$C29,+IF(M$18='5.Variables'!$B$39,+'5.Variables'!$C53,+IF(M$18='5.Variables'!$B$62,+'5.Variables'!$C67,+IF(M$18='5.Variables'!$B$76,+'5.Variables'!$C81,+IF(M$18='5.Variables'!$B$90,+'5.Variables'!$C95,+IF(M$18='5.Variables'!$B$104,+'5.Variables'!$C109,0))))))</f>
        <v>1</v>
      </c>
      <c r="N56" s="725">
        <f>IF(N$18='5.Variables'!$B$16,+'5.Variables'!$C29,+IF(N$18='5.Variables'!$B$39,+'5.Variables'!$C53,+IF(N$18='5.Variables'!$B$62,+'5.Variables'!$C67,+IF(N$18='5.Variables'!$B$76,+'5.Variables'!$C81,+IF(N$18='5.Variables'!$B$90,+'5.Variables'!$C95,+IF(N$18='5.Variables'!$B$104,+'5.Variables'!$C109,0))))))</f>
        <v>1</v>
      </c>
      <c r="O56" s="725">
        <f>IF(O$18='5.Variables'!$B$16,+'5.Variables'!$C29,+IF(O$18='5.Variables'!$B$39,+'5.Variables'!$C53,+IF(O$18='5.Variables'!$B$62,+'5.Variables'!$C67,+IF(O$18='5.Variables'!$B$76,+'5.Variables'!$C81,+IF(O$18='5.Variables'!$B$90,+'5.Variables'!$C95,+IF(O$18='5.Variables'!$B$104,+'5.Variables'!$C109,0))))))</f>
        <v>31</v>
      </c>
      <c r="P56" s="725">
        <f>IF(P$18='5.Variables'!$B$16,+'5.Variables'!$C29,+IF(P$18='5.Variables'!$B$39,+'5.Variables'!$C53,+IF(P$18='5.Variables'!$B$62,+'5.Variables'!$C67,+IF(P$18='5.Variables'!$B$76,+'5.Variables'!$C81,+IF(P$18='5.Variables'!$B$90,+'5.Variables'!$C95,+IF(P$18='5.Variables'!$B$104,+'5.Variables'!$C109,0))))))</f>
        <v>0</v>
      </c>
      <c r="Q56" s="245"/>
      <c r="R56" s="558">
        <f t="shared" si="1"/>
        <v>20192164.138695408</v>
      </c>
      <c r="S56" s="265"/>
      <c r="T56" s="245"/>
      <c r="U56" s="731"/>
      <c r="V56" s="732"/>
      <c r="W56" s="733"/>
      <c r="X56" s="732"/>
      <c r="Y56" s="733"/>
      <c r="Z56" s="733"/>
      <c r="AA56" s="245"/>
      <c r="AB56" s="245"/>
      <c r="AC56" s="245"/>
      <c r="AD56" s="245"/>
      <c r="AE56" s="245"/>
      <c r="AF56" s="245"/>
      <c r="AG56" s="245"/>
      <c r="AH56" s="245"/>
      <c r="AI56" s="245"/>
      <c r="AJ56" s="245"/>
      <c r="AK56" s="245"/>
      <c r="AL56" s="245"/>
      <c r="AM56" s="245"/>
    </row>
    <row r="57" spans="1:39" ht="13.5" customHeight="1" x14ac:dyDescent="0.2">
      <c r="A57" s="503">
        <f t="shared" si="2"/>
        <v>38</v>
      </c>
      <c r="B57" s="262" t="str">
        <f>CONCATENATE('3. Consumption by Rate Class'!B62,"-",'3. Consumption by Rate Class'!C62)</f>
        <v>2008-February</v>
      </c>
      <c r="C57" s="697">
        <v>18192995.420000002</v>
      </c>
      <c r="D57" s="703">
        <v>-35400</v>
      </c>
      <c r="E57" s="707"/>
      <c r="F57" s="703"/>
      <c r="G57" s="703"/>
      <c r="H57" s="704"/>
      <c r="I57" s="704"/>
      <c r="J57" s="263">
        <f t="shared" si="0"/>
        <v>18157595.420000002</v>
      </c>
      <c r="K57" s="725">
        <f>IF(K$18='5.Variables'!$B$16,+'5.Variables'!$D30,+IF(K$18='5.Variables'!$B$39,+'5.Variables'!$D53,+IF(K$18='5.Variables'!$B$62,+'5.Variables'!$D67,+IF(K$18='5.Variables'!$B$76,+'5.Variables'!$D81,+IF(K$18='5.Variables'!$B$90,+'5.Variables'!$D95,+IF(K$18='5.Variables'!$B$104,+'5.Variables'!$D109,0))))))</f>
        <v>774.3</v>
      </c>
      <c r="L57" s="725">
        <f>IF(L$18='5.Variables'!$B$16,+'5.Variables'!$D29,+IF(L$18='5.Variables'!$B$39,+'5.Variables'!$D53,+IF(L$18='5.Variables'!$B$62,+'5.Variables'!$D67,+IF(L$18='5.Variables'!$B$76,+'5.Variables'!$D81,+IF(L$18='5.Variables'!$B$90,+'5.Variables'!$D95,+IF(L$18='5.Variables'!$B$104,+'5.Variables'!$D109,0))))))</f>
        <v>0</v>
      </c>
      <c r="M57" s="725">
        <f>IF(M$18='5.Variables'!$B$16,+'5.Variables'!$D29,+IF(M$18='5.Variables'!$B$39,+'5.Variables'!$D53,+IF(M$18='5.Variables'!$B$62,+'5.Variables'!$D67,+IF(M$18='5.Variables'!$B$76,+'5.Variables'!$D81,+IF(M$18='5.Variables'!$B$90,+'5.Variables'!$D95,+IF(M$18='5.Variables'!$B$104,+'5.Variables'!$D109,0))))))</f>
        <v>1</v>
      </c>
      <c r="N57" s="725">
        <f>IF(N$18='5.Variables'!$B$16,+'5.Variables'!$D29,+IF(N$18='5.Variables'!$B$39,+'5.Variables'!$D53,+IF(N$18='5.Variables'!$B$62,+'5.Variables'!$D67,+IF(N$18='5.Variables'!$B$76,+'5.Variables'!$D81,+IF(N$18='5.Variables'!$B$90,+'5.Variables'!$D95,+IF(N$18='5.Variables'!$B$104,+'5.Variables'!$D109,0))))))</f>
        <v>0</v>
      </c>
      <c r="O57" s="725">
        <f>IF(O$18='5.Variables'!$B$16,+'5.Variables'!$D29,+IF(O$18='5.Variables'!$B$39,+'5.Variables'!$D53,+IF(O$18='5.Variables'!$B$62,+'5.Variables'!$D67,+IF(O$18='5.Variables'!$B$76,+'5.Variables'!$D81,+IF(O$18='5.Variables'!$B$90,+'5.Variables'!$D95,+IF(O$18='5.Variables'!$B$104,+'5.Variables'!$D109,0))))))</f>
        <v>29</v>
      </c>
      <c r="P57" s="725">
        <f>IF(P$18='5.Variables'!$B$16,+'5.Variables'!$D29,+IF(P$18='5.Variables'!$B$39,+'5.Variables'!$D53,+IF(P$18='5.Variables'!$B$62,+'5.Variables'!$D67,+IF(P$18='5.Variables'!$B$76,+'5.Variables'!$D81,+IF(P$18='5.Variables'!$B$90,+'5.Variables'!$D95,+IF(P$18='5.Variables'!$B$104,+'5.Variables'!$D109,0))))))</f>
        <v>0</v>
      </c>
      <c r="Q57" s="245"/>
      <c r="R57" s="558">
        <f t="shared" si="1"/>
        <v>19679657.759343438</v>
      </c>
      <c r="S57" s="265"/>
      <c r="T57" s="245"/>
      <c r="U57" s="245"/>
      <c r="V57" s="269"/>
      <c r="W57" s="269"/>
      <c r="X57" s="270"/>
      <c r="Y57" s="245"/>
      <c r="Z57" s="245"/>
      <c r="AA57" s="245"/>
      <c r="AB57" s="245"/>
      <c r="AC57" s="245"/>
      <c r="AD57" s="245"/>
      <c r="AE57" s="245"/>
      <c r="AF57" s="245"/>
      <c r="AG57" s="245"/>
      <c r="AH57" s="245"/>
      <c r="AI57" s="245"/>
      <c r="AJ57" s="245"/>
      <c r="AK57" s="245"/>
      <c r="AL57" s="245"/>
      <c r="AM57" s="245"/>
    </row>
    <row r="58" spans="1:39" x14ac:dyDescent="0.2">
      <c r="A58" s="503">
        <f t="shared" si="2"/>
        <v>39</v>
      </c>
      <c r="B58" s="262" t="str">
        <f>CONCATENATE('3. Consumption by Rate Class'!B63,"-",'3. Consumption by Rate Class'!C63)</f>
        <v>2008-March</v>
      </c>
      <c r="C58" s="697">
        <v>18595476.210000001</v>
      </c>
      <c r="D58" s="703">
        <v>-25800</v>
      </c>
      <c r="E58" s="707"/>
      <c r="F58" s="703"/>
      <c r="G58" s="703"/>
      <c r="H58" s="704"/>
      <c r="I58" s="704"/>
      <c r="J58" s="263">
        <f t="shared" si="0"/>
        <v>18569676.210000001</v>
      </c>
      <c r="K58" s="725">
        <f>IF(K$18='5.Variables'!$B$16,+'5.Variables'!$E30,+IF(K$18='5.Variables'!$B$39,+'5.Variables'!$E53,+IF(K$18='5.Variables'!$B$62,+'5.Variables'!$E67,+IF(K$18='5.Variables'!$B$76,+'5.Variables'!$E81,+IF(K$18='5.Variables'!$B$90,+'5.Variables'!$E95,+IF(K$18='5.Variables'!$B$104,+'5.Variables'!$E109,0))))))</f>
        <v>721.1</v>
      </c>
      <c r="L58" s="725">
        <f>IF(L$18='5.Variables'!$B$16,+'5.Variables'!$E29,+IF(L$18='5.Variables'!$B$39,+'5.Variables'!$E53,+IF(L$18='5.Variables'!$B$62,+'5.Variables'!$E67,+IF(L$18='5.Variables'!$B$76,+'5.Variables'!$E81,+IF(L$18='5.Variables'!$B$90,+'5.Variables'!$E95,+IF(L$18='5.Variables'!$B$104,+'5.Variables'!$E109,0))))))</f>
        <v>0</v>
      </c>
      <c r="M58" s="725">
        <f>IF(M$18='5.Variables'!$B$16,+'5.Variables'!$E29,+IF(M$18='5.Variables'!$B$39,+'5.Variables'!$E53,+IF(M$18='5.Variables'!$B$62,+'5.Variables'!$E67,+IF(M$18='5.Variables'!$B$76,+'5.Variables'!$E81,+IF(M$18='5.Variables'!$B$90,+'5.Variables'!$E95,+IF(M$18='5.Variables'!$B$104,+'5.Variables'!$E109,0))))))</f>
        <v>0</v>
      </c>
      <c r="N58" s="725">
        <f>IF(N$18='5.Variables'!$B$16,+'5.Variables'!$E29,+IF(N$18='5.Variables'!$B$39,+'5.Variables'!$E53,+IF(N$18='5.Variables'!$B$62,+'5.Variables'!$E67,+IF(N$18='5.Variables'!$B$76,+'5.Variables'!$E81,+IF(N$18='5.Variables'!$B$90,+'5.Variables'!$E95,+IF(N$18='5.Variables'!$B$104,+'5.Variables'!$E109,0))))))</f>
        <v>1</v>
      </c>
      <c r="O58" s="725">
        <f>IF(O$18='5.Variables'!$B$16,+'5.Variables'!$E29,+IF(O$18='5.Variables'!$B$39,+'5.Variables'!$E53,+IF(O$18='5.Variables'!$B$62,+'5.Variables'!$E67,+IF(O$18='5.Variables'!$B$76,+'5.Variables'!$E81,+IF(O$18='5.Variables'!$B$90,+'5.Variables'!$E95,+IF(O$18='5.Variables'!$B$104,+'5.Variables'!$E109,0))))))</f>
        <v>31</v>
      </c>
      <c r="P58" s="725">
        <f>IF(P$18='5.Variables'!$B$16,+'5.Variables'!$E29,+IF(P$18='5.Variables'!$B$39,+'5.Variables'!$E53,+IF(P$18='5.Variables'!$B$62,+'5.Variables'!$E67,+IF(P$18='5.Variables'!$B$76,+'5.Variables'!$E81,+IF(P$18='5.Variables'!$B$90,+'5.Variables'!$E95,+IF(P$18='5.Variables'!$B$104,+'5.Variables'!$E109,0))))))</f>
        <v>0</v>
      </c>
      <c r="Q58" s="245"/>
      <c r="R58" s="558">
        <f t="shared" si="1"/>
        <v>18373533.463801179</v>
      </c>
      <c r="S58" s="265"/>
      <c r="T58" s="245"/>
      <c r="U58" s="249" t="s">
        <v>33</v>
      </c>
      <c r="V58" s="249" t="s">
        <v>43</v>
      </c>
      <c r="W58" s="249" t="s">
        <v>31</v>
      </c>
      <c r="X58" s="249" t="s">
        <v>30</v>
      </c>
      <c r="Y58" s="245"/>
      <c r="Z58" s="245"/>
      <c r="AA58" s="245"/>
      <c r="AB58" s="245"/>
      <c r="AC58" s="245"/>
      <c r="AD58" s="245"/>
      <c r="AE58" s="245"/>
      <c r="AF58" s="245"/>
      <c r="AG58" s="245"/>
      <c r="AH58" s="245"/>
      <c r="AI58" s="245"/>
      <c r="AJ58" s="245"/>
      <c r="AK58" s="245"/>
      <c r="AL58" s="245"/>
      <c r="AM58" s="245"/>
    </row>
    <row r="59" spans="1:39" x14ac:dyDescent="0.2">
      <c r="A59" s="503">
        <f t="shared" si="2"/>
        <v>40</v>
      </c>
      <c r="B59" s="262" t="str">
        <f>CONCATENATE('3. Consumption by Rate Class'!B64,"-",'3. Consumption by Rate Class'!C64)</f>
        <v>2008-April</v>
      </c>
      <c r="C59" s="697">
        <v>13653101.949999999</v>
      </c>
      <c r="D59" s="703">
        <v>-31800</v>
      </c>
      <c r="E59" s="707"/>
      <c r="F59" s="703"/>
      <c r="G59" s="703"/>
      <c r="H59" s="704"/>
      <c r="I59" s="704"/>
      <c r="J59" s="263">
        <f t="shared" si="0"/>
        <v>13621301.949999999</v>
      </c>
      <c r="K59" s="725">
        <f>IF(K$18='5.Variables'!$B$16,+'5.Variables'!$F30,+IF(K$18='5.Variables'!$B$39,+'5.Variables'!$F53,+IF(K$18='5.Variables'!$B$62,+'5.Variables'!$F67,+IF(K$18='5.Variables'!$B$76,+'5.Variables'!$F81,+IF(K$18='5.Variables'!$B$90,+'5.Variables'!$F95,+IF(K$18='5.Variables'!$B$104,+'5.Variables'!$F109,0))))))</f>
        <v>299.60000000000002</v>
      </c>
      <c r="L59" s="725">
        <f>IF(L$18='5.Variables'!$B$16,+'5.Variables'!$F29,+IF(L$18='5.Variables'!$B$39,+'5.Variables'!$F53,+IF(L$18='5.Variables'!$B$62,+'5.Variables'!$F67,+IF(L$18='5.Variables'!$B$76,+'5.Variables'!$F81,+IF(L$18='5.Variables'!$B$90,+'5.Variables'!$F95,+IF(L$18='5.Variables'!$B$104,+'5.Variables'!$F109,0))))))</f>
        <v>0</v>
      </c>
      <c r="M59" s="725">
        <f>IF(M$18='5.Variables'!$B$16,+'5.Variables'!$F29,+IF(M$18='5.Variables'!$B$39,+'5.Variables'!$F53,+IF(M$18='5.Variables'!$B$62,+'5.Variables'!$F67,+IF(M$18='5.Variables'!$B$76,+'5.Variables'!$F81,+IF(M$18='5.Variables'!$B$90,+'5.Variables'!$F95,+IF(M$18='5.Variables'!$B$104,+'5.Variables'!$F109,0))))))</f>
        <v>0</v>
      </c>
      <c r="N59" s="725">
        <f>IF(N$18='5.Variables'!$B$16,+'5.Variables'!$F29,+IF(N$18='5.Variables'!$B$39,+'5.Variables'!$F53,+IF(N$18='5.Variables'!$B$62,+'5.Variables'!$F67,+IF(N$18='5.Variables'!$B$76,+'5.Variables'!$F81,+IF(N$18='5.Variables'!$B$90,+'5.Variables'!$F95,+IF(N$18='5.Variables'!$B$104,+'5.Variables'!$F109,0))))))</f>
        <v>0</v>
      </c>
      <c r="O59" s="725">
        <f>IF(O$18='5.Variables'!$B$16,+'5.Variables'!$F29,+IF(O$18='5.Variables'!$B$39,+'5.Variables'!$F53,+IF(O$18='5.Variables'!$B$62,+'5.Variables'!$F67,+IF(O$18='5.Variables'!$B$76,+'5.Variables'!$F81,+IF(O$18='5.Variables'!$B$90,+'5.Variables'!$F95,+IF(O$18='5.Variables'!$B$104,+'5.Variables'!$F109,0))))))</f>
        <v>30</v>
      </c>
      <c r="P59" s="725">
        <f>IF(P$18='5.Variables'!$B$16,+'5.Variables'!$F29,+IF(P$18='5.Variables'!$B$39,+'5.Variables'!$F53,+IF(P$18='5.Variables'!$B$62,+'5.Variables'!$F67,+IF(P$18='5.Variables'!$B$76,+'5.Variables'!$F81,+IF(P$18='5.Variables'!$B$90,+'5.Variables'!$F95,+IF(P$18='5.Variables'!$B$104,+'5.Variables'!$F109,0))))))</f>
        <v>0</v>
      </c>
      <c r="Q59" s="245"/>
      <c r="R59" s="558">
        <f t="shared" si="1"/>
        <v>15122165.852448527</v>
      </c>
      <c r="S59" s="265"/>
      <c r="T59" s="245"/>
      <c r="U59" s="250">
        <f>'4. Customer Growth'!B17</f>
        <v>2005</v>
      </c>
      <c r="V59" s="267">
        <f t="shared" ref="V59:V68" si="5">V46</f>
        <v>209871328.75141218</v>
      </c>
      <c r="W59" s="267">
        <f t="shared" ref="W59:W68" si="6">X46</f>
        <v>203293901.55999801</v>
      </c>
      <c r="X59" s="268">
        <f>IF(ABS(V59-W59)=0,0,ABS(V59-W59)/V59)</f>
        <v>3.1340284690363734E-2</v>
      </c>
      <c r="Y59" s="245"/>
      <c r="Z59" s="245"/>
      <c r="AA59" s="245"/>
      <c r="AB59" s="245"/>
      <c r="AC59" s="245"/>
      <c r="AD59" s="245"/>
      <c r="AE59" s="245"/>
      <c r="AF59" s="245"/>
      <c r="AG59" s="245"/>
      <c r="AH59" s="245"/>
      <c r="AI59" s="245"/>
      <c r="AJ59" s="245"/>
      <c r="AK59" s="245"/>
      <c r="AL59" s="245"/>
      <c r="AM59" s="245"/>
    </row>
    <row r="60" spans="1:39" x14ac:dyDescent="0.2">
      <c r="A60" s="503">
        <f t="shared" si="2"/>
        <v>41</v>
      </c>
      <c r="B60" s="262" t="str">
        <f>CONCATENATE('3. Consumption by Rate Class'!B65,"-",'3. Consumption by Rate Class'!C65)</f>
        <v>2008-May</v>
      </c>
      <c r="C60" s="697">
        <v>13261223.890000001</v>
      </c>
      <c r="D60" s="703">
        <v>-30000</v>
      </c>
      <c r="E60" s="707"/>
      <c r="F60" s="703"/>
      <c r="G60" s="703"/>
      <c r="H60" s="704"/>
      <c r="I60" s="704"/>
      <c r="J60" s="263">
        <f t="shared" si="0"/>
        <v>13231223.890000001</v>
      </c>
      <c r="K60" s="725">
        <f>IF(K$18='5.Variables'!$B$16,+'5.Variables'!$G30,+IF(K$18='5.Variables'!$B$39,+'5.Variables'!$G53,+IF(K$18='5.Variables'!$B$62,+'5.Variables'!$G67,+IF(K$18='5.Variables'!$B$76,+'5.Variables'!$G81,+IF(K$18='5.Variables'!$B$90,+'5.Variables'!$G95,+IF(K$18='5.Variables'!$B$104,+'5.Variables'!$G109,0))))))</f>
        <v>185.4</v>
      </c>
      <c r="L60" s="725">
        <f>IF(L$18='5.Variables'!$B$16,+'5.Variables'!$G29,+IF(L$18='5.Variables'!$B$39,+'5.Variables'!$G53,+IF(L$18='5.Variables'!$B$62,+'5.Variables'!$G67,+IF(L$18='5.Variables'!$B$76,+'5.Variables'!$G81,+IF(L$18='5.Variables'!$B$90,+'5.Variables'!$G95,+IF(L$18='5.Variables'!$B$104,+'5.Variables'!$G109,0))))))</f>
        <v>0</v>
      </c>
      <c r="M60" s="725">
        <f>IF(M$18='5.Variables'!$B$16,+'5.Variables'!$G29,+IF(M$18='5.Variables'!$B$39,+'5.Variables'!$G53,+IF(M$18='5.Variables'!$B$62,+'5.Variables'!$G67,+IF(M$18='5.Variables'!$B$76,+'5.Variables'!$G81,+IF(M$18='5.Variables'!$B$90,+'5.Variables'!$G95,+IF(M$18='5.Variables'!$B$104,+'5.Variables'!$G109,0))))))</f>
        <v>0</v>
      </c>
      <c r="N60" s="725">
        <f>IF(N$18='5.Variables'!$B$16,+'5.Variables'!$G29,+IF(N$18='5.Variables'!$B$39,+'5.Variables'!$G53,+IF(N$18='5.Variables'!$B$62,+'5.Variables'!$G67,+IF(N$18='5.Variables'!$B$76,+'5.Variables'!$G81,+IF(N$18='5.Variables'!$B$90,+'5.Variables'!$G95,+IF(N$18='5.Variables'!$B$104,+'5.Variables'!$G109,0))))))</f>
        <v>0</v>
      </c>
      <c r="O60" s="725">
        <f>IF(O$18='5.Variables'!$B$16,+'5.Variables'!$G29,+IF(O$18='5.Variables'!$B$39,+'5.Variables'!$G53,+IF(O$18='5.Variables'!$B$62,+'5.Variables'!$G67,+IF(O$18='5.Variables'!$B$76,+'5.Variables'!$G81,+IF(O$18='5.Variables'!$B$90,+'5.Variables'!$G95,+IF(O$18='5.Variables'!$B$104,+'5.Variables'!$G109,0))))))</f>
        <v>31</v>
      </c>
      <c r="P60" s="725">
        <f>IF(P$18='5.Variables'!$B$16,+'5.Variables'!$G29,+IF(P$18='5.Variables'!$B$39,+'5.Variables'!$G53,+IF(P$18='5.Variables'!$B$62,+'5.Variables'!$G67,+IF(P$18='5.Variables'!$B$76,+'5.Variables'!$G81,+IF(P$18='5.Variables'!$B$90,+'5.Variables'!$G95,+IF(P$18='5.Variables'!$B$104,+'5.Variables'!$G109,0))))))</f>
        <v>0</v>
      </c>
      <c r="Q60" s="245"/>
      <c r="R60" s="558">
        <f t="shared" si="1"/>
        <v>14523187.558015674</v>
      </c>
      <c r="S60" s="265"/>
      <c r="T60" s="245"/>
      <c r="U60" s="250">
        <f>'4. Customer Growth'!B18</f>
        <v>2006</v>
      </c>
      <c r="V60" s="267">
        <f t="shared" si="5"/>
        <v>203367791.46020103</v>
      </c>
      <c r="W60" s="267">
        <f t="shared" si="6"/>
        <v>197705360.17346084</v>
      </c>
      <c r="X60" s="268">
        <f t="shared" ref="X60:X68" si="7">IF(ABS(V60-W60)=0,0,ABS(V60-W60)/V60)</f>
        <v>2.7843304222774722E-2</v>
      </c>
      <c r="Y60" s="271"/>
      <c r="Z60" s="245"/>
      <c r="AA60" s="245"/>
      <c r="AB60" s="245"/>
      <c r="AC60" s="245"/>
      <c r="AD60" s="245"/>
      <c r="AE60" s="245"/>
      <c r="AF60" s="245"/>
      <c r="AG60" s="245"/>
      <c r="AH60" s="245"/>
      <c r="AI60" s="245"/>
      <c r="AJ60" s="245"/>
      <c r="AK60" s="245"/>
      <c r="AL60" s="245"/>
      <c r="AM60" s="245"/>
    </row>
    <row r="61" spans="1:39" x14ac:dyDescent="0.2">
      <c r="A61" s="503">
        <f t="shared" si="2"/>
        <v>42</v>
      </c>
      <c r="B61" s="262" t="str">
        <f>CONCATENATE('3. Consumption by Rate Class'!B66,"-",'3. Consumption by Rate Class'!C66)</f>
        <v>2008-June</v>
      </c>
      <c r="C61" s="697">
        <v>14214619.83</v>
      </c>
      <c r="D61" s="703">
        <v>-25200</v>
      </c>
      <c r="E61" s="707"/>
      <c r="F61" s="703"/>
      <c r="G61" s="703"/>
      <c r="H61" s="704"/>
      <c r="I61" s="704"/>
      <c r="J61" s="263">
        <f t="shared" si="0"/>
        <v>14189419.83</v>
      </c>
      <c r="K61" s="725">
        <f>IF(K$18='5.Variables'!$B$16,+'5.Variables'!$H30,+IF(K$18='5.Variables'!$B$39,+'5.Variables'!$H53,+IF(K$18='5.Variables'!$B$62,+'5.Variables'!$H67,+IF(K$18='5.Variables'!$B$76,+'5.Variables'!$H81,+IF(K$18='5.Variables'!$B$90,+'5.Variables'!$H95,+IF(K$18='5.Variables'!$B$104,+'5.Variables'!$H109,0))))))</f>
        <v>22.4</v>
      </c>
      <c r="L61" s="725">
        <f>IF(L$18='5.Variables'!$B$16,+'5.Variables'!$H29,+IF(L$18='5.Variables'!$B$39,+'5.Variables'!$H53,+IF(L$18='5.Variables'!$B$62,+'5.Variables'!$H67,+IF(L$18='5.Variables'!$B$76,+'5.Variables'!$H81,+IF(L$18='5.Variables'!$B$90,+'5.Variables'!$H95,+IF(L$18='5.Variables'!$B$104,+'5.Variables'!$H109,0))))))</f>
        <v>60.5</v>
      </c>
      <c r="M61" s="725">
        <f>IF(M$18='5.Variables'!$B$16,+'5.Variables'!$H29,+IF(M$18='5.Variables'!$B$39,+'5.Variables'!$H53,+IF(M$18='5.Variables'!$B$62,+'5.Variables'!$H67,+IF(M$18='5.Variables'!$B$76,+'5.Variables'!$H81,+IF(M$18='5.Variables'!$B$90,+'5.Variables'!$H95,+IF(M$18='5.Variables'!$B$104,+'5.Variables'!$H109,0))))))</f>
        <v>0</v>
      </c>
      <c r="N61" s="725">
        <f>IF(N$18='5.Variables'!$B$16,+'5.Variables'!$H29,+IF(N$18='5.Variables'!$B$39,+'5.Variables'!$H53,+IF(N$18='5.Variables'!$B$62,+'5.Variables'!$H67,+IF(N$18='5.Variables'!$B$76,+'5.Variables'!$H81,+IF(N$18='5.Variables'!$B$90,+'5.Variables'!$H95,+IF(N$18='5.Variables'!$B$104,+'5.Variables'!$H109,0))))))</f>
        <v>0</v>
      </c>
      <c r="O61" s="725">
        <f>IF(O$18='5.Variables'!$B$16,+'5.Variables'!$H29,+IF(O$18='5.Variables'!$B$39,+'5.Variables'!$H53,+IF(O$18='5.Variables'!$B$62,+'5.Variables'!$H67,+IF(O$18='5.Variables'!$B$76,+'5.Variables'!$H81,+IF(O$18='5.Variables'!$B$90,+'5.Variables'!$H95,+IF(O$18='5.Variables'!$B$104,+'5.Variables'!$H109,0))))))</f>
        <v>30</v>
      </c>
      <c r="P61" s="725">
        <f>IF(P$18='5.Variables'!$B$16,+'5.Variables'!$H29,+IF(P$18='5.Variables'!$B$39,+'5.Variables'!$H53,+IF(P$18='5.Variables'!$B$62,+'5.Variables'!$H67,+IF(P$18='5.Variables'!$B$76,+'5.Variables'!$H81,+IF(P$18='5.Variables'!$B$90,+'5.Variables'!$H95,+IF(P$18='5.Variables'!$B$104,+'5.Variables'!$H109,0))))))</f>
        <v>0</v>
      </c>
      <c r="Q61" s="245"/>
      <c r="R61" s="558">
        <f t="shared" si="1"/>
        <v>14755265.004972141</v>
      </c>
      <c r="S61" s="265"/>
      <c r="T61" s="245"/>
      <c r="U61" s="250">
        <f>'4. Customer Growth'!B19</f>
        <v>2007</v>
      </c>
      <c r="V61" s="267">
        <f t="shared" si="5"/>
        <v>205302856.46000004</v>
      </c>
      <c r="W61" s="267">
        <f t="shared" si="6"/>
        <v>200129976.47693971</v>
      </c>
      <c r="X61" s="268">
        <f t="shared" si="7"/>
        <v>2.5196337119976618E-2</v>
      </c>
      <c r="Y61" s="271"/>
      <c r="Z61" s="245"/>
      <c r="AA61" s="245"/>
      <c r="AB61" s="245"/>
      <c r="AC61" s="245"/>
      <c r="AD61" s="245"/>
      <c r="AE61" s="245"/>
      <c r="AF61" s="245"/>
      <c r="AG61" s="245"/>
      <c r="AH61" s="245"/>
      <c r="AI61" s="245"/>
      <c r="AJ61" s="245"/>
      <c r="AK61" s="245"/>
      <c r="AL61" s="245"/>
      <c r="AM61" s="245"/>
    </row>
    <row r="62" spans="1:39" x14ac:dyDescent="0.2">
      <c r="A62" s="503">
        <f t="shared" si="2"/>
        <v>43</v>
      </c>
      <c r="B62" s="262" t="str">
        <f>CONCATENATE('3. Consumption by Rate Class'!B67,"-",'3. Consumption by Rate Class'!C67)</f>
        <v>2008-July</v>
      </c>
      <c r="C62" s="697">
        <v>14468868.02</v>
      </c>
      <c r="D62" s="703">
        <v>-16200</v>
      </c>
      <c r="E62" s="707"/>
      <c r="F62" s="703"/>
      <c r="G62" s="703"/>
      <c r="H62" s="704"/>
      <c r="I62" s="704"/>
      <c r="J62" s="263">
        <f t="shared" si="0"/>
        <v>14452668.02</v>
      </c>
      <c r="K62" s="725">
        <f>IF(K$18='5.Variables'!$B$16,+'5.Variables'!$I30,+IF(K$18='5.Variables'!$B$39,+'5.Variables'!$I53,+IF(K$18='5.Variables'!$B$62,+'5.Variables'!$I67,+IF(K$18='5.Variables'!$B$76,+'5.Variables'!$I81,+IF(K$18='5.Variables'!$B$90,+'5.Variables'!$I95,+IF(K$18='5.Variables'!$B$104,+'5.Variables'!$I109,0))))))</f>
        <v>0.3</v>
      </c>
      <c r="L62" s="725">
        <f>IF(L$18='5.Variables'!$B$16,+'5.Variables'!$I29,+IF(L$18='5.Variables'!$B$39,+'5.Variables'!$I53,+IF(L$18='5.Variables'!$B$62,+'5.Variables'!$I67,+IF(L$18='5.Variables'!$B$76,+'5.Variables'!$I81,+IF(L$18='5.Variables'!$B$90,+'5.Variables'!$I95,+IF(L$18='5.Variables'!$B$104,+'5.Variables'!$I109,0))))))</f>
        <v>78.900000000000006</v>
      </c>
      <c r="M62" s="725">
        <f>IF(M$18='5.Variables'!$B$16,+'5.Variables'!$I29,+IF(M$18='5.Variables'!$B$39,+'5.Variables'!$I53,+IF(M$18='5.Variables'!$B$62,+'5.Variables'!$I67,+IF(M$18='5.Variables'!$B$76,+'5.Variables'!$I81,+IF(M$18='5.Variables'!$B$90,+'5.Variables'!$I95,+IF(M$18='5.Variables'!$B$104,+'5.Variables'!$I109,0))))))</f>
        <v>0</v>
      </c>
      <c r="N62" s="725">
        <f>IF(N$18='5.Variables'!$B$16,+'5.Variables'!$I29,+IF(N$18='5.Variables'!$B$39,+'5.Variables'!$I53,+IF(N$18='5.Variables'!$B$62,+'5.Variables'!$I67,+IF(N$18='5.Variables'!$B$76,+'5.Variables'!$I81,+IF(N$18='5.Variables'!$B$90,+'5.Variables'!$I95,+IF(N$18='5.Variables'!$B$104,+'5.Variables'!$I109,0))))))</f>
        <v>1</v>
      </c>
      <c r="O62" s="725">
        <f>IF(O$18='5.Variables'!$B$16,+'5.Variables'!$I29,+IF(O$18='5.Variables'!$B$39,+'5.Variables'!$I53,+IF(O$18='5.Variables'!$B$62,+'5.Variables'!$I67,+IF(O$18='5.Variables'!$B$76,+'5.Variables'!$I81,+IF(O$18='5.Variables'!$B$90,+'5.Variables'!$I95,+IF(O$18='5.Variables'!$B$104,+'5.Variables'!$I109,0))))))</f>
        <v>31</v>
      </c>
      <c r="P62" s="725">
        <f>IF(P$18='5.Variables'!$B$16,+'5.Variables'!$I29,+IF(P$18='5.Variables'!$B$39,+'5.Variables'!$I53,+IF(P$18='5.Variables'!$B$62,+'5.Variables'!$I67,+IF(P$18='5.Variables'!$B$76,+'5.Variables'!$I81,+IF(P$18='5.Variables'!$B$90,+'5.Variables'!$I95,+IF(P$18='5.Variables'!$B$104,+'5.Variables'!$I109,0))))))</f>
        <v>0</v>
      </c>
      <c r="Q62" s="245"/>
      <c r="R62" s="558">
        <f t="shared" si="1"/>
        <v>15546700.893520765</v>
      </c>
      <c r="S62" s="265"/>
      <c r="T62" s="245"/>
      <c r="U62" s="250">
        <f>'4. Customer Growth'!B20</f>
        <v>2008</v>
      </c>
      <c r="V62" s="267">
        <f t="shared" si="5"/>
        <v>194146899.85907778</v>
      </c>
      <c r="W62" s="267">
        <f t="shared" si="6"/>
        <v>199499870.71552044</v>
      </c>
      <c r="X62" s="268">
        <f t="shared" si="7"/>
        <v>2.7571755512594498E-2</v>
      </c>
      <c r="Y62" s="271"/>
      <c r="Z62" s="245"/>
      <c r="AA62" s="245"/>
      <c r="AB62" s="245"/>
      <c r="AC62" s="245"/>
      <c r="AD62" s="245"/>
      <c r="AE62" s="245"/>
      <c r="AF62" s="245"/>
      <c r="AG62" s="245"/>
      <c r="AH62" s="245"/>
      <c r="AI62" s="245"/>
      <c r="AJ62" s="245"/>
      <c r="AK62" s="245"/>
      <c r="AL62" s="245"/>
      <c r="AM62" s="245"/>
    </row>
    <row r="63" spans="1:39" x14ac:dyDescent="0.2">
      <c r="A63" s="503">
        <f t="shared" si="2"/>
        <v>44</v>
      </c>
      <c r="B63" s="262" t="str">
        <f>CONCATENATE('3. Consumption by Rate Class'!B68,"-",'3. Consumption by Rate Class'!C68)</f>
        <v>2008-August</v>
      </c>
      <c r="C63" s="697">
        <v>16066893.470000001</v>
      </c>
      <c r="D63" s="703">
        <v>-22800</v>
      </c>
      <c r="E63" s="707"/>
      <c r="F63" s="703"/>
      <c r="G63" s="703"/>
      <c r="H63" s="704"/>
      <c r="I63" s="704"/>
      <c r="J63" s="263">
        <f t="shared" si="0"/>
        <v>16044093.470000001</v>
      </c>
      <c r="K63" s="725">
        <f>IF(K$18='5.Variables'!$B$16,+'5.Variables'!$J30,+IF(K$18='5.Variables'!$B$39,+'5.Variables'!$J53,+IF(K$18='5.Variables'!$B$62,+'5.Variables'!$J67,+IF(K$18='5.Variables'!$B$76,+'5.Variables'!$J81,+IF(K$18='5.Variables'!$B$90,+'5.Variables'!$J95,+IF(K$18='5.Variables'!$B$104,+'5.Variables'!$J109,0))))))</f>
        <v>14.4</v>
      </c>
      <c r="L63" s="725">
        <f>IF(L$18='5.Variables'!$B$16,+'5.Variables'!$J29,+IF(L$18='5.Variables'!$B$39,+'5.Variables'!$J53,+IF(L$18='5.Variables'!$B$62,+'5.Variables'!$J67,+IF(L$18='5.Variables'!$B$76,+'5.Variables'!$J81,+IF(L$18='5.Variables'!$B$90,+'5.Variables'!$J95,+IF(L$18='5.Variables'!$B$104,+'5.Variables'!$J109,0))))))</f>
        <v>49.5</v>
      </c>
      <c r="M63" s="725">
        <f>IF(M$18='5.Variables'!$B$16,+'5.Variables'!$J29,+IF(M$18='5.Variables'!$B$39,+'5.Variables'!$J53,+IF(M$18='5.Variables'!$B$62,+'5.Variables'!$J67,+IF(M$18='5.Variables'!$B$76,+'5.Variables'!$J81,+IF(M$18='5.Variables'!$B$90,+'5.Variables'!$J95,+IF(M$18='5.Variables'!$B$104,+'5.Variables'!$J109,0))))))</f>
        <v>0</v>
      </c>
      <c r="N63" s="725">
        <f>IF(N$18='5.Variables'!$B$16,+'5.Variables'!$J29,+IF(N$18='5.Variables'!$B$39,+'5.Variables'!$J53,+IF(N$18='5.Variables'!$B$62,+'5.Variables'!$J67,+IF(N$18='5.Variables'!$B$76,+'5.Variables'!$J81,+IF(N$18='5.Variables'!$B$90,+'5.Variables'!$J95,+IF(N$18='5.Variables'!$B$104,+'5.Variables'!$J109,0))))))</f>
        <v>0</v>
      </c>
      <c r="O63" s="725">
        <f>IF(O$18='5.Variables'!$B$16,+'5.Variables'!$J29,+IF(O$18='5.Variables'!$B$39,+'5.Variables'!$J53,+IF(O$18='5.Variables'!$B$62,+'5.Variables'!$J67,+IF(O$18='5.Variables'!$B$76,+'5.Variables'!$J81,+IF(O$18='5.Variables'!$B$90,+'5.Variables'!$J95,+IF(O$18='5.Variables'!$B$104,+'5.Variables'!$J109,0))))))</f>
        <v>31</v>
      </c>
      <c r="P63" s="725">
        <f>IF(P$18='5.Variables'!$B$16,+'5.Variables'!$J29,+IF(P$18='5.Variables'!$B$39,+'5.Variables'!$J53,+IF(P$18='5.Variables'!$B$62,+'5.Variables'!$J67,+IF(P$18='5.Variables'!$B$76,+'5.Variables'!$J81,+IF(P$18='5.Variables'!$B$90,+'5.Variables'!$J95,+IF(P$18='5.Variables'!$B$104,+'5.Variables'!$J109,0))))))</f>
        <v>0</v>
      </c>
      <c r="Q63" s="245"/>
      <c r="R63" s="558">
        <f t="shared" si="1"/>
        <v>14587704.165419798</v>
      </c>
      <c r="S63" s="265"/>
      <c r="T63" s="245"/>
      <c r="U63" s="250">
        <f>'4. Customer Growth'!B21</f>
        <v>2009</v>
      </c>
      <c r="V63" s="267">
        <f t="shared" si="5"/>
        <v>201115656.45999998</v>
      </c>
      <c r="W63" s="267">
        <f t="shared" si="6"/>
        <v>198852587.20216557</v>
      </c>
      <c r="X63" s="268">
        <f t="shared" si="7"/>
        <v>1.1252576242290256E-2</v>
      </c>
      <c r="Y63" s="271"/>
      <c r="Z63" s="245"/>
      <c r="AA63" s="245"/>
      <c r="AB63" s="245"/>
      <c r="AC63" s="245"/>
      <c r="AD63" s="245"/>
      <c r="AE63" s="245"/>
      <c r="AF63" s="245"/>
      <c r="AG63" s="245"/>
      <c r="AH63" s="245"/>
      <c r="AI63" s="245"/>
      <c r="AJ63" s="245"/>
      <c r="AK63" s="245"/>
      <c r="AL63" s="245"/>
      <c r="AM63" s="245"/>
    </row>
    <row r="64" spans="1:39" x14ac:dyDescent="0.2">
      <c r="A64" s="503">
        <f t="shared" si="2"/>
        <v>45</v>
      </c>
      <c r="B64" s="262" t="str">
        <f>CONCATENATE('3. Consumption by Rate Class'!B69,"-",'3. Consumption by Rate Class'!C69)</f>
        <v>2008-September</v>
      </c>
      <c r="C64" s="697">
        <v>14339118.18</v>
      </c>
      <c r="D64" s="703">
        <v>-24097.32</v>
      </c>
      <c r="E64" s="707"/>
      <c r="F64" s="703"/>
      <c r="G64" s="703"/>
      <c r="H64" s="704"/>
      <c r="I64" s="704"/>
      <c r="J64" s="263">
        <f t="shared" si="0"/>
        <v>14315020.859999999</v>
      </c>
      <c r="K64" s="725">
        <f>IF(K$18='5.Variables'!$B$16,+'5.Variables'!$K30,+IF(K$18='5.Variables'!$B$39,+'5.Variables'!$K53,+IF(K$18='5.Variables'!$B$62,+'5.Variables'!$K67,+IF(K$18='5.Variables'!$B$76,+'5.Variables'!$K81,+IF(K$18='5.Variables'!$B$90,+'5.Variables'!$K95,+IF(K$18='5.Variables'!$B$104,+'5.Variables'!$K109,0))))))</f>
        <v>95.4</v>
      </c>
      <c r="L64" s="725">
        <f>IF(L$18='5.Variables'!$B$16,+'5.Variables'!$K29,+IF(L$18='5.Variables'!$B$39,+'5.Variables'!$K53,+IF(L$18='5.Variables'!$B$62,+'5.Variables'!$K67,+IF(L$18='5.Variables'!$B$76,+'5.Variables'!$K81,+IF(L$18='5.Variables'!$B$90,+'5.Variables'!$K95,+IF(L$18='5.Variables'!$B$104,+'5.Variables'!$K109,0))))))</f>
        <v>25</v>
      </c>
      <c r="M64" s="725">
        <f>IF(M$18='5.Variables'!$B$16,+'5.Variables'!$K29,+IF(M$18='5.Variables'!$B$39,+'5.Variables'!$K53,+IF(M$18='5.Variables'!$B$62,+'5.Variables'!$K67,+IF(M$18='5.Variables'!$B$76,+'5.Variables'!$K81,+IF(M$18='5.Variables'!$B$90,+'5.Variables'!$K95,+IF(M$18='5.Variables'!$B$104,+'5.Variables'!$K109,0))))))</f>
        <v>0</v>
      </c>
      <c r="N64" s="725">
        <f>IF(N$18='5.Variables'!$B$16,+'5.Variables'!$K29,+IF(N$18='5.Variables'!$B$39,+'5.Variables'!$K53,+IF(N$18='5.Variables'!$B$62,+'5.Variables'!$K67,+IF(N$18='5.Variables'!$B$76,+'5.Variables'!$K81,+IF(N$18='5.Variables'!$B$90,+'5.Variables'!$K95,+IF(N$18='5.Variables'!$B$104,+'5.Variables'!$K109,0))))))</f>
        <v>0</v>
      </c>
      <c r="O64" s="725">
        <f>IF(O$18='5.Variables'!$B$16,+'5.Variables'!$K29,+IF(O$18='5.Variables'!$B$39,+'5.Variables'!$K53,+IF(O$18='5.Variables'!$B$62,+'5.Variables'!$K67,+IF(O$18='5.Variables'!$B$76,+'5.Variables'!$K81,+IF(O$18='5.Variables'!$B$90,+'5.Variables'!$K95,+IF(O$18='5.Variables'!$B$104,+'5.Variables'!$K109,0))))))</f>
        <v>30</v>
      </c>
      <c r="P64" s="725">
        <f>IF(P$18='5.Variables'!$B$16,+'5.Variables'!$K29,+IF(P$18='5.Variables'!$B$39,+'5.Variables'!$K53,+IF(P$18='5.Variables'!$B$62,+'5.Variables'!$K67,+IF(P$18='5.Variables'!$B$76,+'5.Variables'!$K81,+IF(P$18='5.Variables'!$B$90,+'5.Variables'!$K95,+IF(P$18='5.Variables'!$B$104,+'5.Variables'!$K109,0))))))</f>
        <v>0</v>
      </c>
      <c r="Q64" s="245"/>
      <c r="R64" s="558">
        <f t="shared" si="1"/>
        <v>14384572.771058163</v>
      </c>
      <c r="S64" s="265"/>
      <c r="T64" s="245"/>
      <c r="U64" s="250">
        <f>'4. Customer Growth'!B22</f>
        <v>2010</v>
      </c>
      <c r="V64" s="267">
        <f t="shared" si="5"/>
        <v>197081317.46300003</v>
      </c>
      <c r="W64" s="267">
        <f t="shared" si="6"/>
        <v>199110325.82630143</v>
      </c>
      <c r="X64" s="268">
        <f t="shared" si="7"/>
        <v>1.0295285161579669E-2</v>
      </c>
      <c r="Y64" s="271"/>
      <c r="Z64" s="245"/>
      <c r="AA64" s="245"/>
      <c r="AB64" s="245"/>
      <c r="AC64" s="245"/>
      <c r="AD64" s="245"/>
      <c r="AE64" s="245"/>
      <c r="AF64" s="245"/>
      <c r="AG64" s="245"/>
      <c r="AH64" s="245"/>
      <c r="AI64" s="245"/>
      <c r="AJ64" s="245"/>
      <c r="AK64" s="245"/>
      <c r="AL64" s="245"/>
      <c r="AM64" s="245"/>
    </row>
    <row r="65" spans="1:39" x14ac:dyDescent="0.2">
      <c r="A65" s="503">
        <f t="shared" si="2"/>
        <v>46</v>
      </c>
      <c r="B65" s="262" t="str">
        <f>CONCATENATE('3. Consumption by Rate Class'!B70,"-",'3. Consumption by Rate Class'!C70)</f>
        <v>2008-October</v>
      </c>
      <c r="C65" s="697">
        <v>15216338.729077807</v>
      </c>
      <c r="D65" s="703">
        <v>-29170.44</v>
      </c>
      <c r="E65" s="707"/>
      <c r="F65" s="703"/>
      <c r="G65" s="703"/>
      <c r="H65" s="703"/>
      <c r="I65" s="704"/>
      <c r="J65" s="263">
        <f t="shared" si="0"/>
        <v>15187168.289077807</v>
      </c>
      <c r="K65" s="725">
        <f>IF(K$18='5.Variables'!$B$16,+'5.Variables'!$L30,+IF(K$18='5.Variables'!$B$39,+'5.Variables'!$L53,+IF(K$18='5.Variables'!$B$62,+'5.Variables'!$L67,+IF(K$18='5.Variables'!$B$76,+'5.Variables'!$L81,+IF(K$18='5.Variables'!$B$90,+'5.Variables'!$L95,+IF(K$18='5.Variables'!$B$104,+'5.Variables'!$L109,0))))))</f>
        <v>321.8</v>
      </c>
      <c r="L65" s="725">
        <f>IF(L$18='5.Variables'!$B$16,+'5.Variables'!$L29,+IF(L$18='5.Variables'!$B$39,+'5.Variables'!$L53,+IF(L$18='5.Variables'!$B$62,+'5.Variables'!$L67,+IF(L$18='5.Variables'!$B$76,+'5.Variables'!$L81,+IF(L$18='5.Variables'!$B$90,+'5.Variables'!$L95,+IF(L$18='5.Variables'!$B$104,+'5.Variables'!$L109,0))))))</f>
        <v>0</v>
      </c>
      <c r="M65" s="725">
        <f>IF(M$18='5.Variables'!$B$16,+'5.Variables'!$L29,+IF(M$18='5.Variables'!$B$39,+'5.Variables'!$L53,+IF(M$18='5.Variables'!$B$62,+'5.Variables'!$L67,+IF(M$18='5.Variables'!$B$76,+'5.Variables'!$L81,+IF(M$18='5.Variables'!$B$90,+'5.Variables'!$L95,+IF(M$18='5.Variables'!$B$104,+'5.Variables'!$L109,0))))))</f>
        <v>0</v>
      </c>
      <c r="N65" s="725">
        <f>IF(N$18='5.Variables'!$B$16,+'5.Variables'!$L29,+IF(N$18='5.Variables'!$B$39,+'5.Variables'!$L53,+IF(N$18='5.Variables'!$B$62,+'5.Variables'!$L67,+IF(N$18='5.Variables'!$B$76,+'5.Variables'!$L81,+IF(N$18='5.Variables'!$B$90,+'5.Variables'!$L95,+IF(N$18='5.Variables'!$B$104,+'5.Variables'!$L109,0))))))</f>
        <v>0</v>
      </c>
      <c r="O65" s="725">
        <f>IF(O$18='5.Variables'!$B$16,+'5.Variables'!$L29,+IF(O$18='5.Variables'!$B$39,+'5.Variables'!$L53,+IF(O$18='5.Variables'!$B$62,+'5.Variables'!$L67,+IF(O$18='5.Variables'!$B$76,+'5.Variables'!$L81,+IF(O$18='5.Variables'!$B$90,+'5.Variables'!$L95,+IF(O$18='5.Variables'!$B$104,+'5.Variables'!$L109,0))))))</f>
        <v>31</v>
      </c>
      <c r="P65" s="725">
        <f>IF(P$18='5.Variables'!$B$16,+'5.Variables'!$L29,+IF(P$18='5.Variables'!$B$39,+'5.Variables'!$L53,+IF(P$18='5.Variables'!$B$62,+'5.Variables'!$L67,+IF(P$18='5.Variables'!$B$76,+'5.Variables'!$L81,+IF(P$18='5.Variables'!$B$90,+'5.Variables'!$L95,+IF(P$18='5.Variables'!$B$104,+'5.Variables'!$L109,0))))))</f>
        <v>0</v>
      </c>
      <c r="Q65" s="245"/>
      <c r="R65" s="558">
        <f t="shared" si="1"/>
        <v>15414696.515511863</v>
      </c>
      <c r="S65" s="265"/>
      <c r="T65" s="245"/>
      <c r="U65" s="250">
        <f>'4. Customer Growth'!B23</f>
        <v>2011</v>
      </c>
      <c r="V65" s="267">
        <f t="shared" si="5"/>
        <v>199623009.43799999</v>
      </c>
      <c r="W65" s="267">
        <f t="shared" si="6"/>
        <v>197163923.49149352</v>
      </c>
      <c r="X65" s="268">
        <f t="shared" si="7"/>
        <v>1.2318649806099766E-2</v>
      </c>
      <c r="Y65" s="271"/>
      <c r="Z65" s="245"/>
      <c r="AA65" s="245"/>
      <c r="AB65" s="245"/>
      <c r="AC65" s="245"/>
      <c r="AD65" s="245"/>
      <c r="AE65" s="245"/>
      <c r="AF65" s="245"/>
      <c r="AG65" s="245"/>
      <c r="AH65" s="245"/>
      <c r="AI65" s="245"/>
      <c r="AJ65" s="245"/>
      <c r="AK65" s="245"/>
      <c r="AL65" s="245"/>
      <c r="AM65" s="245"/>
    </row>
    <row r="66" spans="1:39" x14ac:dyDescent="0.2">
      <c r="A66" s="503">
        <f t="shared" si="2"/>
        <v>47</v>
      </c>
      <c r="B66" s="262" t="str">
        <f>CONCATENATE('3. Consumption by Rate Class'!B71,"-",'3. Consumption by Rate Class'!C71)</f>
        <v>2008-November</v>
      </c>
      <c r="C66" s="697">
        <v>17594469.57</v>
      </c>
      <c r="D66" s="703">
        <v>-26633.88</v>
      </c>
      <c r="E66" s="707"/>
      <c r="F66" s="703"/>
      <c r="G66" s="703"/>
      <c r="H66" s="703"/>
      <c r="I66" s="704"/>
      <c r="J66" s="263">
        <f t="shared" si="0"/>
        <v>17567835.690000001</v>
      </c>
      <c r="K66" s="725">
        <f>IF(K$18='5.Variables'!$B$16,+'5.Variables'!$M30,+IF(K$18='5.Variables'!$B$39,+'5.Variables'!$M53,+IF(K$18='5.Variables'!$B$62,+'5.Variables'!$M67,+IF(K$18='5.Variables'!$B$76,+'5.Variables'!$M81,+IF(K$18='5.Variables'!$B$90,+'5.Variables'!$M95,+IF(K$18='5.Variables'!$B$104,+'5.Variables'!$M109,0))))))</f>
        <v>502.8</v>
      </c>
      <c r="L66" s="725">
        <f>IF(L$18='5.Variables'!$B$16,+'5.Variables'!$M29,+IF(L$18='5.Variables'!$B$39,+'5.Variables'!$M53,+IF(L$18='5.Variables'!$B$62,+'5.Variables'!$M67,+IF(L$18='5.Variables'!$B$76,+'5.Variables'!$M81,+IF(L$18='5.Variables'!$B$90,+'5.Variables'!$M95,+IF(L$18='5.Variables'!$B$104,+'5.Variables'!$M109,0))))))</f>
        <v>0</v>
      </c>
      <c r="M66" s="725">
        <f>IF(M$18='5.Variables'!$B$16,+'5.Variables'!$M29,+IF(M$18='5.Variables'!$B$39,+'5.Variables'!$M53,+IF(M$18='5.Variables'!$B$62,+'5.Variables'!$M67,+IF(M$18='5.Variables'!$B$76,+'5.Variables'!$M81,+IF(M$18='5.Variables'!$B$90,+'5.Variables'!$M95,+IF(M$18='5.Variables'!$B$104,+'5.Variables'!$M109,0))))))</f>
        <v>0</v>
      </c>
      <c r="N66" s="725">
        <f>IF(N$18='5.Variables'!$B$16,+'5.Variables'!$M29,+IF(N$18='5.Variables'!$B$39,+'5.Variables'!$M53,+IF(N$18='5.Variables'!$B$62,+'5.Variables'!$M67,+IF(N$18='5.Variables'!$B$76,+'5.Variables'!$M81,+IF(N$18='5.Variables'!$B$90,+'5.Variables'!$M95,+IF(N$18='5.Variables'!$B$104,+'5.Variables'!$M109,0))))))</f>
        <v>0</v>
      </c>
      <c r="O66" s="725">
        <f>IF(O$18='5.Variables'!$B$16,+'5.Variables'!$M29,+IF(O$18='5.Variables'!$B$39,+'5.Variables'!$M53,+IF(O$18='5.Variables'!$B$62,+'5.Variables'!$M67,+IF(O$18='5.Variables'!$B$76,+'5.Variables'!$M81,+IF(O$18='5.Variables'!$B$90,+'5.Variables'!$M95,+IF(O$18='5.Variables'!$B$104,+'5.Variables'!$M109,0))))))</f>
        <v>30</v>
      </c>
      <c r="P66" s="725">
        <f>IF(P$18='5.Variables'!$B$16,+'5.Variables'!$M29,+IF(P$18='5.Variables'!$B$39,+'5.Variables'!$M53,+IF(P$18='5.Variables'!$B$62,+'5.Variables'!$M67,+IF(P$18='5.Variables'!$B$76,+'5.Variables'!$M81,+IF(P$18='5.Variables'!$B$90,+'5.Variables'!$M95,+IF(P$18='5.Variables'!$B$104,+'5.Variables'!$M109,0))))))</f>
        <v>0</v>
      </c>
      <c r="Q66" s="245"/>
      <c r="R66" s="558">
        <f t="shared" si="1"/>
        <v>16450278.903498568</v>
      </c>
      <c r="S66" s="265"/>
      <c r="T66" s="245"/>
      <c r="U66" s="250">
        <f>'4. Customer Growth'!B24</f>
        <v>2012</v>
      </c>
      <c r="V66" s="267">
        <f t="shared" si="5"/>
        <v>194771161.25000003</v>
      </c>
      <c r="W66" s="267">
        <f t="shared" si="6"/>
        <v>200033688.73731855</v>
      </c>
      <c r="X66" s="268">
        <f t="shared" si="7"/>
        <v>2.7019028143307922E-2</v>
      </c>
      <c r="Y66" s="271"/>
      <c r="Z66" s="245"/>
      <c r="AA66" s="245"/>
      <c r="AB66" s="245"/>
      <c r="AC66" s="245"/>
      <c r="AD66" s="245"/>
      <c r="AE66" s="245"/>
      <c r="AF66" s="245"/>
      <c r="AG66" s="245"/>
      <c r="AH66" s="245"/>
      <c r="AI66" s="245"/>
      <c r="AJ66" s="245"/>
      <c r="AK66" s="245"/>
      <c r="AL66" s="245"/>
      <c r="AM66" s="245"/>
    </row>
    <row r="67" spans="1:39" x14ac:dyDescent="0.2">
      <c r="A67" s="503">
        <f t="shared" si="2"/>
        <v>48</v>
      </c>
      <c r="B67" s="522" t="str">
        <f>CONCATENATE('3. Consumption by Rate Class'!B72,"-",'3. Consumption by Rate Class'!C72)</f>
        <v>2008-December</v>
      </c>
      <c r="C67" s="698">
        <v>20548340.41</v>
      </c>
      <c r="D67" s="705">
        <v>-23463.18</v>
      </c>
      <c r="E67" s="705"/>
      <c r="F67" s="705"/>
      <c r="G67" s="705"/>
      <c r="H67" s="705"/>
      <c r="I67" s="706"/>
      <c r="J67" s="263">
        <f t="shared" si="0"/>
        <v>20524877.23</v>
      </c>
      <c r="K67" s="725">
        <f>IF(K$18='5.Variables'!$B$16,+'5.Variables'!$N30,+IF(K$18='5.Variables'!$B$39,+'5.Variables'!$N53,+IF(K$18='5.Variables'!$B$62,+'5.Variables'!$N67,+IF(K$18='5.Variables'!$B$76,+'5.Variables'!$N81,+IF(K$18='5.Variables'!$B$90,+'5.Variables'!$N95,+IF(K$18='5.Variables'!$B$104,+'5.Variables'!$N109,0))))))</f>
        <v>796.7</v>
      </c>
      <c r="L67" s="725">
        <f>IF(L$18='5.Variables'!$B$16,+'5.Variables'!$N29,+IF(L$18='5.Variables'!$B$39,+'5.Variables'!$N53,+IF(L$18='5.Variables'!$B$62,+'5.Variables'!$N67,+IF(L$18='5.Variables'!$B$76,+'5.Variables'!$N81,+IF(L$18='5.Variables'!$B$90,+'5.Variables'!$N95,+IF(L$18='5.Variables'!$B$104,+'5.Variables'!$N109,0))))))</f>
        <v>0</v>
      </c>
      <c r="M67" s="725">
        <f>IF(M$18='5.Variables'!$B$16,+'5.Variables'!$N29,+IF(M$18='5.Variables'!$B$39,+'5.Variables'!$N53,+IF(M$18='5.Variables'!$B$62,+'5.Variables'!$N67,+IF(M$18='5.Variables'!$B$76,+'5.Variables'!$N81,+IF(M$18='5.Variables'!$B$90,+'5.Variables'!$N95,+IF(M$18='5.Variables'!$B$104,+'5.Variables'!$N109,0))))))</f>
        <v>1</v>
      </c>
      <c r="N67" s="725">
        <f>IF(N$18='5.Variables'!$B$16,+'5.Variables'!$N29,+IF(N$18='5.Variables'!$B$39,+'5.Variables'!$N53,+IF(N$18='5.Variables'!$B$62,+'5.Variables'!$N67,+IF(N$18='5.Variables'!$B$76,+'5.Variables'!$N81,+IF(N$18='5.Variables'!$B$90,+'5.Variables'!$N95,+IF(N$18='5.Variables'!$B$104,+'5.Variables'!$N109,0))))))</f>
        <v>1</v>
      </c>
      <c r="O67" s="725">
        <f>IF(O$18='5.Variables'!$B$16,+'5.Variables'!$N29,+IF(O$18='5.Variables'!$B$39,+'5.Variables'!$N53,+IF(O$18='5.Variables'!$B$62,+'5.Variables'!$N67,+IF(O$18='5.Variables'!$B$76,+'5.Variables'!$N81,+IF(O$18='5.Variables'!$B$90,+'5.Variables'!$N95,+IF(O$18='5.Variables'!$B$104,+'5.Variables'!$N109,0))))))</f>
        <v>31</v>
      </c>
      <c r="P67" s="725">
        <f>IF(P$18='5.Variables'!$B$16,+'5.Variables'!$N29,+IF(P$18='5.Variables'!$B$39,+'5.Variables'!$N53,+IF(P$18='5.Variables'!$B$62,+'5.Variables'!$N67,+IF(P$18='5.Variables'!$B$76,+'5.Variables'!$N81,+IF(P$18='5.Variables'!$B$90,+'5.Variables'!$N95,+IF(P$18='5.Variables'!$B$104,+'5.Variables'!$N109,0))))))</f>
        <v>0</v>
      </c>
      <c r="Q67" s="245"/>
      <c r="R67" s="558">
        <f t="shared" si="1"/>
        <v>20469943.689234909</v>
      </c>
      <c r="S67" s="265">
        <f>SUM(R56:R67)</f>
        <v>199499870.71552044</v>
      </c>
      <c r="T67" s="245"/>
      <c r="U67" s="250">
        <f>'4. Customer Growth'!B25</f>
        <v>2013</v>
      </c>
      <c r="V67" s="267">
        <f t="shared" si="5"/>
        <v>198259056.0149</v>
      </c>
      <c r="W67" s="267">
        <f t="shared" si="6"/>
        <v>199265600.47060758</v>
      </c>
      <c r="X67" s="268">
        <f t="shared" si="7"/>
        <v>5.0769154052258464E-3</v>
      </c>
      <c r="Y67" s="271"/>
      <c r="Z67" s="245"/>
      <c r="AA67" s="245"/>
      <c r="AB67" s="245"/>
      <c r="AC67" s="245"/>
      <c r="AD67" s="245"/>
      <c r="AE67" s="245"/>
      <c r="AF67" s="245"/>
      <c r="AG67" s="245"/>
      <c r="AH67" s="245"/>
      <c r="AI67" s="245"/>
      <c r="AJ67" s="245"/>
      <c r="AK67" s="245"/>
      <c r="AL67" s="245"/>
      <c r="AM67" s="245"/>
    </row>
    <row r="68" spans="1:39" x14ac:dyDescent="0.2">
      <c r="A68" s="503">
        <f t="shared" si="2"/>
        <v>49</v>
      </c>
      <c r="B68" s="262" t="str">
        <f>CONCATENATE('3. Consumption by Rate Class'!B73,"-",'3. Consumption by Rate Class'!C73)</f>
        <v>2009-January</v>
      </c>
      <c r="C68" s="697">
        <v>21876886.25</v>
      </c>
      <c r="D68" s="703">
        <v>-25365.599999999999</v>
      </c>
      <c r="E68" s="707"/>
      <c r="F68" s="703"/>
      <c r="G68" s="703"/>
      <c r="H68" s="703"/>
      <c r="I68" s="704"/>
      <c r="J68" s="263">
        <f t="shared" si="0"/>
        <v>21851520.649999999</v>
      </c>
      <c r="K68" s="725">
        <f>IF(K$18='5.Variables'!$B$16,+'5.Variables'!$C31,+IF(K$18='5.Variables'!$B$39,+'5.Variables'!$C54,+IF(K$18='5.Variables'!$B$62,+'5.Variables'!$C68,+IF(K$18='5.Variables'!$B$76,+'5.Variables'!$C82,+IF(K$18='5.Variables'!$B$90,+'5.Variables'!$C96,+IF(K$18='5.Variables'!$B$104,+'5.Variables'!$C110,0))))))</f>
        <v>979.5</v>
      </c>
      <c r="L68" s="725">
        <f>IF(L$18='5.Variables'!$B$16,+'5.Variables'!$C30,+IF(L$18='5.Variables'!$B$39,+'5.Variables'!$C54,+IF(L$18='5.Variables'!$B$62,+'5.Variables'!$C68,+IF(L$18='5.Variables'!$B$76,+'5.Variables'!$C82,+IF(L$18='5.Variables'!$B$90,+'5.Variables'!$C96,+IF(L$18='5.Variables'!$B$104,+'5.Variables'!$C110,0))))))</f>
        <v>0</v>
      </c>
      <c r="M68" s="725">
        <f>IF(M$18='5.Variables'!$B$16,+'5.Variables'!$C30,+IF(M$18='5.Variables'!$B$39,+'5.Variables'!$C54,+IF(M$18='5.Variables'!$B$62,+'5.Variables'!$C68,+IF(M$18='5.Variables'!$B$76,+'5.Variables'!$C82,+IF(M$18='5.Variables'!$B$90,+'5.Variables'!$C96,+IF(M$18='5.Variables'!$B$104,+'5.Variables'!$C110,0))))))</f>
        <v>1</v>
      </c>
      <c r="N68" s="725">
        <f>IF(N$18='5.Variables'!$B$16,+'5.Variables'!$C30,+IF(N$18='5.Variables'!$B$39,+'5.Variables'!$C54,+IF(N$18='5.Variables'!$B$62,+'5.Variables'!$C68,+IF(N$18='5.Variables'!$B$76,+'5.Variables'!$C82,+IF(N$18='5.Variables'!$B$90,+'5.Variables'!$C96,+IF(N$18='5.Variables'!$B$104,+'5.Variables'!$C110,0))))))</f>
        <v>1</v>
      </c>
      <c r="O68" s="725">
        <f>IF(O$18='5.Variables'!$B$16,+'5.Variables'!$C30,+IF(O$18='5.Variables'!$B$39,+'5.Variables'!$C54,+IF(O$18='5.Variables'!$B$62,+'5.Variables'!$C68,+IF(O$18='5.Variables'!$B$76,+'5.Variables'!$C82,+IF(O$18='5.Variables'!$B$90,+'5.Variables'!$C96,+IF(O$18='5.Variables'!$B$104,+'5.Variables'!$C110,0))))))</f>
        <v>31</v>
      </c>
      <c r="P68" s="725">
        <f>IF(P$18='5.Variables'!$B$16,+'5.Variables'!$C30,+IF(P$18='5.Variables'!$B$39,+'5.Variables'!$C54,+IF(P$18='5.Variables'!$B$62,+'5.Variables'!$C68,+IF(P$18='5.Variables'!$B$76,+'5.Variables'!$C82,+IF(P$18='5.Variables'!$B$90,+'5.Variables'!$C96,+IF(P$18='5.Variables'!$B$104,+'5.Variables'!$C110,0))))))</f>
        <v>0</v>
      </c>
      <c r="Q68" s="245"/>
      <c r="R68" s="558">
        <f t="shared" si="1"/>
        <v>21664722.556025989</v>
      </c>
      <c r="S68" s="265"/>
      <c r="T68" s="245"/>
      <c r="U68" s="250">
        <f>'4. Customer Growth'!B26</f>
        <v>2014</v>
      </c>
      <c r="V68" s="267">
        <f t="shared" si="5"/>
        <v>191637148.35999998</v>
      </c>
      <c r="W68" s="267">
        <f t="shared" si="6"/>
        <v>200120990.86278558</v>
      </c>
      <c r="X68" s="268">
        <f t="shared" si="7"/>
        <v>4.4270344113283663E-2</v>
      </c>
      <c r="Y68" s="271">
        <f>(W68-V68)/V68</f>
        <v>4.4270344113283663E-2</v>
      </c>
      <c r="Z68" s="245"/>
      <c r="AA68" s="245"/>
      <c r="AB68" s="245"/>
      <c r="AC68" s="245"/>
      <c r="AD68" s="245"/>
      <c r="AE68" s="245"/>
      <c r="AF68" s="245"/>
      <c r="AG68" s="245"/>
      <c r="AH68" s="245"/>
      <c r="AI68" s="245"/>
      <c r="AJ68" s="245"/>
      <c r="AK68" s="245"/>
      <c r="AL68" s="245"/>
      <c r="AM68" s="245"/>
    </row>
    <row r="69" spans="1:39" x14ac:dyDescent="0.2">
      <c r="A69" s="503">
        <f t="shared" si="2"/>
        <v>50</v>
      </c>
      <c r="B69" s="262" t="str">
        <f>CONCATENATE('3. Consumption by Rate Class'!B74,"-",'3. Consumption by Rate Class'!C74)</f>
        <v>2009-February</v>
      </c>
      <c r="C69" s="697">
        <v>20243845.07</v>
      </c>
      <c r="D69" s="703">
        <v>-24731.46</v>
      </c>
      <c r="E69" s="707"/>
      <c r="F69" s="703"/>
      <c r="G69" s="703"/>
      <c r="H69" s="703"/>
      <c r="I69" s="704"/>
      <c r="J69" s="263">
        <f t="shared" si="0"/>
        <v>20219113.609999999</v>
      </c>
      <c r="K69" s="725">
        <f>IF(K$18='5.Variables'!$B$16,+'5.Variables'!$D31,+IF(K$18='5.Variables'!$B$39,+'5.Variables'!$D54,+IF(K$18='5.Variables'!$B$62,+'5.Variables'!$D68,+IF(K$18='5.Variables'!$B$76,+'5.Variables'!$D82,+IF(K$18='5.Variables'!$B$90,+'5.Variables'!$D96,+IF(K$18='5.Variables'!$B$104,+'5.Variables'!$D110,0))))))</f>
        <v>711.5</v>
      </c>
      <c r="L69" s="725">
        <f>IF(L$18='5.Variables'!$B$16,+'5.Variables'!$D30,+IF(L$18='5.Variables'!$B$39,+'5.Variables'!$D54,+IF(L$18='5.Variables'!$B$62,+'5.Variables'!$D68,+IF(L$18='5.Variables'!$B$76,+'5.Variables'!$D82,+IF(L$18='5.Variables'!$B$90,+'5.Variables'!$D96,+IF(L$18='5.Variables'!$B$104,+'5.Variables'!$D110,0))))))</f>
        <v>0</v>
      </c>
      <c r="M69" s="725">
        <f>IF(M$18='5.Variables'!$B$16,+'5.Variables'!$D30,+IF(M$18='5.Variables'!$B$39,+'5.Variables'!$D54,+IF(M$18='5.Variables'!$B$62,+'5.Variables'!$D68,+IF(M$18='5.Variables'!$B$76,+'5.Variables'!$D82,+IF(M$18='5.Variables'!$B$90,+'5.Variables'!$D96,+IF(M$18='5.Variables'!$B$104,+'5.Variables'!$D110,0))))))</f>
        <v>1</v>
      </c>
      <c r="N69" s="725">
        <f>IF(N$18='5.Variables'!$B$16,+'5.Variables'!$D30,+IF(N$18='5.Variables'!$B$39,+'5.Variables'!$D54,+IF(N$18='5.Variables'!$B$62,+'5.Variables'!$D68,+IF(N$18='5.Variables'!$B$76,+'5.Variables'!$D82,+IF(N$18='5.Variables'!$B$90,+'5.Variables'!$D96,+IF(N$18='5.Variables'!$B$104,+'5.Variables'!$D110,0))))))</f>
        <v>0</v>
      </c>
      <c r="O69" s="725">
        <f>IF(O$18='5.Variables'!$B$16,+'5.Variables'!$D30,+IF(O$18='5.Variables'!$B$39,+'5.Variables'!$D54,+IF(O$18='5.Variables'!$B$62,+'5.Variables'!$D68,+IF(O$18='5.Variables'!$B$76,+'5.Variables'!$D82,+IF(O$18='5.Variables'!$B$90,+'5.Variables'!$D96,+IF(O$18='5.Variables'!$B$104,+'5.Variables'!$D110,0))))))</f>
        <v>28</v>
      </c>
      <c r="P69" s="725">
        <f>IF(P$18='5.Variables'!$B$16,+'5.Variables'!$D30,+IF(P$18='5.Variables'!$B$39,+'5.Variables'!$D54,+IF(P$18='5.Variables'!$B$62,+'5.Variables'!$D68,+IF(P$18='5.Variables'!$B$76,+'5.Variables'!$D82,+IF(P$18='5.Variables'!$B$90,+'5.Variables'!$D96,+IF(P$18='5.Variables'!$B$104,+'5.Variables'!$D110,0))))))</f>
        <v>0</v>
      </c>
      <c r="Q69" s="245"/>
      <c r="R69" s="558">
        <f t="shared" si="1"/>
        <v>19121765.925647069</v>
      </c>
      <c r="S69" s="265"/>
      <c r="T69" s="245"/>
      <c r="U69" s="272" t="s">
        <v>47</v>
      </c>
      <c r="V69" s="272"/>
      <c r="W69" s="272"/>
      <c r="X69" s="273">
        <f>AVERAGE(X59:X68)</f>
        <v>2.2218448041749668E-2</v>
      </c>
      <c r="Y69" s="245"/>
      <c r="Z69" s="245"/>
      <c r="AA69" s="245"/>
      <c r="AB69" s="245"/>
      <c r="AC69" s="245"/>
      <c r="AD69" s="245"/>
      <c r="AE69" s="245"/>
      <c r="AF69" s="245"/>
      <c r="AG69" s="245"/>
      <c r="AH69" s="245"/>
      <c r="AI69" s="245"/>
      <c r="AJ69" s="245"/>
      <c r="AK69" s="245"/>
      <c r="AL69" s="245"/>
      <c r="AM69" s="245"/>
    </row>
    <row r="70" spans="1:39" x14ac:dyDescent="0.2">
      <c r="A70" s="503">
        <f t="shared" si="2"/>
        <v>51</v>
      </c>
      <c r="B70" s="262" t="str">
        <f>CONCATENATE('3. Consumption by Rate Class'!B75,"-",'3. Consumption by Rate Class'!C75)</f>
        <v>2009-March</v>
      </c>
      <c r="C70" s="697">
        <v>17337916.890000001</v>
      </c>
      <c r="D70" s="703">
        <v>-28536.3</v>
      </c>
      <c r="E70" s="707"/>
      <c r="F70" s="703"/>
      <c r="G70" s="703"/>
      <c r="H70" s="703"/>
      <c r="I70" s="704"/>
      <c r="J70" s="263">
        <f t="shared" si="0"/>
        <v>17309380.59</v>
      </c>
      <c r="K70" s="725">
        <f>IF(K$18='5.Variables'!$B$16,+'5.Variables'!$E31,+IF(K$18='5.Variables'!$B$39,+'5.Variables'!$E54,+IF(K$18='5.Variables'!$B$62,+'5.Variables'!$E68,+IF(K$18='5.Variables'!$B$76,+'5.Variables'!$E82,+IF(K$18='5.Variables'!$B$90,+'5.Variables'!$E96,+IF(K$18='5.Variables'!$B$104,+'5.Variables'!$E110,0))))))</f>
        <v>598.29999999999995</v>
      </c>
      <c r="L70" s="725">
        <f>IF(L$18='5.Variables'!$B$16,+'5.Variables'!$E30,+IF(L$18='5.Variables'!$B$39,+'5.Variables'!$E54,+IF(L$18='5.Variables'!$B$62,+'5.Variables'!$E68,+IF(L$18='5.Variables'!$B$76,+'5.Variables'!$E82,+IF(L$18='5.Variables'!$B$90,+'5.Variables'!$E96,+IF(L$18='5.Variables'!$B$104,+'5.Variables'!$E110,0))))))</f>
        <v>0</v>
      </c>
      <c r="M70" s="725">
        <f>IF(M$18='5.Variables'!$B$16,+'5.Variables'!$E30,+IF(M$18='5.Variables'!$B$39,+'5.Variables'!$E54,+IF(M$18='5.Variables'!$B$62,+'5.Variables'!$E68,+IF(M$18='5.Variables'!$B$76,+'5.Variables'!$E82,+IF(M$18='5.Variables'!$B$90,+'5.Variables'!$E96,+IF(M$18='5.Variables'!$B$104,+'5.Variables'!$E110,0))))))</f>
        <v>0</v>
      </c>
      <c r="N70" s="725">
        <f>IF(N$18='5.Variables'!$B$16,+'5.Variables'!$E30,+IF(N$18='5.Variables'!$B$39,+'5.Variables'!$E54,+IF(N$18='5.Variables'!$B$62,+'5.Variables'!$E68,+IF(N$18='5.Variables'!$B$76,+'5.Variables'!$E82,+IF(N$18='5.Variables'!$B$90,+'5.Variables'!$E96,+IF(N$18='5.Variables'!$B$104,+'5.Variables'!$E110,0))))))</f>
        <v>1</v>
      </c>
      <c r="O70" s="725">
        <f>IF(O$18='5.Variables'!$B$16,+'5.Variables'!$E30,+IF(O$18='5.Variables'!$B$39,+'5.Variables'!$E54,+IF(O$18='5.Variables'!$B$62,+'5.Variables'!$E68,+IF(O$18='5.Variables'!$B$76,+'5.Variables'!$E82,+IF(O$18='5.Variables'!$B$90,+'5.Variables'!$E96,+IF(O$18='5.Variables'!$B$104,+'5.Variables'!$E110,0))))))</f>
        <v>31</v>
      </c>
      <c r="P70" s="725">
        <f>IF(P$18='5.Variables'!$B$16,+'5.Variables'!$E30,+IF(P$18='5.Variables'!$B$39,+'5.Variables'!$E54,+IF(P$18='5.Variables'!$B$62,+'5.Variables'!$E68,+IF(P$18='5.Variables'!$B$76,+'5.Variables'!$E82,+IF(P$18='5.Variables'!$B$90,+'5.Variables'!$E96,+IF(P$18='5.Variables'!$B$104,+'5.Variables'!$E110,0))))))</f>
        <v>0</v>
      </c>
      <c r="Q70" s="245"/>
      <c r="R70" s="558">
        <f t="shared" si="1"/>
        <v>17570913.962477632</v>
      </c>
      <c r="S70" s="265"/>
      <c r="T70" s="245"/>
      <c r="U70" s="272" t="s">
        <v>63</v>
      </c>
      <c r="V70" s="245"/>
      <c r="W70" s="245"/>
      <c r="X70" s="273">
        <f>MEDIAN(X59:X68)</f>
        <v>2.610768263164227E-2</v>
      </c>
      <c r="Y70" s="245"/>
      <c r="Z70" s="245"/>
      <c r="AA70" s="245"/>
      <c r="AB70" s="245"/>
      <c r="AC70" s="245"/>
      <c r="AD70" s="245"/>
      <c r="AE70" s="245"/>
      <c r="AF70" s="245"/>
      <c r="AG70" s="245"/>
      <c r="AH70" s="245"/>
      <c r="AI70" s="245"/>
      <c r="AJ70" s="245"/>
      <c r="AK70" s="245"/>
      <c r="AL70" s="245"/>
      <c r="AM70" s="245"/>
    </row>
    <row r="71" spans="1:39" x14ac:dyDescent="0.2">
      <c r="A71" s="503">
        <f t="shared" si="2"/>
        <v>52</v>
      </c>
      <c r="B71" s="262" t="str">
        <f>CONCATENATE('3. Consumption by Rate Class'!B76,"-",'3. Consumption by Rate Class'!C76)</f>
        <v>2009-April</v>
      </c>
      <c r="C71" s="697">
        <v>15916362.57</v>
      </c>
      <c r="D71" s="703">
        <v>-25365.599999999999</v>
      </c>
      <c r="E71" s="707"/>
      <c r="F71" s="703"/>
      <c r="G71" s="703"/>
      <c r="H71" s="703"/>
      <c r="I71" s="704"/>
      <c r="J71" s="263">
        <f t="shared" si="0"/>
        <v>15890996.970000001</v>
      </c>
      <c r="K71" s="725">
        <f>IF(K$18='5.Variables'!$B$16,+'5.Variables'!$F31,+IF(K$18='5.Variables'!$B$39,+'5.Variables'!$F54,+IF(K$18='5.Variables'!$B$62,+'5.Variables'!$F68,+IF(K$18='5.Variables'!$B$76,+'5.Variables'!$F82,+IF(K$18='5.Variables'!$B$90,+'5.Variables'!$F96,+IF(K$18='5.Variables'!$B$104,+'5.Variables'!$F110,0))))))</f>
        <v>334.3</v>
      </c>
      <c r="L71" s="725">
        <f>IF(L$18='5.Variables'!$B$16,+'5.Variables'!$F30,+IF(L$18='5.Variables'!$B$39,+'5.Variables'!$F54,+IF(L$18='5.Variables'!$B$62,+'5.Variables'!$F68,+IF(L$18='5.Variables'!$B$76,+'5.Variables'!$F82,+IF(L$18='5.Variables'!$B$90,+'5.Variables'!$F96,+IF(L$18='5.Variables'!$B$104,+'5.Variables'!$F110,0))))))</f>
        <v>2.5</v>
      </c>
      <c r="M71" s="725">
        <f>IF(M$18='5.Variables'!$B$16,+'5.Variables'!$F30,+IF(M$18='5.Variables'!$B$39,+'5.Variables'!$F54,+IF(M$18='5.Variables'!$B$62,+'5.Variables'!$F68,+IF(M$18='5.Variables'!$B$76,+'5.Variables'!$F82,+IF(M$18='5.Variables'!$B$90,+'5.Variables'!$F96,+IF(M$18='5.Variables'!$B$104,+'5.Variables'!$F110,0))))))</f>
        <v>0</v>
      </c>
      <c r="N71" s="725">
        <f>IF(N$18='5.Variables'!$B$16,+'5.Variables'!$F30,+IF(N$18='5.Variables'!$B$39,+'5.Variables'!$F54,+IF(N$18='5.Variables'!$B$62,+'5.Variables'!$F68,+IF(N$18='5.Variables'!$B$76,+'5.Variables'!$F82,+IF(N$18='5.Variables'!$B$90,+'5.Variables'!$F96,+IF(N$18='5.Variables'!$B$104,+'5.Variables'!$F110,0))))))</f>
        <v>0</v>
      </c>
      <c r="O71" s="725">
        <f>IF(O$18='5.Variables'!$B$16,+'5.Variables'!$F30,+IF(O$18='5.Variables'!$B$39,+'5.Variables'!$F54,+IF(O$18='5.Variables'!$B$62,+'5.Variables'!$F68,+IF(O$18='5.Variables'!$B$76,+'5.Variables'!$F82,+IF(O$18='5.Variables'!$B$90,+'5.Variables'!$F96,+IF(O$18='5.Variables'!$B$104,+'5.Variables'!$F110,0))))))</f>
        <v>30</v>
      </c>
      <c r="P71" s="725">
        <f>IF(P$18='5.Variables'!$B$16,+'5.Variables'!$F30,+IF(P$18='5.Variables'!$B$39,+'5.Variables'!$F54,+IF(P$18='5.Variables'!$B$62,+'5.Variables'!$F68,+IF(P$18='5.Variables'!$B$76,+'5.Variables'!$F82,+IF(P$18='5.Variables'!$B$90,+'5.Variables'!$F96,+IF(P$18='5.Variables'!$B$104,+'5.Variables'!$F110,0))))))</f>
        <v>0</v>
      </c>
      <c r="Q71" s="245"/>
      <c r="R71" s="558">
        <f t="shared" si="1"/>
        <v>15408670.281385662</v>
      </c>
      <c r="S71" s="265"/>
      <c r="T71" s="245"/>
      <c r="U71" s="245"/>
      <c r="V71" s="245"/>
      <c r="W71" s="245"/>
      <c r="X71" s="245"/>
      <c r="Y71" s="245"/>
      <c r="Z71" s="245"/>
      <c r="AA71" s="245"/>
      <c r="AB71" s="245"/>
      <c r="AC71" s="245"/>
      <c r="AD71" s="245"/>
      <c r="AE71" s="245"/>
      <c r="AF71" s="245"/>
      <c r="AG71" s="245"/>
      <c r="AH71" s="245"/>
      <c r="AI71" s="245"/>
      <c r="AJ71" s="245"/>
      <c r="AK71" s="245"/>
      <c r="AL71" s="245"/>
      <c r="AM71" s="245"/>
    </row>
    <row r="72" spans="1:39" x14ac:dyDescent="0.2">
      <c r="A72" s="503">
        <f t="shared" si="2"/>
        <v>53</v>
      </c>
      <c r="B72" s="262" t="str">
        <f>CONCATENATE('3. Consumption by Rate Class'!B77,"-",'3. Consumption by Rate Class'!C77)</f>
        <v>2009-May</v>
      </c>
      <c r="C72" s="697">
        <v>14633883.960000001</v>
      </c>
      <c r="D72" s="703">
        <v>-25365.599999999999</v>
      </c>
      <c r="E72" s="707"/>
      <c r="F72" s="703"/>
      <c r="G72" s="703"/>
      <c r="H72" s="703"/>
      <c r="I72" s="704"/>
      <c r="J72" s="263">
        <f t="shared" si="0"/>
        <v>14608518.360000001</v>
      </c>
      <c r="K72" s="725">
        <f>IF(K$18='5.Variables'!$B$16,+'5.Variables'!$G31,+IF(K$18='5.Variables'!$B$39,+'5.Variables'!$G54,+IF(K$18='5.Variables'!$B$62,+'5.Variables'!$G68,+IF(K$18='5.Variables'!$B$76,+'5.Variables'!$G82,+IF(K$18='5.Variables'!$B$90,+'5.Variables'!$G96,+IF(K$18='5.Variables'!$B$104,+'5.Variables'!$G110,0))))))</f>
        <v>181.6</v>
      </c>
      <c r="L72" s="725">
        <f>IF(L$18='5.Variables'!$B$16,+'5.Variables'!$G30,+IF(L$18='5.Variables'!$B$39,+'5.Variables'!$G54,+IF(L$18='5.Variables'!$B$62,+'5.Variables'!$G68,+IF(L$18='5.Variables'!$B$76,+'5.Variables'!$G82,+IF(L$18='5.Variables'!$B$90,+'5.Variables'!$G96,+IF(L$18='5.Variables'!$B$104,+'5.Variables'!$G110,0))))))</f>
        <v>3.2</v>
      </c>
      <c r="M72" s="725">
        <f>IF(M$18='5.Variables'!$B$16,+'5.Variables'!$G30,+IF(M$18='5.Variables'!$B$39,+'5.Variables'!$G54,+IF(M$18='5.Variables'!$B$62,+'5.Variables'!$G68,+IF(M$18='5.Variables'!$B$76,+'5.Variables'!$G82,+IF(M$18='5.Variables'!$B$90,+'5.Variables'!$G96,+IF(M$18='5.Variables'!$B$104,+'5.Variables'!$G110,0))))))</f>
        <v>0</v>
      </c>
      <c r="N72" s="725">
        <f>IF(N$18='5.Variables'!$B$16,+'5.Variables'!$G30,+IF(N$18='5.Variables'!$B$39,+'5.Variables'!$G54,+IF(N$18='5.Variables'!$B$62,+'5.Variables'!$G68,+IF(N$18='5.Variables'!$B$76,+'5.Variables'!$G82,+IF(N$18='5.Variables'!$B$90,+'5.Variables'!$G96,+IF(N$18='5.Variables'!$B$104,+'5.Variables'!$G110,0))))))</f>
        <v>0</v>
      </c>
      <c r="O72" s="725">
        <f>IF(O$18='5.Variables'!$B$16,+'5.Variables'!$G30,+IF(O$18='5.Variables'!$B$39,+'5.Variables'!$G54,+IF(O$18='5.Variables'!$B$62,+'5.Variables'!$G68,+IF(O$18='5.Variables'!$B$76,+'5.Variables'!$G82,+IF(O$18='5.Variables'!$B$90,+'5.Variables'!$G96,+IF(O$18='5.Variables'!$B$104,+'5.Variables'!$G110,0))))))</f>
        <v>31</v>
      </c>
      <c r="P72" s="725">
        <f>IF(P$18='5.Variables'!$B$16,+'5.Variables'!$G30,+IF(P$18='5.Variables'!$B$39,+'5.Variables'!$G54,+IF(P$18='5.Variables'!$B$62,+'5.Variables'!$G68,+IF(P$18='5.Variables'!$B$76,+'5.Variables'!$G82,+IF(P$18='5.Variables'!$B$90,+'5.Variables'!$G96,+IF(P$18='5.Variables'!$B$104,+'5.Variables'!$G110,0))))))</f>
        <v>0</v>
      </c>
      <c r="Q72" s="245"/>
      <c r="R72" s="558">
        <f t="shared" si="1"/>
        <v>14574773.960965499</v>
      </c>
      <c r="S72" s="265"/>
      <c r="T72" s="245"/>
      <c r="U72" s="245" t="s">
        <v>125</v>
      </c>
      <c r="V72" s="245"/>
      <c r="W72" s="245"/>
      <c r="X72" s="245"/>
      <c r="Y72" s="245"/>
      <c r="Z72" s="245"/>
      <c r="AA72" s="245"/>
      <c r="AB72" s="245"/>
      <c r="AC72" s="245"/>
      <c r="AD72" s="245"/>
      <c r="AE72" s="245"/>
      <c r="AF72" s="245"/>
      <c r="AG72" s="245"/>
      <c r="AH72" s="245"/>
      <c r="AI72" s="245"/>
      <c r="AJ72" s="245"/>
      <c r="AK72" s="245"/>
      <c r="AL72" s="245"/>
      <c r="AM72" s="245"/>
    </row>
    <row r="73" spans="1:39" x14ac:dyDescent="0.2">
      <c r="A73" s="503">
        <f t="shared" si="2"/>
        <v>54</v>
      </c>
      <c r="B73" s="262" t="str">
        <f>CONCATENATE('3. Consumption by Rate Class'!B78,"-",'3. Consumption by Rate Class'!C78)</f>
        <v>2009-June</v>
      </c>
      <c r="C73" s="697">
        <v>14792272.42</v>
      </c>
      <c r="D73" s="703">
        <v>-19024.2</v>
      </c>
      <c r="E73" s="707"/>
      <c r="F73" s="703"/>
      <c r="G73" s="703"/>
      <c r="H73" s="703"/>
      <c r="I73" s="704"/>
      <c r="J73" s="263">
        <f t="shared" si="0"/>
        <v>14773248.220000001</v>
      </c>
      <c r="K73" s="725">
        <f>IF(K$18='5.Variables'!$B$16,+'5.Variables'!$H31,+IF(K$18='5.Variables'!$B$39,+'5.Variables'!$H54,+IF(K$18='5.Variables'!$B$62,+'5.Variables'!$H68,+IF(K$18='5.Variables'!$B$76,+'5.Variables'!$H82,+IF(K$18='5.Variables'!$B$90,+'5.Variables'!$H96,+IF(K$18='5.Variables'!$B$104,+'5.Variables'!$H110,0))))))</f>
        <v>50.4</v>
      </c>
      <c r="L73" s="725">
        <f>IF(L$18='5.Variables'!$B$16,+'5.Variables'!$H30,+IF(L$18='5.Variables'!$B$39,+'5.Variables'!$H54,+IF(L$18='5.Variables'!$B$62,+'5.Variables'!$H68,+IF(L$18='5.Variables'!$B$76,+'5.Variables'!$H82,+IF(L$18='5.Variables'!$B$90,+'5.Variables'!$H96,+IF(L$18='5.Variables'!$B$104,+'5.Variables'!$H110,0))))))</f>
        <v>44.9</v>
      </c>
      <c r="M73" s="725">
        <f>IF(M$18='5.Variables'!$B$16,+'5.Variables'!$H30,+IF(M$18='5.Variables'!$B$39,+'5.Variables'!$H54,+IF(M$18='5.Variables'!$B$62,+'5.Variables'!$H68,+IF(M$18='5.Variables'!$B$76,+'5.Variables'!$H82,+IF(M$18='5.Variables'!$B$90,+'5.Variables'!$H96,+IF(M$18='5.Variables'!$B$104,+'5.Variables'!$H110,0))))))</f>
        <v>0</v>
      </c>
      <c r="N73" s="725">
        <f>IF(N$18='5.Variables'!$B$16,+'5.Variables'!$H30,+IF(N$18='5.Variables'!$B$39,+'5.Variables'!$H54,+IF(N$18='5.Variables'!$B$62,+'5.Variables'!$H68,+IF(N$18='5.Variables'!$B$76,+'5.Variables'!$H82,+IF(N$18='5.Variables'!$B$90,+'5.Variables'!$H96,+IF(N$18='5.Variables'!$B$104,+'5.Variables'!$H110,0))))))</f>
        <v>0</v>
      </c>
      <c r="O73" s="725">
        <f>IF(O$18='5.Variables'!$B$16,+'5.Variables'!$H30,+IF(O$18='5.Variables'!$B$39,+'5.Variables'!$H54,+IF(O$18='5.Variables'!$B$62,+'5.Variables'!$H68,+IF(O$18='5.Variables'!$B$76,+'5.Variables'!$H82,+IF(O$18='5.Variables'!$B$90,+'5.Variables'!$H96,+IF(O$18='5.Variables'!$B$104,+'5.Variables'!$H110,0))))))</f>
        <v>30</v>
      </c>
      <c r="P73" s="725">
        <f>IF(P$18='5.Variables'!$B$16,+'5.Variables'!$H30,+IF(P$18='5.Variables'!$B$39,+'5.Variables'!$H54,+IF(P$18='5.Variables'!$B$62,+'5.Variables'!$H68,+IF(P$18='5.Variables'!$B$76,+'5.Variables'!$H82,+IF(P$18='5.Variables'!$B$90,+'5.Variables'!$H96,+IF(P$18='5.Variables'!$B$104,+'5.Variables'!$H110,0))))))</f>
        <v>0</v>
      </c>
      <c r="Q73" s="245"/>
      <c r="R73" s="558">
        <f t="shared" si="1"/>
        <v>14565709.790388487</v>
      </c>
      <c r="S73" s="265"/>
      <c r="T73" s="245"/>
      <c r="U73" s="245" t="s">
        <v>168</v>
      </c>
      <c r="V73" s="245"/>
      <c r="W73" s="245"/>
      <c r="X73" s="245"/>
      <c r="Y73" s="245"/>
      <c r="Z73" s="245"/>
      <c r="AA73" s="245"/>
      <c r="AB73" s="245"/>
      <c r="AC73" s="245"/>
      <c r="AD73" s="245"/>
      <c r="AE73" s="245"/>
      <c r="AF73" s="245"/>
      <c r="AG73" s="245"/>
      <c r="AH73" s="245"/>
      <c r="AI73" s="245"/>
      <c r="AJ73" s="245"/>
      <c r="AK73" s="245"/>
      <c r="AL73" s="245"/>
      <c r="AM73" s="245"/>
    </row>
    <row r="74" spans="1:39" x14ac:dyDescent="0.2">
      <c r="A74" s="503">
        <f t="shared" si="2"/>
        <v>55</v>
      </c>
      <c r="B74" s="262" t="str">
        <f>CONCATENATE('3. Consumption by Rate Class'!B79,"-",'3. Consumption by Rate Class'!C79)</f>
        <v>2009-July</v>
      </c>
      <c r="C74" s="697">
        <v>14407933.99</v>
      </c>
      <c r="D74" s="703">
        <v>-10780.38</v>
      </c>
      <c r="E74" s="707"/>
      <c r="F74" s="703"/>
      <c r="G74" s="703"/>
      <c r="H74" s="703"/>
      <c r="I74" s="704"/>
      <c r="J74" s="263">
        <f t="shared" si="0"/>
        <v>14397153.609999999</v>
      </c>
      <c r="K74" s="725">
        <f>IF(K$18='5.Variables'!$B$16,+'5.Variables'!$I31,+IF(K$18='5.Variables'!$B$39,+'5.Variables'!$I54,+IF(K$18='5.Variables'!$B$62,+'5.Variables'!$I68,+IF(K$18='5.Variables'!$B$76,+'5.Variables'!$I82,+IF(K$18='5.Variables'!$B$90,+'5.Variables'!$I96,+IF(K$18='5.Variables'!$B$104,+'5.Variables'!$I110,0))))))</f>
        <v>13.1</v>
      </c>
      <c r="L74" s="725">
        <f>IF(L$18='5.Variables'!$B$16,+'5.Variables'!$I30,+IF(L$18='5.Variables'!$B$39,+'5.Variables'!$I54,+IF(L$18='5.Variables'!$B$62,+'5.Variables'!$I68,+IF(L$18='5.Variables'!$B$76,+'5.Variables'!$I82,+IF(L$18='5.Variables'!$B$90,+'5.Variables'!$I96,+IF(L$18='5.Variables'!$B$104,+'5.Variables'!$I110,0))))))</f>
        <v>42.9</v>
      </c>
      <c r="M74" s="725">
        <f>IF(M$18='5.Variables'!$B$16,+'5.Variables'!$I30,+IF(M$18='5.Variables'!$B$39,+'5.Variables'!$I54,+IF(M$18='5.Variables'!$B$62,+'5.Variables'!$I68,+IF(M$18='5.Variables'!$B$76,+'5.Variables'!$I82,+IF(M$18='5.Variables'!$B$90,+'5.Variables'!$I96,+IF(M$18='5.Variables'!$B$104,+'5.Variables'!$I110,0))))))</f>
        <v>0</v>
      </c>
      <c r="N74" s="725">
        <f>IF(N$18='5.Variables'!$B$16,+'5.Variables'!$I30,+IF(N$18='5.Variables'!$B$39,+'5.Variables'!$I54,+IF(N$18='5.Variables'!$B$62,+'5.Variables'!$I68,+IF(N$18='5.Variables'!$B$76,+'5.Variables'!$I82,+IF(N$18='5.Variables'!$B$90,+'5.Variables'!$I96,+IF(N$18='5.Variables'!$B$104,+'5.Variables'!$I110,0))))))</f>
        <v>1</v>
      </c>
      <c r="O74" s="725">
        <f>IF(O$18='5.Variables'!$B$16,+'5.Variables'!$I30,+IF(O$18='5.Variables'!$B$39,+'5.Variables'!$I54,+IF(O$18='5.Variables'!$B$62,+'5.Variables'!$I68,+IF(O$18='5.Variables'!$B$76,+'5.Variables'!$I82,+IF(O$18='5.Variables'!$B$90,+'5.Variables'!$I96,+IF(O$18='5.Variables'!$B$104,+'5.Variables'!$I110,0))))))</f>
        <v>31</v>
      </c>
      <c r="P74" s="725">
        <f>IF(P$18='5.Variables'!$B$16,+'5.Variables'!$I30,+IF(P$18='5.Variables'!$B$39,+'5.Variables'!$I54,+IF(P$18='5.Variables'!$B$62,+'5.Variables'!$I68,+IF(P$18='5.Variables'!$B$76,+'5.Variables'!$I82,+IF(P$18='5.Variables'!$B$90,+'5.Variables'!$I96,+IF(P$18='5.Variables'!$B$104,+'5.Variables'!$I110,0))))))</f>
        <v>0</v>
      </c>
      <c r="Q74" s="245"/>
      <c r="R74" s="558">
        <f t="shared" si="1"/>
        <v>14770600.977072682</v>
      </c>
      <c r="S74" s="265"/>
      <c r="T74" s="245"/>
      <c r="U74" s="245"/>
      <c r="V74" s="245"/>
      <c r="W74" s="245"/>
      <c r="X74" s="245"/>
      <c r="Y74" s="245"/>
      <c r="Z74" s="245"/>
      <c r="AA74" s="245"/>
      <c r="AB74" s="245"/>
      <c r="AC74" s="245"/>
      <c r="AD74" s="245"/>
      <c r="AE74" s="245"/>
      <c r="AF74" s="245"/>
      <c r="AG74" s="245"/>
      <c r="AH74" s="245"/>
      <c r="AI74" s="245"/>
      <c r="AJ74" s="245"/>
      <c r="AK74" s="245"/>
      <c r="AL74" s="245"/>
      <c r="AM74" s="245"/>
    </row>
    <row r="75" spans="1:39" x14ac:dyDescent="0.2">
      <c r="A75" s="503">
        <f t="shared" si="2"/>
        <v>56</v>
      </c>
      <c r="B75" s="262" t="str">
        <f>CONCATENATE('3. Consumption by Rate Class'!B80,"-",'3. Consumption by Rate Class'!C80)</f>
        <v>2009-August</v>
      </c>
      <c r="C75" s="697">
        <v>16285992.6</v>
      </c>
      <c r="D75" s="703">
        <v>-25999.74</v>
      </c>
      <c r="E75" s="707"/>
      <c r="F75" s="703"/>
      <c r="G75" s="703"/>
      <c r="H75" s="703"/>
      <c r="I75" s="704"/>
      <c r="J75" s="263">
        <f t="shared" si="0"/>
        <v>16259992.859999999</v>
      </c>
      <c r="K75" s="725">
        <f>IF(K$18='5.Variables'!$B$16,+'5.Variables'!$J31,+IF(K$18='5.Variables'!$B$39,+'5.Variables'!$J54,+IF(K$18='5.Variables'!$B$62,+'5.Variables'!$J68,+IF(K$18='5.Variables'!$B$76,+'5.Variables'!$J82,+IF(K$18='5.Variables'!$B$90,+'5.Variables'!$J96,+IF(K$18='5.Variables'!$B$104,+'5.Variables'!$J110,0))))))</f>
        <v>26.1</v>
      </c>
      <c r="L75" s="725">
        <f>IF(L$18='5.Variables'!$B$16,+'5.Variables'!$J30,+IF(L$18='5.Variables'!$B$39,+'5.Variables'!$J54,+IF(L$18='5.Variables'!$B$62,+'5.Variables'!$J68,+IF(L$18='5.Variables'!$B$76,+'5.Variables'!$J82,+IF(L$18='5.Variables'!$B$90,+'5.Variables'!$J96,+IF(L$18='5.Variables'!$B$104,+'5.Variables'!$J110,0))))))</f>
        <v>82.1</v>
      </c>
      <c r="M75" s="725">
        <f>IF(M$18='5.Variables'!$B$16,+'5.Variables'!$J30,+IF(M$18='5.Variables'!$B$39,+'5.Variables'!$J54,+IF(M$18='5.Variables'!$B$62,+'5.Variables'!$J68,+IF(M$18='5.Variables'!$B$76,+'5.Variables'!$J82,+IF(M$18='5.Variables'!$B$90,+'5.Variables'!$J96,+IF(M$18='5.Variables'!$B$104,+'5.Variables'!$J110,0))))))</f>
        <v>0</v>
      </c>
      <c r="N75" s="725">
        <f>IF(N$18='5.Variables'!$B$16,+'5.Variables'!$J30,+IF(N$18='5.Variables'!$B$39,+'5.Variables'!$J54,+IF(N$18='5.Variables'!$B$62,+'5.Variables'!$J68,+IF(N$18='5.Variables'!$B$76,+'5.Variables'!$J82,+IF(N$18='5.Variables'!$B$90,+'5.Variables'!$J96,+IF(N$18='5.Variables'!$B$104,+'5.Variables'!$J110,0))))))</f>
        <v>0</v>
      </c>
      <c r="O75" s="725">
        <f>IF(O$18='5.Variables'!$B$16,+'5.Variables'!$J30,+IF(O$18='5.Variables'!$B$39,+'5.Variables'!$J54,+IF(O$18='5.Variables'!$B$62,+'5.Variables'!$J68,+IF(O$18='5.Variables'!$B$76,+'5.Variables'!$J82,+IF(O$18='5.Variables'!$B$90,+'5.Variables'!$J96,+IF(O$18='5.Variables'!$B$104,+'5.Variables'!$J110,0))))))</f>
        <v>31</v>
      </c>
      <c r="P75" s="725">
        <f>IF(P$18='5.Variables'!$B$16,+'5.Variables'!$J30,+IF(P$18='5.Variables'!$B$39,+'5.Variables'!$J54,+IF(P$18='5.Variables'!$B$62,+'5.Variables'!$J68,+IF(P$18='5.Variables'!$B$76,+'5.Variables'!$J82,+IF(P$18='5.Variables'!$B$90,+'5.Variables'!$J96,+IF(P$18='5.Variables'!$B$104,+'5.Variables'!$J110,0))))))</f>
        <v>0</v>
      </c>
      <c r="Q75" s="245"/>
      <c r="R75" s="558">
        <f t="shared" si="1"/>
        <v>15442736.212331682</v>
      </c>
      <c r="S75" s="265"/>
      <c r="T75" s="245"/>
      <c r="U75" s="534" t="s">
        <v>33</v>
      </c>
      <c r="V75" s="534" t="s">
        <v>245</v>
      </c>
      <c r="W75" s="535" t="s">
        <v>45</v>
      </c>
      <c r="X75" s="245"/>
      <c r="Y75" s="245"/>
      <c r="Z75" s="245"/>
      <c r="AA75" s="245"/>
      <c r="AB75" s="245"/>
      <c r="AC75" s="245"/>
      <c r="AD75" s="245"/>
      <c r="AE75" s="245"/>
      <c r="AF75" s="245"/>
      <c r="AG75" s="245"/>
      <c r="AH75" s="245"/>
      <c r="AI75" s="245"/>
      <c r="AJ75" s="245"/>
      <c r="AK75" s="245"/>
      <c r="AL75" s="245"/>
      <c r="AM75" s="245"/>
    </row>
    <row r="76" spans="1:39" x14ac:dyDescent="0.2">
      <c r="A76" s="503">
        <f t="shared" si="2"/>
        <v>57</v>
      </c>
      <c r="B76" s="262" t="str">
        <f>CONCATENATE('3. Consumption by Rate Class'!B81,"-",'3. Consumption by Rate Class'!C81)</f>
        <v>2009-September</v>
      </c>
      <c r="C76" s="697">
        <v>14255141.98</v>
      </c>
      <c r="D76" s="703">
        <v>-24097.32</v>
      </c>
      <c r="E76" s="707"/>
      <c r="F76" s="703"/>
      <c r="G76" s="703"/>
      <c r="H76" s="704"/>
      <c r="I76" s="704"/>
      <c r="J76" s="263">
        <f t="shared" si="0"/>
        <v>14231044.66</v>
      </c>
      <c r="K76" s="725">
        <f>IF(K$18='5.Variables'!$B$16,+'5.Variables'!$K31,+IF(K$18='5.Variables'!$B$39,+'5.Variables'!$K54,+IF(K$18='5.Variables'!$B$62,+'5.Variables'!$K68,+IF(K$18='5.Variables'!$B$76,+'5.Variables'!$K82,+IF(K$18='5.Variables'!$B$90,+'5.Variables'!$K96,+IF(K$18='5.Variables'!$B$104,+'5.Variables'!$K110,0))))))</f>
        <v>106.5</v>
      </c>
      <c r="L76" s="725">
        <f>IF(L$18='5.Variables'!$B$16,+'5.Variables'!$K30,+IF(L$18='5.Variables'!$B$39,+'5.Variables'!$K54,+IF(L$18='5.Variables'!$B$62,+'5.Variables'!$K68,+IF(L$18='5.Variables'!$B$76,+'5.Variables'!$K82,+IF(L$18='5.Variables'!$B$90,+'5.Variables'!$K96,+IF(L$18='5.Variables'!$B$104,+'5.Variables'!$K110,0))))))</f>
        <v>5</v>
      </c>
      <c r="M76" s="725">
        <f>IF(M$18='5.Variables'!$B$16,+'5.Variables'!$K30,+IF(M$18='5.Variables'!$B$39,+'5.Variables'!$K54,+IF(M$18='5.Variables'!$B$62,+'5.Variables'!$K68,+IF(M$18='5.Variables'!$B$76,+'5.Variables'!$K82,+IF(M$18='5.Variables'!$B$90,+'5.Variables'!$K96,+IF(M$18='5.Variables'!$B$104,+'5.Variables'!$K110,0))))))</f>
        <v>0</v>
      </c>
      <c r="N76" s="725">
        <f>IF(N$18='5.Variables'!$B$16,+'5.Variables'!$K30,+IF(N$18='5.Variables'!$B$39,+'5.Variables'!$K54,+IF(N$18='5.Variables'!$B$62,+'5.Variables'!$K68,+IF(N$18='5.Variables'!$B$76,+'5.Variables'!$K82,+IF(N$18='5.Variables'!$B$90,+'5.Variables'!$K96,+IF(N$18='5.Variables'!$B$104,+'5.Variables'!$K110,0))))))</f>
        <v>0</v>
      </c>
      <c r="O76" s="725">
        <f>IF(O$18='5.Variables'!$B$16,+'5.Variables'!$K30,+IF(O$18='5.Variables'!$B$39,+'5.Variables'!$K54,+IF(O$18='5.Variables'!$B$62,+'5.Variables'!$K68,+IF(O$18='5.Variables'!$B$76,+'5.Variables'!$K82,+IF(O$18='5.Variables'!$B$90,+'5.Variables'!$K96,+IF(O$18='5.Variables'!$B$104,+'5.Variables'!$K110,0))))))</f>
        <v>30</v>
      </c>
      <c r="P76" s="725">
        <f>IF(P$18='5.Variables'!$B$16,+'5.Variables'!$K30,+IF(P$18='5.Variables'!$B$39,+'5.Variables'!$K54,+IF(P$18='5.Variables'!$B$62,+'5.Variables'!$K68,+IF(P$18='5.Variables'!$B$76,+'5.Variables'!$K82,+IF(P$18='5.Variables'!$B$90,+'5.Variables'!$K96,+IF(P$18='5.Variables'!$B$104,+'5.Variables'!$K110,0))))))</f>
        <v>0</v>
      </c>
      <c r="Q76" s="245"/>
      <c r="R76" s="558">
        <f t="shared" si="1"/>
        <v>13979477.486402348</v>
      </c>
      <c r="S76" s="265"/>
      <c r="T76" s="245"/>
      <c r="U76" s="533">
        <v>2015</v>
      </c>
      <c r="V76" s="531">
        <f>S151</f>
        <v>199517622.55165917</v>
      </c>
      <c r="W76" s="532">
        <f>(V76-V68)/V68</f>
        <v>4.112185063855843E-2</v>
      </c>
      <c r="X76" s="245"/>
      <c r="Y76" s="245"/>
      <c r="Z76" s="245"/>
      <c r="AA76" s="245"/>
      <c r="AB76" s="245"/>
      <c r="AC76" s="245"/>
      <c r="AD76" s="245"/>
      <c r="AE76" s="245"/>
      <c r="AF76" s="245"/>
      <c r="AG76" s="245"/>
      <c r="AH76" s="245"/>
      <c r="AI76" s="245"/>
      <c r="AJ76" s="245"/>
      <c r="AK76" s="245"/>
      <c r="AL76" s="245"/>
      <c r="AM76" s="245"/>
    </row>
    <row r="77" spans="1:39" x14ac:dyDescent="0.2">
      <c r="A77" s="503">
        <f t="shared" si="2"/>
        <v>58</v>
      </c>
      <c r="B77" s="262" t="str">
        <f>CONCATENATE('3. Consumption by Rate Class'!B82,"-",'3. Consumption by Rate Class'!C82)</f>
        <v>2009-October</v>
      </c>
      <c r="C77" s="697">
        <v>15853362.029999999</v>
      </c>
      <c r="D77" s="703">
        <v>-22194.9</v>
      </c>
      <c r="E77" s="707"/>
      <c r="F77" s="703"/>
      <c r="G77" s="703"/>
      <c r="H77" s="704"/>
      <c r="I77" s="704"/>
      <c r="J77" s="263">
        <f t="shared" si="0"/>
        <v>15831167.129999999</v>
      </c>
      <c r="K77" s="725">
        <f>IF(K$18='5.Variables'!$B$16,+'5.Variables'!$L31,+IF(K$18='5.Variables'!$B$39,+'5.Variables'!$L54,+IF(K$18='5.Variables'!$B$62,+'5.Variables'!$L68,+IF(K$18='5.Variables'!$B$76,+'5.Variables'!$L82,+IF(K$18='5.Variables'!$B$90,+'5.Variables'!$L96,+IF(K$18='5.Variables'!$B$104,+'5.Variables'!$L110,0))))))</f>
        <v>355.5</v>
      </c>
      <c r="L77" s="725">
        <f>IF(L$18='5.Variables'!$B$16,+'5.Variables'!$L30,+IF(L$18='5.Variables'!$B$39,+'5.Variables'!$L54,+IF(L$18='5.Variables'!$B$62,+'5.Variables'!$L68,+IF(L$18='5.Variables'!$B$76,+'5.Variables'!$L82,+IF(L$18='5.Variables'!$B$90,+'5.Variables'!$L96,+IF(L$18='5.Variables'!$B$104,+'5.Variables'!$L110,0))))))</f>
        <v>0</v>
      </c>
      <c r="M77" s="725">
        <f>IF(M$18='5.Variables'!$B$16,+'5.Variables'!$L30,+IF(M$18='5.Variables'!$B$39,+'5.Variables'!$L54,+IF(M$18='5.Variables'!$B$62,+'5.Variables'!$L68,+IF(M$18='5.Variables'!$B$76,+'5.Variables'!$L82,+IF(M$18='5.Variables'!$B$90,+'5.Variables'!$L96,+IF(M$18='5.Variables'!$B$104,+'5.Variables'!$L110,0))))))</f>
        <v>0</v>
      </c>
      <c r="N77" s="725">
        <f>IF(N$18='5.Variables'!$B$16,+'5.Variables'!$L30,+IF(N$18='5.Variables'!$B$39,+'5.Variables'!$L54,+IF(N$18='5.Variables'!$B$62,+'5.Variables'!$L68,+IF(N$18='5.Variables'!$B$76,+'5.Variables'!$L82,+IF(N$18='5.Variables'!$B$90,+'5.Variables'!$L96,+IF(N$18='5.Variables'!$B$104,+'5.Variables'!$L110,0))))))</f>
        <v>0</v>
      </c>
      <c r="O77" s="725">
        <f>IF(O$18='5.Variables'!$B$16,+'5.Variables'!$L30,+IF(O$18='5.Variables'!$B$39,+'5.Variables'!$L54,+IF(O$18='5.Variables'!$B$62,+'5.Variables'!$L68,+IF(O$18='5.Variables'!$B$76,+'5.Variables'!$L82,+IF(O$18='5.Variables'!$B$90,+'5.Variables'!$L96,+IF(O$18='5.Variables'!$B$104,+'5.Variables'!$L110,0))))))</f>
        <v>31</v>
      </c>
      <c r="P77" s="725">
        <f>IF(P$18='5.Variables'!$B$16,+'5.Variables'!$L30,+IF(P$18='5.Variables'!$B$39,+'5.Variables'!$L54,+IF(P$18='5.Variables'!$B$62,+'5.Variables'!$L68,+IF(P$18='5.Variables'!$B$76,+'5.Variables'!$L82,+IF(P$18='5.Variables'!$B$90,+'5.Variables'!$L96,+IF(P$18='5.Variables'!$B$104,+'5.Variables'!$L110,0))))))</f>
        <v>0</v>
      </c>
      <c r="Q77" s="245"/>
      <c r="R77" s="558">
        <f t="shared" si="1"/>
        <v>15634959.35911613</v>
      </c>
      <c r="S77" s="265"/>
      <c r="T77" s="245"/>
      <c r="U77" s="533">
        <v>2016</v>
      </c>
      <c r="V77" s="531">
        <f>S163</f>
        <v>199139994.65082523</v>
      </c>
      <c r="W77" s="532">
        <f>(V77-V76)/V76</f>
        <v>-1.8927044939910458E-3</v>
      </c>
      <c r="X77" s="245"/>
      <c r="Y77" s="245"/>
      <c r="Z77" s="245"/>
      <c r="AA77" s="245"/>
      <c r="AB77" s="245"/>
      <c r="AC77" s="245"/>
      <c r="AD77" s="245"/>
      <c r="AE77" s="245"/>
      <c r="AF77" s="245"/>
      <c r="AG77" s="245"/>
      <c r="AH77" s="245"/>
      <c r="AI77" s="245"/>
      <c r="AJ77" s="245"/>
      <c r="AK77" s="245"/>
      <c r="AL77" s="245"/>
      <c r="AM77" s="245"/>
    </row>
    <row r="78" spans="1:39" x14ac:dyDescent="0.2">
      <c r="A78" s="503">
        <f t="shared" si="2"/>
        <v>59</v>
      </c>
      <c r="B78" s="262" t="str">
        <f>CONCATENATE('3. Consumption by Rate Class'!B83,"-",'3. Consumption by Rate Class'!C83)</f>
        <v>2009-November</v>
      </c>
      <c r="C78" s="697">
        <v>16088470.039999999</v>
      </c>
      <c r="D78" s="703">
        <v>-12048.66</v>
      </c>
      <c r="E78" s="707"/>
      <c r="F78" s="703"/>
      <c r="G78" s="703"/>
      <c r="H78" s="704"/>
      <c r="I78" s="704"/>
      <c r="J78" s="263">
        <f t="shared" si="0"/>
        <v>16076421.379999999</v>
      </c>
      <c r="K78" s="725">
        <f>IF(K$18='5.Variables'!$B$16,+'5.Variables'!$M31,+IF(K$18='5.Variables'!$B$39,+'5.Variables'!$M54,+IF(K$18='5.Variables'!$B$62,+'5.Variables'!$M68,+IF(K$18='5.Variables'!$B$76,+'5.Variables'!$M82,+IF(K$18='5.Variables'!$B$90,+'5.Variables'!$M96,+IF(K$18='5.Variables'!$B$104,+'5.Variables'!$M110,0))))))</f>
        <v>417.4</v>
      </c>
      <c r="L78" s="725">
        <f>IF(L$18='5.Variables'!$B$16,+'5.Variables'!$M30,+IF(L$18='5.Variables'!$B$39,+'5.Variables'!$M54,+IF(L$18='5.Variables'!$B$62,+'5.Variables'!$M68,+IF(L$18='5.Variables'!$B$76,+'5.Variables'!$M82,+IF(L$18='5.Variables'!$B$90,+'5.Variables'!$M96,+IF(L$18='5.Variables'!$B$104,+'5.Variables'!$M110,0))))))</f>
        <v>0</v>
      </c>
      <c r="M78" s="725">
        <f>IF(M$18='5.Variables'!$B$16,+'5.Variables'!$M30,+IF(M$18='5.Variables'!$B$39,+'5.Variables'!$M54,+IF(M$18='5.Variables'!$B$62,+'5.Variables'!$M68,+IF(M$18='5.Variables'!$B$76,+'5.Variables'!$M82,+IF(M$18='5.Variables'!$B$90,+'5.Variables'!$M96,+IF(M$18='5.Variables'!$B$104,+'5.Variables'!$M110,0))))))</f>
        <v>0</v>
      </c>
      <c r="N78" s="725">
        <f>IF(N$18='5.Variables'!$B$16,+'5.Variables'!$M30,+IF(N$18='5.Variables'!$B$39,+'5.Variables'!$M54,+IF(N$18='5.Variables'!$B$62,+'5.Variables'!$M68,+IF(N$18='5.Variables'!$B$76,+'5.Variables'!$M82,+IF(N$18='5.Variables'!$B$90,+'5.Variables'!$M96,+IF(N$18='5.Variables'!$B$104,+'5.Variables'!$M110,0))))))</f>
        <v>0</v>
      </c>
      <c r="O78" s="725">
        <f>IF(O$18='5.Variables'!$B$16,+'5.Variables'!$M30,+IF(O$18='5.Variables'!$B$39,+'5.Variables'!$M54,+IF(O$18='5.Variables'!$B$62,+'5.Variables'!$M68,+IF(O$18='5.Variables'!$B$76,+'5.Variables'!$M82,+IF(O$18='5.Variables'!$B$90,+'5.Variables'!$M96,+IF(O$18='5.Variables'!$B$104,+'5.Variables'!$M110,0))))))</f>
        <v>30</v>
      </c>
      <c r="P78" s="725">
        <f>IF(P$18='5.Variables'!$B$16,+'5.Variables'!$M30,+IF(P$18='5.Variables'!$B$39,+'5.Variables'!$M54,+IF(P$18='5.Variables'!$B$62,+'5.Variables'!$M68,+IF(P$18='5.Variables'!$B$76,+'5.Variables'!$M82,+IF(P$18='5.Variables'!$B$90,+'5.Variables'!$M96,+IF(P$18='5.Variables'!$B$104,+'5.Variables'!$M110,0))))))</f>
        <v>0</v>
      </c>
      <c r="Q78" s="245"/>
      <c r="R78" s="558">
        <f t="shared" si="1"/>
        <v>15892105.406649781</v>
      </c>
      <c r="S78" s="265"/>
      <c r="T78" s="245"/>
      <c r="U78" s="245"/>
      <c r="V78" s="245"/>
      <c r="W78" s="245"/>
      <c r="X78" s="245"/>
      <c r="Y78" s="245"/>
      <c r="Z78" s="245"/>
      <c r="AA78" s="245"/>
      <c r="AB78" s="245"/>
      <c r="AC78" s="245"/>
      <c r="AD78" s="245"/>
      <c r="AE78" s="245"/>
      <c r="AF78" s="245"/>
      <c r="AG78" s="245"/>
      <c r="AH78" s="245"/>
      <c r="AI78" s="245"/>
      <c r="AJ78" s="245"/>
      <c r="AK78" s="245"/>
      <c r="AL78" s="245"/>
      <c r="AM78" s="245"/>
    </row>
    <row r="79" spans="1:39" x14ac:dyDescent="0.2">
      <c r="A79" s="503">
        <f t="shared" si="2"/>
        <v>60</v>
      </c>
      <c r="B79" s="522" t="str">
        <f>CONCATENATE('3. Consumption by Rate Class'!B84,"-",'3. Consumption by Rate Class'!C84)</f>
        <v>2009-December</v>
      </c>
      <c r="C79" s="698">
        <v>19679147.079999998</v>
      </c>
      <c r="D79" s="705">
        <v>-12048.66</v>
      </c>
      <c r="E79" s="705"/>
      <c r="F79" s="705"/>
      <c r="G79" s="705"/>
      <c r="H79" s="706"/>
      <c r="I79" s="706"/>
      <c r="J79" s="263">
        <f t="shared" si="0"/>
        <v>19667098.419999998</v>
      </c>
      <c r="K79" s="725">
        <f>IF(K$18='5.Variables'!$B$16,+'5.Variables'!$N31,+IF(K$18='5.Variables'!$B$39,+'5.Variables'!$N54,+IF(K$18='5.Variables'!$B$62,+'5.Variables'!$N68,+IF(K$18='5.Variables'!$B$76,+'5.Variables'!$N82,+IF(K$18='5.Variables'!$B$90,+'5.Variables'!$N96,+IF(K$18='5.Variables'!$B$104,+'5.Variables'!$N110,0))))))</f>
        <v>759.4</v>
      </c>
      <c r="L79" s="725">
        <f>IF(L$18='5.Variables'!$B$16,+'5.Variables'!$N30,+IF(L$18='5.Variables'!$B$39,+'5.Variables'!$N54,+IF(L$18='5.Variables'!$B$62,+'5.Variables'!$N68,+IF(L$18='5.Variables'!$B$76,+'5.Variables'!$N82,+IF(L$18='5.Variables'!$B$90,+'5.Variables'!$N96,+IF(L$18='5.Variables'!$B$104,+'5.Variables'!$N110,0))))))</f>
        <v>0</v>
      </c>
      <c r="M79" s="725">
        <f>IF(M$18='5.Variables'!$B$16,+'5.Variables'!$N30,+IF(M$18='5.Variables'!$B$39,+'5.Variables'!$N54,+IF(M$18='5.Variables'!$B$62,+'5.Variables'!$N68,+IF(M$18='5.Variables'!$B$76,+'5.Variables'!$N82,+IF(M$18='5.Variables'!$B$90,+'5.Variables'!$N96,+IF(M$18='5.Variables'!$B$104,+'5.Variables'!$N110,0))))))</f>
        <v>1</v>
      </c>
      <c r="N79" s="725">
        <f>IF(N$18='5.Variables'!$B$16,+'5.Variables'!$N30,+IF(N$18='5.Variables'!$B$39,+'5.Variables'!$N54,+IF(N$18='5.Variables'!$B$62,+'5.Variables'!$N68,+IF(N$18='5.Variables'!$B$76,+'5.Variables'!$N82,+IF(N$18='5.Variables'!$B$90,+'5.Variables'!$N96,+IF(N$18='5.Variables'!$B$104,+'5.Variables'!$N110,0))))))</f>
        <v>1</v>
      </c>
      <c r="O79" s="725">
        <f>IF(O$18='5.Variables'!$B$16,+'5.Variables'!$N30,+IF(O$18='5.Variables'!$B$39,+'5.Variables'!$N54,+IF(O$18='5.Variables'!$B$62,+'5.Variables'!$N68,+IF(O$18='5.Variables'!$B$76,+'5.Variables'!$N82,+IF(O$18='5.Variables'!$B$90,+'5.Variables'!$N96,+IF(O$18='5.Variables'!$B$104,+'5.Variables'!$N110,0))))))</f>
        <v>31</v>
      </c>
      <c r="P79" s="725">
        <f>IF(P$18='5.Variables'!$B$16,+'5.Variables'!$N30,+IF(P$18='5.Variables'!$B$39,+'5.Variables'!$N54,+IF(P$18='5.Variables'!$B$62,+'5.Variables'!$N68,+IF(P$18='5.Variables'!$B$76,+'5.Variables'!$N82,+IF(P$18='5.Variables'!$B$90,+'5.Variables'!$N96,+IF(P$18='5.Variables'!$B$104,+'5.Variables'!$N110,0))))))</f>
        <v>0</v>
      </c>
      <c r="Q79" s="245"/>
      <c r="R79" s="558">
        <f t="shared" si="1"/>
        <v>20226151.283702593</v>
      </c>
      <c r="S79" s="265">
        <f>SUM(R68:R79)</f>
        <v>198852587.20216557</v>
      </c>
      <c r="T79" s="245"/>
      <c r="U79" s="274"/>
      <c r="V79" s="245"/>
      <c r="W79" s="245"/>
      <c r="X79" s="245"/>
      <c r="Y79" s="245"/>
      <c r="Z79" s="245"/>
      <c r="AA79" s="245"/>
      <c r="AB79" s="245"/>
      <c r="AC79" s="245"/>
      <c r="AD79" s="245"/>
      <c r="AE79" s="245"/>
      <c r="AF79" s="245"/>
      <c r="AG79" s="245"/>
      <c r="AH79" s="245"/>
      <c r="AI79" s="245"/>
      <c r="AJ79" s="245"/>
      <c r="AK79" s="245"/>
      <c r="AL79" s="245"/>
      <c r="AM79" s="245"/>
    </row>
    <row r="80" spans="1:39" x14ac:dyDescent="0.2">
      <c r="A80" s="503">
        <f t="shared" si="2"/>
        <v>61</v>
      </c>
      <c r="B80" s="262" t="str">
        <f>CONCATENATE('3. Consumption by Rate Class'!B85,"-",'3. Consumption by Rate Class'!C85)</f>
        <v>2010-January</v>
      </c>
      <c r="C80" s="697">
        <v>21755879.16</v>
      </c>
      <c r="D80" s="703">
        <v>-11414.52</v>
      </c>
      <c r="E80" s="707"/>
      <c r="F80" s="703"/>
      <c r="G80" s="703"/>
      <c r="H80" s="704"/>
      <c r="I80" s="704"/>
      <c r="J80" s="263">
        <f t="shared" si="0"/>
        <v>21744464.640000001</v>
      </c>
      <c r="K80" s="725">
        <f>IF(K$18='5.Variables'!$B$16,+'5.Variables'!$C32,+IF(K$18='5.Variables'!$B$39,+'5.Variables'!$C55,+IF(K$18='5.Variables'!$B$62,+'5.Variables'!$C69,+IF(K$18='5.Variables'!$B$76,+'5.Variables'!$C83,+IF(K$18='5.Variables'!$B$90,+'5.Variables'!$C97,+IF(K$18='5.Variables'!$B$104,+'5.Variables'!$C111,0))))))</f>
        <v>789.2</v>
      </c>
      <c r="L80" s="725">
        <f>IF(L$18='5.Variables'!$B$16,+'5.Variables'!$C31,+IF(L$18='5.Variables'!$B$39,+'5.Variables'!$C55,+IF(L$18='5.Variables'!$B$62,+'5.Variables'!$C69,+IF(L$18='5.Variables'!$B$76,+'5.Variables'!$C83,+IF(L$18='5.Variables'!$B$90,+'5.Variables'!$C97,+IF(L$18='5.Variables'!$B$104,+'5.Variables'!$C111,0))))))</f>
        <v>0</v>
      </c>
      <c r="M80" s="725">
        <f>IF(M$18='5.Variables'!$B$16,+'5.Variables'!$C31,+IF(M$18='5.Variables'!$B$39,+'5.Variables'!$C55,+IF(M$18='5.Variables'!$B$62,+'5.Variables'!$C69,+IF(M$18='5.Variables'!$B$76,+'5.Variables'!$C83,+IF(M$18='5.Variables'!$B$90,+'5.Variables'!$C97,+IF(M$18='5.Variables'!$B$104,+'5.Variables'!$C111,0))))))</f>
        <v>1</v>
      </c>
      <c r="N80" s="725">
        <f>IF(N$18='5.Variables'!$B$16,+'5.Variables'!$C31,+IF(N$18='5.Variables'!$B$39,+'5.Variables'!$C55,+IF(N$18='5.Variables'!$B$62,+'5.Variables'!$C69,+IF(N$18='5.Variables'!$B$76,+'5.Variables'!$C83,+IF(N$18='5.Variables'!$B$90,+'5.Variables'!$C97,+IF(N$18='5.Variables'!$B$104,+'5.Variables'!$C111,0))))))</f>
        <v>1</v>
      </c>
      <c r="O80" s="725">
        <f>IF(O$18='5.Variables'!$B$16,+'5.Variables'!$C31,+IF(O$18='5.Variables'!$B$39,+'5.Variables'!$C55,+IF(O$18='5.Variables'!$B$62,+'5.Variables'!$C69,+IF(O$18='5.Variables'!$B$76,+'5.Variables'!$C83,+IF(O$18='5.Variables'!$B$90,+'5.Variables'!$C97,+IF(O$18='5.Variables'!$B$104,+'5.Variables'!$C111,0))))))</f>
        <v>31</v>
      </c>
      <c r="P80" s="725">
        <f>IF(P$18='5.Variables'!$B$16,+'5.Variables'!$C31,+IF(P$18='5.Variables'!$B$39,+'5.Variables'!$C55,+IF(P$18='5.Variables'!$B$62,+'5.Variables'!$C69,+IF(P$18='5.Variables'!$B$76,+'5.Variables'!$C83,+IF(P$18='5.Variables'!$B$90,+'5.Variables'!$C97,+IF(P$18='5.Variables'!$B$104,+'5.Variables'!$C111,0))))))</f>
        <v>0</v>
      </c>
      <c r="Q80" s="245"/>
      <c r="R80" s="558">
        <f t="shared" si="1"/>
        <v>20420923.768551469</v>
      </c>
      <c r="S80" s="265"/>
      <c r="T80" s="245"/>
      <c r="U80" s="274"/>
      <c r="V80" s="245"/>
      <c r="W80" s="245"/>
      <c r="X80" s="245"/>
      <c r="Y80" s="245"/>
      <c r="Z80" s="245"/>
      <c r="AA80" s="245"/>
      <c r="AB80" s="245"/>
      <c r="AC80" s="245"/>
      <c r="AD80" s="245"/>
      <c r="AE80" s="245"/>
      <c r="AF80" s="245"/>
      <c r="AG80" s="245"/>
      <c r="AH80" s="245"/>
      <c r="AI80" s="245"/>
      <c r="AJ80" s="245"/>
      <c r="AK80" s="245"/>
      <c r="AL80" s="245"/>
      <c r="AM80" s="245"/>
    </row>
    <row r="81" spans="1:39" x14ac:dyDescent="0.2">
      <c r="A81" s="503">
        <f t="shared" si="2"/>
        <v>62</v>
      </c>
      <c r="B81" s="262" t="str">
        <f>CONCATENATE('3. Consumption by Rate Class'!B86,"-",'3. Consumption by Rate Class'!C86)</f>
        <v>2010-February</v>
      </c>
      <c r="C81" s="697">
        <v>17815005</v>
      </c>
      <c r="D81" s="703">
        <v>-9512.1</v>
      </c>
      <c r="E81" s="707"/>
      <c r="F81" s="703"/>
      <c r="G81" s="703"/>
      <c r="H81" s="704"/>
      <c r="I81" s="704"/>
      <c r="J81" s="263">
        <f t="shared" si="0"/>
        <v>17805492.899999999</v>
      </c>
      <c r="K81" s="725">
        <f>IF(K$18='5.Variables'!$B$16,+'5.Variables'!$D32,+IF(K$18='5.Variables'!$B$39,+'5.Variables'!$D55,+IF(K$18='5.Variables'!$B$62,+'5.Variables'!$D69,+IF(K$18='5.Variables'!$B$76,+'5.Variables'!$D83,+IF(K$18='5.Variables'!$B$90,+'5.Variables'!$D97,+IF(K$18='5.Variables'!$B$104,+'5.Variables'!$D111,0))))))</f>
        <v>655.8</v>
      </c>
      <c r="L81" s="725">
        <f>IF(L$18='5.Variables'!$B$16,+'5.Variables'!$D31,+IF(L$18='5.Variables'!$B$39,+'5.Variables'!$D55,+IF(L$18='5.Variables'!$B$62,+'5.Variables'!$D69,+IF(L$18='5.Variables'!$B$76,+'5.Variables'!$D83,+IF(L$18='5.Variables'!$B$90,+'5.Variables'!$D97,+IF(L$18='5.Variables'!$B$104,+'5.Variables'!$D111,0))))))</f>
        <v>0</v>
      </c>
      <c r="M81" s="725">
        <f>IF(M$18='5.Variables'!$B$16,+'5.Variables'!$D31,+IF(M$18='5.Variables'!$B$39,+'5.Variables'!$D55,+IF(M$18='5.Variables'!$B$62,+'5.Variables'!$D69,+IF(M$18='5.Variables'!$B$76,+'5.Variables'!$D83,+IF(M$18='5.Variables'!$B$90,+'5.Variables'!$D97,+IF(M$18='5.Variables'!$B$104,+'5.Variables'!$D111,0))))))</f>
        <v>1</v>
      </c>
      <c r="N81" s="725">
        <f>IF(N$18='5.Variables'!$B$16,+'5.Variables'!$D31,+IF(N$18='5.Variables'!$B$39,+'5.Variables'!$D55,+IF(N$18='5.Variables'!$B$62,+'5.Variables'!$D69,+IF(N$18='5.Variables'!$B$76,+'5.Variables'!$D83,+IF(N$18='5.Variables'!$B$90,+'5.Variables'!$D97,+IF(N$18='5.Variables'!$B$104,+'5.Variables'!$D111,0))))))</f>
        <v>0</v>
      </c>
      <c r="O81" s="725">
        <f>IF(O$18='5.Variables'!$B$16,+'5.Variables'!$D31,+IF(O$18='5.Variables'!$B$39,+'5.Variables'!$D55,+IF(O$18='5.Variables'!$B$62,+'5.Variables'!$D69,+IF(O$18='5.Variables'!$B$76,+'5.Variables'!$D83,+IF(O$18='5.Variables'!$B$90,+'5.Variables'!$D97,+IF(O$18='5.Variables'!$B$104,+'5.Variables'!$D111,0))))))</f>
        <v>28</v>
      </c>
      <c r="P81" s="725">
        <f>IF(P$18='5.Variables'!$B$16,+'5.Variables'!$D31,+IF(P$18='5.Variables'!$B$39,+'5.Variables'!$D55,+IF(P$18='5.Variables'!$B$62,+'5.Variables'!$D69,+IF(P$18='5.Variables'!$B$76,+'5.Variables'!$D83,+IF(P$18='5.Variables'!$B$90,+'5.Variables'!$D97,+IF(P$18='5.Variables'!$B$104,+'5.Variables'!$D111,0))))))</f>
        <v>0</v>
      </c>
      <c r="Q81" s="245"/>
      <c r="R81" s="558">
        <f t="shared" si="1"/>
        <v>18757711.314704712</v>
      </c>
      <c r="S81" s="265"/>
      <c r="T81" s="245"/>
      <c r="U81" s="274"/>
      <c r="V81" s="245"/>
      <c r="W81" s="245"/>
      <c r="X81" s="245"/>
      <c r="Y81" s="245"/>
      <c r="Z81" s="245"/>
      <c r="AA81" s="245"/>
      <c r="AB81" s="245"/>
      <c r="AC81" s="245"/>
      <c r="AD81" s="245"/>
      <c r="AE81" s="245"/>
      <c r="AF81" s="245"/>
      <c r="AG81" s="245"/>
      <c r="AH81" s="245"/>
      <c r="AI81" s="245"/>
      <c r="AJ81" s="245"/>
      <c r="AK81" s="245"/>
      <c r="AL81" s="245"/>
      <c r="AM81" s="245"/>
    </row>
    <row r="82" spans="1:39" x14ac:dyDescent="0.2">
      <c r="A82" s="503">
        <f t="shared" si="2"/>
        <v>63</v>
      </c>
      <c r="B82" s="262" t="str">
        <f>CONCATENATE('3. Consumption by Rate Class'!B87,"-",'3. Consumption by Rate Class'!C87)</f>
        <v>2010-March</v>
      </c>
      <c r="C82" s="697">
        <v>15902024.119999999</v>
      </c>
      <c r="D82" s="703"/>
      <c r="E82" s="707"/>
      <c r="F82" s="703"/>
      <c r="G82" s="703"/>
      <c r="H82" s="704"/>
      <c r="I82" s="704"/>
      <c r="J82" s="263">
        <f t="shared" si="0"/>
        <v>15902024.119999999</v>
      </c>
      <c r="K82" s="725">
        <f>IF(K$18='5.Variables'!$B$16,+'5.Variables'!$E32,+IF(K$18='5.Variables'!$B$39,+'5.Variables'!$E55,+IF(K$18='5.Variables'!$B$62,+'5.Variables'!$E69,+IF(K$18='5.Variables'!$B$76,+'5.Variables'!$E83,+IF(K$18='5.Variables'!$B$90,+'5.Variables'!$E97,+IF(K$18='5.Variables'!$B$104,+'5.Variables'!$E111,0))))))</f>
        <v>460.7</v>
      </c>
      <c r="L82" s="725">
        <f>IF(L$18='5.Variables'!$B$16,+'5.Variables'!$E31,+IF(L$18='5.Variables'!$B$39,+'5.Variables'!$E55,+IF(L$18='5.Variables'!$B$62,+'5.Variables'!$E69,+IF(L$18='5.Variables'!$B$76,+'5.Variables'!$E83,+IF(L$18='5.Variables'!$B$90,+'5.Variables'!$E97,+IF(L$18='5.Variables'!$B$104,+'5.Variables'!$E111,0))))))</f>
        <v>0</v>
      </c>
      <c r="M82" s="725">
        <f>IF(M$18='5.Variables'!$B$16,+'5.Variables'!$E31,+IF(M$18='5.Variables'!$B$39,+'5.Variables'!$E55,+IF(M$18='5.Variables'!$B$62,+'5.Variables'!$E69,+IF(M$18='5.Variables'!$B$76,+'5.Variables'!$E83,+IF(M$18='5.Variables'!$B$90,+'5.Variables'!$E97,+IF(M$18='5.Variables'!$B$104,+'5.Variables'!$E111,0))))))</f>
        <v>0</v>
      </c>
      <c r="N82" s="725">
        <f>IF(N$18='5.Variables'!$B$16,+'5.Variables'!$E31,+IF(N$18='5.Variables'!$B$39,+'5.Variables'!$E55,+IF(N$18='5.Variables'!$B$62,+'5.Variables'!$E69,+IF(N$18='5.Variables'!$B$76,+'5.Variables'!$E83,+IF(N$18='5.Variables'!$B$90,+'5.Variables'!$E97,+IF(N$18='5.Variables'!$B$104,+'5.Variables'!$E111,0))))))</f>
        <v>1</v>
      </c>
      <c r="O82" s="725">
        <f>IF(O$18='5.Variables'!$B$16,+'5.Variables'!$E31,+IF(O$18='5.Variables'!$B$39,+'5.Variables'!$E55,+IF(O$18='5.Variables'!$B$62,+'5.Variables'!$E69,+IF(O$18='5.Variables'!$B$76,+'5.Variables'!$E83,+IF(O$18='5.Variables'!$B$90,+'5.Variables'!$E97,+IF(O$18='5.Variables'!$B$104,+'5.Variables'!$E111,0))))))</f>
        <v>31</v>
      </c>
      <c r="P82" s="725">
        <f>IF(P$18='5.Variables'!$B$16,+'5.Variables'!$E31,+IF(P$18='5.Variables'!$B$39,+'5.Variables'!$E55,+IF(P$18='5.Variables'!$B$62,+'5.Variables'!$E69,+IF(P$18='5.Variables'!$B$76,+'5.Variables'!$E83,+IF(P$18='5.Variables'!$B$90,+'5.Variables'!$E97,+IF(P$18='5.Variables'!$B$104,+'5.Variables'!$E111,0))))))</f>
        <v>0</v>
      </c>
      <c r="Q82" s="245"/>
      <c r="R82" s="558">
        <f t="shared" si="1"/>
        <v>16671561.817672092</v>
      </c>
      <c r="S82" s="265"/>
      <c r="T82" s="245"/>
      <c r="U82" s="274"/>
      <c r="V82" s="245"/>
      <c r="W82" s="245"/>
      <c r="X82" s="245"/>
      <c r="Y82" s="245"/>
      <c r="Z82" s="245"/>
      <c r="AA82" s="245"/>
      <c r="AB82" s="245"/>
      <c r="AC82" s="245"/>
      <c r="AD82" s="245"/>
      <c r="AE82" s="245"/>
      <c r="AF82" s="245"/>
      <c r="AG82" s="245"/>
      <c r="AH82" s="245"/>
      <c r="AI82" s="245"/>
      <c r="AJ82" s="245"/>
      <c r="AK82" s="245"/>
      <c r="AL82" s="245"/>
      <c r="AM82" s="245"/>
    </row>
    <row r="83" spans="1:39" x14ac:dyDescent="0.2">
      <c r="A83" s="503">
        <f t="shared" si="2"/>
        <v>64</v>
      </c>
      <c r="B83" s="262" t="str">
        <f>CONCATENATE('3. Consumption by Rate Class'!B88,"-",'3. Consumption by Rate Class'!C88)</f>
        <v>2010-April</v>
      </c>
      <c r="C83" s="697">
        <v>14463639.93</v>
      </c>
      <c r="D83" s="703"/>
      <c r="E83" s="707"/>
      <c r="F83" s="703"/>
      <c r="G83" s="703"/>
      <c r="H83" s="704"/>
      <c r="I83" s="704"/>
      <c r="J83" s="263">
        <f t="shared" si="0"/>
        <v>14463639.93</v>
      </c>
      <c r="K83" s="725">
        <f>IF(K$18='5.Variables'!$B$16,+'5.Variables'!$F32,+IF(K$18='5.Variables'!$B$39,+'5.Variables'!$F55,+IF(K$18='5.Variables'!$B$62,+'5.Variables'!$F69,+IF(K$18='5.Variables'!$B$76,+'5.Variables'!$F83,+IF(K$18='5.Variables'!$B$90,+'5.Variables'!$F97,+IF(K$18='5.Variables'!$B$104,+'5.Variables'!$F111,0))))))</f>
        <v>258.10000000000002</v>
      </c>
      <c r="L83" s="725">
        <f>IF(L$18='5.Variables'!$B$16,+'5.Variables'!$F31,+IF(L$18='5.Variables'!$B$39,+'5.Variables'!$F55,+IF(L$18='5.Variables'!$B$62,+'5.Variables'!$F69,+IF(L$18='5.Variables'!$B$76,+'5.Variables'!$F83,+IF(L$18='5.Variables'!$B$90,+'5.Variables'!$F97,+IF(L$18='5.Variables'!$B$104,+'5.Variables'!$F111,0))))))</f>
        <v>1.6</v>
      </c>
      <c r="M83" s="725">
        <f>IF(M$18='5.Variables'!$B$16,+'5.Variables'!$F31,+IF(M$18='5.Variables'!$B$39,+'5.Variables'!$F55,+IF(M$18='5.Variables'!$B$62,+'5.Variables'!$F69,+IF(M$18='5.Variables'!$B$76,+'5.Variables'!$F83,+IF(M$18='5.Variables'!$B$90,+'5.Variables'!$F97,+IF(M$18='5.Variables'!$B$104,+'5.Variables'!$F111,0))))))</f>
        <v>0</v>
      </c>
      <c r="N83" s="725">
        <f>IF(N$18='5.Variables'!$B$16,+'5.Variables'!$F31,+IF(N$18='5.Variables'!$B$39,+'5.Variables'!$F55,+IF(N$18='5.Variables'!$B$62,+'5.Variables'!$F69,+IF(N$18='5.Variables'!$B$76,+'5.Variables'!$F83,+IF(N$18='5.Variables'!$B$90,+'5.Variables'!$F97,+IF(N$18='5.Variables'!$B$104,+'5.Variables'!$F111,0))))))</f>
        <v>0</v>
      </c>
      <c r="O83" s="725">
        <f>IF(O$18='5.Variables'!$B$16,+'5.Variables'!$F31,+IF(O$18='5.Variables'!$B$39,+'5.Variables'!$F55,+IF(O$18='5.Variables'!$B$62,+'5.Variables'!$F69,+IF(O$18='5.Variables'!$B$76,+'5.Variables'!$F83,+IF(O$18='5.Variables'!$B$90,+'5.Variables'!$F97,+IF(O$18='5.Variables'!$B$104,+'5.Variables'!$F111,0))))))</f>
        <v>30</v>
      </c>
      <c r="P83" s="725">
        <f>IF(P$18='5.Variables'!$B$16,+'5.Variables'!$F31,+IF(P$18='5.Variables'!$B$39,+'5.Variables'!$F55,+IF(P$18='5.Variables'!$B$62,+'5.Variables'!$F69,+IF(P$18='5.Variables'!$B$76,+'5.Variables'!$F83,+IF(P$18='5.Variables'!$B$90,+'5.Variables'!$F97,+IF(P$18='5.Variables'!$B$104,+'5.Variables'!$F111,0))))))</f>
        <v>0</v>
      </c>
      <c r="Q83" s="245"/>
      <c r="R83" s="558">
        <f t="shared" si="1"/>
        <v>14889133.872714868</v>
      </c>
      <c r="S83" s="265"/>
      <c r="T83" s="245"/>
      <c r="U83" s="245"/>
      <c r="V83" s="245"/>
      <c r="W83" s="245"/>
      <c r="X83" s="245"/>
      <c r="Y83" s="245"/>
      <c r="Z83" s="245"/>
      <c r="AA83" s="245"/>
      <c r="AB83" s="245"/>
      <c r="AC83" s="245"/>
      <c r="AD83" s="245"/>
      <c r="AE83" s="245"/>
      <c r="AF83" s="245"/>
      <c r="AG83" s="245"/>
      <c r="AH83" s="245"/>
      <c r="AI83" s="245"/>
      <c r="AJ83" s="245"/>
      <c r="AK83" s="245"/>
      <c r="AL83" s="245"/>
      <c r="AM83" s="245"/>
    </row>
    <row r="84" spans="1:39" x14ac:dyDescent="0.2">
      <c r="A84" s="503">
        <f t="shared" si="2"/>
        <v>65</v>
      </c>
      <c r="B84" s="262" t="str">
        <f>CONCATENATE('3. Consumption by Rate Class'!B89,"-",'3. Consumption by Rate Class'!C89)</f>
        <v>2010-May</v>
      </c>
      <c r="C84" s="697">
        <v>14660940.24</v>
      </c>
      <c r="D84" s="703"/>
      <c r="E84" s="707"/>
      <c r="F84" s="703"/>
      <c r="G84" s="703"/>
      <c r="H84" s="704"/>
      <c r="I84" s="704"/>
      <c r="J84" s="263">
        <f t="shared" si="0"/>
        <v>14660940.24</v>
      </c>
      <c r="K84" s="725">
        <f>IF(K$18='5.Variables'!$B$16,+'5.Variables'!$G32,+IF(K$18='5.Variables'!$B$39,+'5.Variables'!$G55,+IF(K$18='5.Variables'!$B$62,+'5.Variables'!$G69,+IF(K$18='5.Variables'!$B$76,+'5.Variables'!$G83,+IF(K$18='5.Variables'!$B$90,+'5.Variables'!$G97,+IF(K$18='5.Variables'!$B$104,+'5.Variables'!$G111,0))))))</f>
        <v>112.3</v>
      </c>
      <c r="L84" s="725">
        <f>IF(L$18='5.Variables'!$B$16,+'5.Variables'!$G31,+IF(L$18='5.Variables'!$B$39,+'5.Variables'!$G55,+IF(L$18='5.Variables'!$B$62,+'5.Variables'!$G69,+IF(L$18='5.Variables'!$B$76,+'5.Variables'!$G83,+IF(L$18='5.Variables'!$B$90,+'5.Variables'!$G97,+IF(L$18='5.Variables'!$B$104,+'5.Variables'!$G111,0))))))</f>
        <v>38.200000000000003</v>
      </c>
      <c r="M84" s="725">
        <f>IF(M$18='5.Variables'!$B$16,+'5.Variables'!$G31,+IF(M$18='5.Variables'!$B$39,+'5.Variables'!$G55,+IF(M$18='5.Variables'!$B$62,+'5.Variables'!$G69,+IF(M$18='5.Variables'!$B$76,+'5.Variables'!$G83,+IF(M$18='5.Variables'!$B$90,+'5.Variables'!$G97,+IF(M$18='5.Variables'!$B$104,+'5.Variables'!$G111,0))))))</f>
        <v>0</v>
      </c>
      <c r="N84" s="725">
        <f>IF(N$18='5.Variables'!$B$16,+'5.Variables'!$G31,+IF(N$18='5.Variables'!$B$39,+'5.Variables'!$G55,+IF(N$18='5.Variables'!$B$62,+'5.Variables'!$G69,+IF(N$18='5.Variables'!$B$76,+'5.Variables'!$G83,+IF(N$18='5.Variables'!$B$90,+'5.Variables'!$G97,+IF(N$18='5.Variables'!$B$104,+'5.Variables'!$G111,0))))))</f>
        <v>0</v>
      </c>
      <c r="O84" s="725">
        <f>IF(O$18='5.Variables'!$B$16,+'5.Variables'!$G31,+IF(O$18='5.Variables'!$B$39,+'5.Variables'!$G55,+IF(O$18='5.Variables'!$B$62,+'5.Variables'!$G69,+IF(O$18='5.Variables'!$B$76,+'5.Variables'!$G83,+IF(O$18='5.Variables'!$B$90,+'5.Variables'!$G97,+IF(O$18='5.Variables'!$B$104,+'5.Variables'!$G111,0))))))</f>
        <v>31</v>
      </c>
      <c r="P84" s="725">
        <f>IF(P$18='5.Variables'!$B$16,+'5.Variables'!$G31,+IF(P$18='5.Variables'!$B$39,+'5.Variables'!$G55,+IF(P$18='5.Variables'!$B$62,+'5.Variables'!$G69,+IF(P$18='5.Variables'!$B$76,+'5.Variables'!$G83,+IF(P$18='5.Variables'!$B$90,+'5.Variables'!$G97,+IF(P$18='5.Variables'!$B$104,+'5.Variables'!$G111,0))))))</f>
        <v>0</v>
      </c>
      <c r="Q84" s="245"/>
      <c r="R84" s="558">
        <f t="shared" si="1"/>
        <v>14957708.236568294</v>
      </c>
      <c r="S84" s="265"/>
      <c r="T84" s="245"/>
      <c r="U84" s="245"/>
      <c r="V84" s="245"/>
      <c r="W84" s="245"/>
      <c r="X84" s="245"/>
      <c r="Y84" s="245"/>
      <c r="Z84" s="245"/>
      <c r="AA84" s="245"/>
      <c r="AB84" s="245"/>
      <c r="AC84" s="245"/>
      <c r="AD84" s="245"/>
      <c r="AE84" s="245"/>
      <c r="AF84" s="245"/>
      <c r="AG84" s="245"/>
      <c r="AH84" s="245"/>
      <c r="AI84" s="245"/>
      <c r="AJ84" s="245"/>
      <c r="AK84" s="245"/>
      <c r="AL84" s="245"/>
      <c r="AM84" s="245"/>
    </row>
    <row r="85" spans="1:39" ht="13.5" customHeight="1" x14ac:dyDescent="0.2">
      <c r="A85" s="503">
        <f t="shared" si="2"/>
        <v>66</v>
      </c>
      <c r="B85" s="262" t="str">
        <f>CONCATENATE('3. Consumption by Rate Class'!B90,"-",'3. Consumption by Rate Class'!C90)</f>
        <v>2010-June</v>
      </c>
      <c r="C85" s="697">
        <v>14032949.92</v>
      </c>
      <c r="D85" s="703"/>
      <c r="E85" s="707"/>
      <c r="F85" s="703"/>
      <c r="G85" s="703"/>
      <c r="H85" s="704"/>
      <c r="I85" s="704"/>
      <c r="J85" s="263">
        <f t="shared" ref="J85:J139" si="8">SUM(C85:I85)</f>
        <v>14032949.92</v>
      </c>
      <c r="K85" s="725">
        <f>IF(K$18='5.Variables'!$B$16,+'5.Variables'!$H32,+IF(K$18='5.Variables'!$B$39,+'5.Variables'!$H55,+IF(K$18='5.Variables'!$B$62,+'5.Variables'!$H69,+IF(K$18='5.Variables'!$B$76,+'5.Variables'!$H83,+IF(K$18='5.Variables'!$B$90,+'5.Variables'!$H97,+IF(K$18='5.Variables'!$B$104,+'5.Variables'!$H111,0))))))</f>
        <v>37.6</v>
      </c>
      <c r="L85" s="725">
        <f>IF(L$18='5.Variables'!$B$16,+'5.Variables'!$H31,+IF(L$18='5.Variables'!$B$39,+'5.Variables'!$H55,+IF(L$18='5.Variables'!$B$62,+'5.Variables'!$H69,+IF(L$18='5.Variables'!$B$76,+'5.Variables'!$H83,+IF(L$18='5.Variables'!$B$90,+'5.Variables'!$H97,+IF(L$18='5.Variables'!$B$104,+'5.Variables'!$H111,0))))))</f>
        <v>33.4</v>
      </c>
      <c r="M85" s="725">
        <f>IF(M$18='5.Variables'!$B$16,+'5.Variables'!$H31,+IF(M$18='5.Variables'!$B$39,+'5.Variables'!$H55,+IF(M$18='5.Variables'!$B$62,+'5.Variables'!$H69,+IF(M$18='5.Variables'!$B$76,+'5.Variables'!$H83,+IF(M$18='5.Variables'!$B$90,+'5.Variables'!$H97,+IF(M$18='5.Variables'!$B$104,+'5.Variables'!$H111,0))))))</f>
        <v>0</v>
      </c>
      <c r="N85" s="725">
        <f>IF(N$18='5.Variables'!$B$16,+'5.Variables'!$H31,+IF(N$18='5.Variables'!$B$39,+'5.Variables'!$H55,+IF(N$18='5.Variables'!$B$62,+'5.Variables'!$H69,+IF(N$18='5.Variables'!$B$76,+'5.Variables'!$H83,+IF(N$18='5.Variables'!$B$90,+'5.Variables'!$H97,+IF(N$18='5.Variables'!$B$104,+'5.Variables'!$H111,0))))))</f>
        <v>0</v>
      </c>
      <c r="O85" s="725">
        <f>IF(O$18='5.Variables'!$B$16,+'5.Variables'!$H31,+IF(O$18='5.Variables'!$B$39,+'5.Variables'!$H55,+IF(O$18='5.Variables'!$B$62,+'5.Variables'!$H69,+IF(O$18='5.Variables'!$B$76,+'5.Variables'!$H83,+IF(O$18='5.Variables'!$B$90,+'5.Variables'!$H97,+IF(O$18='5.Variables'!$B$104,+'5.Variables'!$H111,0))))))</f>
        <v>30</v>
      </c>
      <c r="P85" s="725">
        <f>IF(P$18='5.Variables'!$B$16,+'5.Variables'!$H31,+IF(P$18='5.Variables'!$B$39,+'5.Variables'!$H55,+IF(P$18='5.Variables'!$B$62,+'5.Variables'!$H69,+IF(P$18='5.Variables'!$B$76,+'5.Variables'!$H83,+IF(P$18='5.Variables'!$B$90,+'5.Variables'!$H97,+IF(P$18='5.Variables'!$B$104,+'5.Variables'!$H111,0))))))</f>
        <v>0</v>
      </c>
      <c r="Q85" s="245"/>
      <c r="R85" s="558">
        <f t="shared" ref="R85:R148" si="9">$V$34+(K85*$V$35)+(L85*$V$36)+(M85*$V$37)+(N85*$V$38)+(O85*$V$39)</f>
        <v>14207403.384576712</v>
      </c>
      <c r="S85" s="265"/>
      <c r="T85" s="245"/>
      <c r="U85" s="245"/>
      <c r="V85" s="245"/>
      <c r="W85" s="245"/>
      <c r="X85" s="245"/>
      <c r="Y85" s="245"/>
      <c r="Z85" s="245"/>
      <c r="AA85" s="245"/>
      <c r="AB85" s="245"/>
      <c r="AC85" s="245"/>
      <c r="AD85" s="245"/>
      <c r="AE85" s="245"/>
      <c r="AF85" s="245"/>
      <c r="AG85" s="245"/>
      <c r="AH85" s="245"/>
      <c r="AI85" s="245"/>
      <c r="AJ85" s="245"/>
      <c r="AK85" s="245"/>
      <c r="AL85" s="245"/>
      <c r="AM85" s="245"/>
    </row>
    <row r="86" spans="1:39" x14ac:dyDescent="0.2">
      <c r="A86" s="503">
        <f t="shared" ref="A86:A149" si="10">+A85+1</f>
        <v>67</v>
      </c>
      <c r="B86" s="262" t="str">
        <f>CONCATENATE('3. Consumption by Rate Class'!B91,"-",'3. Consumption by Rate Class'!C91)</f>
        <v>2010-July</v>
      </c>
      <c r="C86" s="697">
        <v>17609345.43</v>
      </c>
      <c r="D86" s="703"/>
      <c r="E86" s="707"/>
      <c r="F86" s="703"/>
      <c r="G86" s="703"/>
      <c r="H86" s="704"/>
      <c r="I86" s="704"/>
      <c r="J86" s="263">
        <f t="shared" si="8"/>
        <v>17609345.43</v>
      </c>
      <c r="K86" s="725">
        <f>IF(K$18='5.Variables'!$B$16,+'5.Variables'!$I32,+IF(K$18='5.Variables'!$B$39,+'5.Variables'!$I55,+IF(K$18='5.Variables'!$B$62,+'5.Variables'!$I69,+IF(K$18='5.Variables'!$B$76,+'5.Variables'!$I83,+IF(K$18='5.Variables'!$B$90,+'5.Variables'!$I97,+IF(K$18='5.Variables'!$B$104,+'5.Variables'!$I111,0))))))</f>
        <v>4.5</v>
      </c>
      <c r="L86" s="725">
        <f>IF(L$18='5.Variables'!$B$16,+'5.Variables'!$I31,+IF(L$18='5.Variables'!$B$39,+'5.Variables'!$I55,+IF(L$18='5.Variables'!$B$62,+'5.Variables'!$I69,+IF(L$18='5.Variables'!$B$76,+'5.Variables'!$I83,+IF(L$18='5.Variables'!$B$90,+'5.Variables'!$I97,+IF(L$18='5.Variables'!$B$104,+'5.Variables'!$I111,0))))))</f>
        <v>150.80000000000001</v>
      </c>
      <c r="M86" s="725">
        <f>IF(M$18='5.Variables'!$B$16,+'5.Variables'!$I31,+IF(M$18='5.Variables'!$B$39,+'5.Variables'!$I55,+IF(M$18='5.Variables'!$B$62,+'5.Variables'!$I69,+IF(M$18='5.Variables'!$B$76,+'5.Variables'!$I83,+IF(M$18='5.Variables'!$B$90,+'5.Variables'!$I97,+IF(M$18='5.Variables'!$B$104,+'5.Variables'!$I111,0))))))</f>
        <v>0</v>
      </c>
      <c r="N86" s="725">
        <f>IF(N$18='5.Variables'!$B$16,+'5.Variables'!$I31,+IF(N$18='5.Variables'!$B$39,+'5.Variables'!$I55,+IF(N$18='5.Variables'!$B$62,+'5.Variables'!$I69,+IF(N$18='5.Variables'!$B$76,+'5.Variables'!$I83,+IF(N$18='5.Variables'!$B$90,+'5.Variables'!$I97,+IF(N$18='5.Variables'!$B$104,+'5.Variables'!$I111,0))))))</f>
        <v>1</v>
      </c>
      <c r="O86" s="725">
        <f>IF(O$18='5.Variables'!$B$16,+'5.Variables'!$I31,+IF(O$18='5.Variables'!$B$39,+'5.Variables'!$I55,+IF(O$18='5.Variables'!$B$62,+'5.Variables'!$I69,+IF(O$18='5.Variables'!$B$76,+'5.Variables'!$I83,+IF(O$18='5.Variables'!$B$90,+'5.Variables'!$I97,+IF(O$18='5.Variables'!$B$104,+'5.Variables'!$I111,0))))))</f>
        <v>31</v>
      </c>
      <c r="P86" s="725">
        <f>IF(P$18='5.Variables'!$B$16,+'5.Variables'!$I31,+IF(P$18='5.Variables'!$B$39,+'5.Variables'!$I55,+IF(P$18='5.Variables'!$B$62,+'5.Variables'!$I69,+IF(P$18='5.Variables'!$B$76,+'5.Variables'!$I83,+IF(P$18='5.Variables'!$B$90,+'5.Variables'!$I97,+IF(P$18='5.Variables'!$B$104,+'5.Variables'!$I111,0))))))</f>
        <v>0</v>
      </c>
      <c r="Q86" s="245"/>
      <c r="R86" s="558">
        <f t="shared" si="9"/>
        <v>17291284.987429466</v>
      </c>
      <c r="S86" s="265"/>
      <c r="T86" s="245"/>
      <c r="U86" s="245"/>
      <c r="V86" s="245"/>
      <c r="W86" s="245"/>
      <c r="X86" s="245"/>
      <c r="Y86" s="245"/>
      <c r="Z86" s="245"/>
      <c r="AA86" s="245"/>
      <c r="AB86" s="245"/>
      <c r="AC86" s="245"/>
      <c r="AD86" s="245"/>
      <c r="AE86" s="245"/>
      <c r="AF86" s="245"/>
      <c r="AG86" s="245"/>
      <c r="AH86" s="245"/>
      <c r="AI86" s="245"/>
      <c r="AJ86" s="245"/>
      <c r="AK86" s="245"/>
      <c r="AL86" s="245"/>
      <c r="AM86" s="245"/>
    </row>
    <row r="87" spans="1:39" x14ac:dyDescent="0.2">
      <c r="A87" s="503">
        <f t="shared" si="10"/>
        <v>68</v>
      </c>
      <c r="B87" s="262" t="str">
        <f>CONCATENATE('3. Consumption by Rate Class'!B92,"-",'3. Consumption by Rate Class'!C92)</f>
        <v>2010-August</v>
      </c>
      <c r="C87" s="697">
        <v>14962494.51</v>
      </c>
      <c r="D87" s="703"/>
      <c r="E87" s="707"/>
      <c r="F87" s="703"/>
      <c r="G87" s="703"/>
      <c r="H87" s="704"/>
      <c r="I87" s="704"/>
      <c r="J87" s="263">
        <f t="shared" si="8"/>
        <v>14962494.51</v>
      </c>
      <c r="K87" s="725">
        <f>IF(K$18='5.Variables'!$B$16,+'5.Variables'!$J32,+IF(K$18='5.Variables'!$B$39,+'5.Variables'!$J55,+IF(K$18='5.Variables'!$B$62,+'5.Variables'!$J69,+IF(K$18='5.Variables'!$B$76,+'5.Variables'!$J83,+IF(K$18='5.Variables'!$B$90,+'5.Variables'!$J97,+IF(K$18='5.Variables'!$B$104,+'5.Variables'!$J111,0))))))</f>
        <v>14.7</v>
      </c>
      <c r="L87" s="725">
        <f>IF(L$18='5.Variables'!$B$16,+'5.Variables'!$J31,+IF(L$18='5.Variables'!$B$39,+'5.Variables'!$J55,+IF(L$18='5.Variables'!$B$62,+'5.Variables'!$J69,+IF(L$18='5.Variables'!$B$76,+'5.Variables'!$J83,+IF(L$18='5.Variables'!$B$90,+'5.Variables'!$J97,+IF(L$18='5.Variables'!$B$104,+'5.Variables'!$J111,0))))))</f>
        <v>93</v>
      </c>
      <c r="M87" s="725">
        <f>IF(M$18='5.Variables'!$B$16,+'5.Variables'!$J31,+IF(M$18='5.Variables'!$B$39,+'5.Variables'!$J55,+IF(M$18='5.Variables'!$B$62,+'5.Variables'!$J69,+IF(M$18='5.Variables'!$B$76,+'5.Variables'!$J83,+IF(M$18='5.Variables'!$B$90,+'5.Variables'!$J97,+IF(M$18='5.Variables'!$B$104,+'5.Variables'!$J111,0))))))</f>
        <v>0</v>
      </c>
      <c r="N87" s="725">
        <f>IF(N$18='5.Variables'!$B$16,+'5.Variables'!$J31,+IF(N$18='5.Variables'!$B$39,+'5.Variables'!$J55,+IF(N$18='5.Variables'!$B$62,+'5.Variables'!$J69,+IF(N$18='5.Variables'!$B$76,+'5.Variables'!$J83,+IF(N$18='5.Variables'!$B$90,+'5.Variables'!$J97,+IF(N$18='5.Variables'!$B$104,+'5.Variables'!$J111,0))))))</f>
        <v>0</v>
      </c>
      <c r="O87" s="725">
        <f>IF(O$18='5.Variables'!$B$16,+'5.Variables'!$J31,+IF(O$18='5.Variables'!$B$39,+'5.Variables'!$J55,+IF(O$18='5.Variables'!$B$62,+'5.Variables'!$J69,+IF(O$18='5.Variables'!$B$76,+'5.Variables'!$J83,+IF(O$18='5.Variables'!$B$90,+'5.Variables'!$J97,+IF(O$18='5.Variables'!$B$104,+'5.Variables'!$J111,0))))))</f>
        <v>31</v>
      </c>
      <c r="P87" s="725">
        <f>IF(P$18='5.Variables'!$B$16,+'5.Variables'!$J31,+IF(P$18='5.Variables'!$B$39,+'5.Variables'!$J55,+IF(P$18='5.Variables'!$B$62,+'5.Variables'!$J69,+IF(P$18='5.Variables'!$B$76,+'5.Variables'!$J83,+IF(P$18='5.Variables'!$B$90,+'5.Variables'!$J97,+IF(P$18='5.Variables'!$B$104,+'5.Variables'!$J111,0))))))</f>
        <v>0</v>
      </c>
      <c r="Q87" s="245"/>
      <c r="R87" s="558">
        <f t="shared" si="9"/>
        <v>15628542.331053533</v>
      </c>
      <c r="S87" s="265"/>
      <c r="T87" s="245"/>
      <c r="U87" s="245"/>
      <c r="V87" s="245"/>
      <c r="W87" s="245"/>
      <c r="X87" s="245"/>
      <c r="Y87" s="245"/>
      <c r="Z87" s="245"/>
      <c r="AA87" s="245"/>
      <c r="AB87" s="245"/>
      <c r="AC87" s="245"/>
      <c r="AD87" s="245"/>
      <c r="AE87" s="245"/>
      <c r="AF87" s="245"/>
      <c r="AG87" s="245"/>
      <c r="AH87" s="245"/>
      <c r="AI87" s="245"/>
      <c r="AJ87" s="245"/>
      <c r="AK87" s="245"/>
      <c r="AL87" s="245"/>
      <c r="AM87" s="245"/>
    </row>
    <row r="88" spans="1:39" x14ac:dyDescent="0.2">
      <c r="A88" s="503">
        <f t="shared" si="10"/>
        <v>69</v>
      </c>
      <c r="B88" s="262" t="str">
        <f>CONCATENATE('3. Consumption by Rate Class'!B93,"-",'3. Consumption by Rate Class'!C93)</f>
        <v>2010-September</v>
      </c>
      <c r="C88" s="697">
        <v>13562494.850000001</v>
      </c>
      <c r="D88" s="703"/>
      <c r="E88" s="707"/>
      <c r="F88" s="703"/>
      <c r="G88" s="703"/>
      <c r="H88" s="704"/>
      <c r="I88" s="704"/>
      <c r="J88" s="263">
        <f t="shared" si="8"/>
        <v>13562494.850000001</v>
      </c>
      <c r="K88" s="725">
        <f>IF(K$18='5.Variables'!$B$16,+'5.Variables'!$K32,+IF(K$18='5.Variables'!$B$39,+'5.Variables'!$K55,+IF(K$18='5.Variables'!$B$62,+'5.Variables'!$K69,+IF(K$18='5.Variables'!$B$76,+'5.Variables'!$K83,+IF(K$18='5.Variables'!$B$90,+'5.Variables'!$K97,+IF(K$18='5.Variables'!$B$104,+'5.Variables'!$K111,0))))))</f>
        <v>112</v>
      </c>
      <c r="L88" s="725">
        <f>IF(L$18='5.Variables'!$B$16,+'5.Variables'!$K31,+IF(L$18='5.Variables'!$B$39,+'5.Variables'!$K55,+IF(L$18='5.Variables'!$B$62,+'5.Variables'!$K69,+IF(L$18='5.Variables'!$B$76,+'5.Variables'!$K83,+IF(L$18='5.Variables'!$B$90,+'5.Variables'!$K97,+IF(L$18='5.Variables'!$B$104,+'5.Variables'!$K111,0))))))</f>
        <v>26.2</v>
      </c>
      <c r="M88" s="725">
        <f>IF(M$18='5.Variables'!$B$16,+'5.Variables'!$K31,+IF(M$18='5.Variables'!$B$39,+'5.Variables'!$K55,+IF(M$18='5.Variables'!$B$62,+'5.Variables'!$K69,+IF(M$18='5.Variables'!$B$76,+'5.Variables'!$K83,+IF(M$18='5.Variables'!$B$90,+'5.Variables'!$K97,+IF(M$18='5.Variables'!$B$104,+'5.Variables'!$K111,0))))))</f>
        <v>0</v>
      </c>
      <c r="N88" s="725">
        <f>IF(N$18='5.Variables'!$B$16,+'5.Variables'!$K31,+IF(N$18='5.Variables'!$B$39,+'5.Variables'!$K55,+IF(N$18='5.Variables'!$B$62,+'5.Variables'!$K69,+IF(N$18='5.Variables'!$B$76,+'5.Variables'!$K83,+IF(N$18='5.Variables'!$B$90,+'5.Variables'!$K97,+IF(N$18='5.Variables'!$B$104,+'5.Variables'!$K111,0))))))</f>
        <v>0</v>
      </c>
      <c r="O88" s="725">
        <f>IF(O$18='5.Variables'!$B$16,+'5.Variables'!$K31,+IF(O$18='5.Variables'!$B$39,+'5.Variables'!$K55,+IF(O$18='5.Variables'!$B$62,+'5.Variables'!$K69,+IF(O$18='5.Variables'!$B$76,+'5.Variables'!$K83,+IF(O$18='5.Variables'!$B$90,+'5.Variables'!$K97,+IF(O$18='5.Variables'!$B$104,+'5.Variables'!$K111,0))))))</f>
        <v>30</v>
      </c>
      <c r="P88" s="725">
        <f>IF(P$18='5.Variables'!$B$16,+'5.Variables'!$K31,+IF(P$18='5.Variables'!$B$39,+'5.Variables'!$K55,+IF(P$18='5.Variables'!$B$62,+'5.Variables'!$K69,+IF(P$18='5.Variables'!$B$76,+'5.Variables'!$K83,+IF(P$18='5.Variables'!$B$90,+'5.Variables'!$K97,+IF(P$18='5.Variables'!$B$104,+'5.Variables'!$K111,0))))))</f>
        <v>0</v>
      </c>
      <c r="Q88" s="245"/>
      <c r="R88" s="558">
        <f t="shared" si="9"/>
        <v>14521728.88154022</v>
      </c>
      <c r="S88" s="265"/>
      <c r="T88" s="245"/>
      <c r="U88" s="245"/>
      <c r="V88" s="245"/>
      <c r="W88" s="245"/>
      <c r="X88" s="245"/>
      <c r="Y88" s="245"/>
      <c r="Z88" s="245"/>
      <c r="AA88" s="245"/>
      <c r="AB88" s="245"/>
      <c r="AC88" s="245"/>
      <c r="AD88" s="245"/>
      <c r="AE88" s="245"/>
      <c r="AF88" s="245"/>
      <c r="AG88" s="245"/>
      <c r="AH88" s="245"/>
      <c r="AI88" s="245"/>
      <c r="AJ88" s="245"/>
      <c r="AK88" s="245"/>
      <c r="AL88" s="245"/>
      <c r="AM88" s="245"/>
    </row>
    <row r="89" spans="1:39" x14ac:dyDescent="0.2">
      <c r="A89" s="503">
        <f t="shared" si="10"/>
        <v>70</v>
      </c>
      <c r="B89" s="262" t="str">
        <f>CONCATENATE('3. Consumption by Rate Class'!B94,"-",'3. Consumption by Rate Class'!C94)</f>
        <v>2010-October</v>
      </c>
      <c r="C89" s="697">
        <v>15412186.68</v>
      </c>
      <c r="D89" s="703"/>
      <c r="E89" s="707"/>
      <c r="F89" s="703"/>
      <c r="G89" s="703"/>
      <c r="H89" s="704"/>
      <c r="I89" s="704"/>
      <c r="J89" s="263">
        <f t="shared" si="8"/>
        <v>15412186.68</v>
      </c>
      <c r="K89" s="725">
        <f>IF(K$18='5.Variables'!$B$16,+'5.Variables'!$L32,+IF(K$18='5.Variables'!$B$39,+'5.Variables'!$L55,+IF(K$18='5.Variables'!$B$62,+'5.Variables'!$L69,+IF(K$18='5.Variables'!$B$76,+'5.Variables'!$L83,+IF(K$18='5.Variables'!$B$90,+'5.Variables'!$L97,+IF(K$18='5.Variables'!$B$104,+'5.Variables'!$L111,0))))))</f>
        <v>311</v>
      </c>
      <c r="L89" s="725">
        <f>IF(L$18='5.Variables'!$B$16,+'5.Variables'!$L31,+IF(L$18='5.Variables'!$B$39,+'5.Variables'!$L55,+IF(L$18='5.Variables'!$B$62,+'5.Variables'!$L69,+IF(L$18='5.Variables'!$B$76,+'5.Variables'!$L83,+IF(L$18='5.Variables'!$B$90,+'5.Variables'!$L97,+IF(L$18='5.Variables'!$B$104,+'5.Variables'!$L111,0))))))</f>
        <v>0</v>
      </c>
      <c r="M89" s="725">
        <f>IF(M$18='5.Variables'!$B$16,+'5.Variables'!$L31,+IF(M$18='5.Variables'!$B$39,+'5.Variables'!$L55,+IF(M$18='5.Variables'!$B$62,+'5.Variables'!$L69,+IF(M$18='5.Variables'!$B$76,+'5.Variables'!$L83,+IF(M$18='5.Variables'!$B$90,+'5.Variables'!$L97,+IF(M$18='5.Variables'!$B$104,+'5.Variables'!$L111,0))))))</f>
        <v>0</v>
      </c>
      <c r="N89" s="725">
        <f>IF(N$18='5.Variables'!$B$16,+'5.Variables'!$L31,+IF(N$18='5.Variables'!$B$39,+'5.Variables'!$L55,+IF(N$18='5.Variables'!$B$62,+'5.Variables'!$L69,+IF(N$18='5.Variables'!$B$76,+'5.Variables'!$L83,+IF(N$18='5.Variables'!$B$90,+'5.Variables'!$L97,+IF(N$18='5.Variables'!$B$104,+'5.Variables'!$L111,0))))))</f>
        <v>0</v>
      </c>
      <c r="O89" s="725">
        <f>IF(O$18='5.Variables'!$B$16,+'5.Variables'!$L31,+IF(O$18='5.Variables'!$B$39,+'5.Variables'!$L55,+IF(O$18='5.Variables'!$B$62,+'5.Variables'!$L69,+IF(O$18='5.Variables'!$B$76,+'5.Variables'!$L83,+IF(O$18='5.Variables'!$B$90,+'5.Variables'!$L97,+IF(O$18='5.Variables'!$B$104,+'5.Variables'!$L111,0))))))</f>
        <v>31</v>
      </c>
      <c r="P89" s="725">
        <f>IF(P$18='5.Variables'!$B$16,+'5.Variables'!$L31,+IF(P$18='5.Variables'!$B$39,+'5.Variables'!$L55,+IF(P$18='5.Variables'!$B$62,+'5.Variables'!$L69,+IF(P$18='5.Variables'!$B$76,+'5.Variables'!$L83,+IF(P$18='5.Variables'!$B$90,+'5.Variables'!$L97,+IF(P$18='5.Variables'!$B$104,+'5.Variables'!$L111,0))))))</f>
        <v>0</v>
      </c>
      <c r="Q89" s="245"/>
      <c r="R89" s="558">
        <f t="shared" si="9"/>
        <v>15344107.829727709</v>
      </c>
      <c r="S89" s="265"/>
      <c r="T89" s="245"/>
      <c r="U89" s="245"/>
      <c r="V89" s="245"/>
      <c r="W89" s="245"/>
      <c r="X89" s="245"/>
      <c r="Y89" s="245"/>
      <c r="Z89" s="245"/>
      <c r="AA89" s="245"/>
      <c r="AB89" s="245"/>
      <c r="AC89" s="245"/>
      <c r="AD89" s="245"/>
      <c r="AE89" s="245"/>
      <c r="AF89" s="245"/>
      <c r="AG89" s="245"/>
      <c r="AH89" s="245"/>
      <c r="AI89" s="245"/>
      <c r="AJ89" s="245"/>
      <c r="AK89" s="245"/>
      <c r="AL89" s="245"/>
      <c r="AM89" s="245"/>
    </row>
    <row r="90" spans="1:39" x14ac:dyDescent="0.2">
      <c r="A90" s="503">
        <f t="shared" si="10"/>
        <v>71</v>
      </c>
      <c r="B90" s="262" t="str">
        <f>CONCATENATE('3. Consumption by Rate Class'!B95,"-",'3. Consumption by Rate Class'!C95)</f>
        <v>2010-November</v>
      </c>
      <c r="C90" s="697">
        <v>16686329.729999999</v>
      </c>
      <c r="D90" s="703"/>
      <c r="E90" s="707"/>
      <c r="F90" s="703"/>
      <c r="G90" s="703"/>
      <c r="H90" s="704"/>
      <c r="I90" s="704"/>
      <c r="J90" s="263">
        <f t="shared" si="8"/>
        <v>16686329.729999999</v>
      </c>
      <c r="K90" s="725">
        <f>IF(K$18='5.Variables'!$B$16,+'5.Variables'!$M32,+IF(K$18='5.Variables'!$B$39,+'5.Variables'!$M55,+IF(K$18='5.Variables'!$B$62,+'5.Variables'!$M69,+IF(K$18='5.Variables'!$B$76,+'5.Variables'!$M83,+IF(K$18='5.Variables'!$B$90,+'5.Variables'!$M97,+IF(K$18='5.Variables'!$B$104,+'5.Variables'!$M111,0))))))</f>
        <v>491.6</v>
      </c>
      <c r="L90" s="725">
        <f>IF(L$18='5.Variables'!$B$16,+'5.Variables'!$M31,+IF(L$18='5.Variables'!$B$39,+'5.Variables'!$M55,+IF(L$18='5.Variables'!$B$62,+'5.Variables'!$M69,+IF(L$18='5.Variables'!$B$76,+'5.Variables'!$M83,+IF(L$18='5.Variables'!$B$90,+'5.Variables'!$M97,+IF(L$18='5.Variables'!$B$104,+'5.Variables'!$M111,0))))))</f>
        <v>0</v>
      </c>
      <c r="M90" s="725">
        <f>IF(M$18='5.Variables'!$B$16,+'5.Variables'!$M31,+IF(M$18='5.Variables'!$B$39,+'5.Variables'!$M55,+IF(M$18='5.Variables'!$B$62,+'5.Variables'!$M69,+IF(M$18='5.Variables'!$B$76,+'5.Variables'!$M83,+IF(M$18='5.Variables'!$B$90,+'5.Variables'!$M97,+IF(M$18='5.Variables'!$B$104,+'5.Variables'!$M111,0))))))</f>
        <v>0</v>
      </c>
      <c r="N90" s="725">
        <f>IF(N$18='5.Variables'!$B$16,+'5.Variables'!$M31,+IF(N$18='5.Variables'!$B$39,+'5.Variables'!$M55,+IF(N$18='5.Variables'!$B$62,+'5.Variables'!$M69,+IF(N$18='5.Variables'!$B$76,+'5.Variables'!$M83,+IF(N$18='5.Variables'!$B$90,+'5.Variables'!$M97,+IF(N$18='5.Variables'!$B$104,+'5.Variables'!$M111,0))))))</f>
        <v>0</v>
      </c>
      <c r="O90" s="725">
        <f>IF(O$18='5.Variables'!$B$16,+'5.Variables'!$M31,+IF(O$18='5.Variables'!$B$39,+'5.Variables'!$M55,+IF(O$18='5.Variables'!$B$62,+'5.Variables'!$M69,+IF(O$18='5.Variables'!$B$76,+'5.Variables'!$M83,+IF(O$18='5.Variables'!$B$90,+'5.Variables'!$M97,+IF(O$18='5.Variables'!$B$104,+'5.Variables'!$M111,0))))))</f>
        <v>30</v>
      </c>
      <c r="P90" s="725">
        <f>IF(P$18='5.Variables'!$B$16,+'5.Variables'!$M31,+IF(P$18='5.Variables'!$B$39,+'5.Variables'!$M55,+IF(P$18='5.Variables'!$B$62,+'5.Variables'!$M69,+IF(P$18='5.Variables'!$B$76,+'5.Variables'!$M83,+IF(P$18='5.Variables'!$B$90,+'5.Variables'!$M97,+IF(P$18='5.Variables'!$B$104,+'5.Variables'!$M111,0))))))</f>
        <v>0</v>
      </c>
      <c r="Q90" s="245"/>
      <c r="R90" s="558">
        <f t="shared" si="9"/>
        <v>16377075.82194463</v>
      </c>
      <c r="S90" s="265"/>
      <c r="T90" s="245"/>
      <c r="U90" s="245"/>
      <c r="V90" s="245"/>
      <c r="W90" s="245"/>
      <c r="X90" s="245"/>
      <c r="Y90" s="245"/>
      <c r="Z90" s="245"/>
      <c r="AA90" s="245"/>
      <c r="AB90" s="245"/>
      <c r="AC90" s="245"/>
      <c r="AD90" s="245"/>
      <c r="AE90" s="245"/>
      <c r="AF90" s="245"/>
      <c r="AG90" s="245"/>
      <c r="AH90" s="245"/>
      <c r="AI90" s="245"/>
      <c r="AJ90" s="245"/>
      <c r="AK90" s="245"/>
      <c r="AL90" s="245"/>
      <c r="AM90" s="245"/>
    </row>
    <row r="91" spans="1:39" x14ac:dyDescent="0.2">
      <c r="A91" s="503">
        <f t="shared" si="10"/>
        <v>72</v>
      </c>
      <c r="B91" s="522" t="str">
        <f>CONCATENATE('3. Consumption by Rate Class'!B96,"-",'3. Consumption by Rate Class'!C96)</f>
        <v>2010-December</v>
      </c>
      <c r="C91" s="698">
        <v>20238954.513</v>
      </c>
      <c r="D91" s="705"/>
      <c r="E91" s="705"/>
      <c r="F91" s="705"/>
      <c r="G91" s="705"/>
      <c r="H91" s="706"/>
      <c r="I91" s="706"/>
      <c r="J91" s="263">
        <f t="shared" si="8"/>
        <v>20238954.513</v>
      </c>
      <c r="K91" s="725">
        <f>IF(K$18='5.Variables'!$B$16,+'5.Variables'!$N32,+IF(K$18='5.Variables'!$B$39,+'5.Variables'!$N55,+IF(K$18='5.Variables'!$B$62,+'5.Variables'!$N69,+IF(K$18='5.Variables'!$B$76,+'5.Variables'!$N83,+IF(K$18='5.Variables'!$B$90,+'5.Variables'!$N97,+IF(K$18='5.Variables'!$B$104,+'5.Variables'!$N111,0))))))</f>
        <v>731.4</v>
      </c>
      <c r="L91" s="725">
        <f>IF(L$18='5.Variables'!$B$16,+'5.Variables'!$N31,+IF(L$18='5.Variables'!$B$39,+'5.Variables'!$N55,+IF(L$18='5.Variables'!$B$62,+'5.Variables'!$N69,+IF(L$18='5.Variables'!$B$76,+'5.Variables'!$N83,+IF(L$18='5.Variables'!$B$90,+'5.Variables'!$N97,+IF(L$18='5.Variables'!$B$104,+'5.Variables'!$N111,0))))))</f>
        <v>0</v>
      </c>
      <c r="M91" s="725">
        <f>IF(M$18='5.Variables'!$B$16,+'5.Variables'!$N31,+IF(M$18='5.Variables'!$B$39,+'5.Variables'!$N55,+IF(M$18='5.Variables'!$B$62,+'5.Variables'!$N69,+IF(M$18='5.Variables'!$B$76,+'5.Variables'!$N83,+IF(M$18='5.Variables'!$B$90,+'5.Variables'!$N97,+IF(M$18='5.Variables'!$B$104,+'5.Variables'!$N111,0))))))</f>
        <v>1</v>
      </c>
      <c r="N91" s="725">
        <f>IF(N$18='5.Variables'!$B$16,+'5.Variables'!$N31,+IF(N$18='5.Variables'!$B$39,+'5.Variables'!$N55,+IF(N$18='5.Variables'!$B$62,+'5.Variables'!$N69,+IF(N$18='5.Variables'!$B$76,+'5.Variables'!$N83,+IF(N$18='5.Variables'!$B$90,+'5.Variables'!$N97,+IF(N$18='5.Variables'!$B$104,+'5.Variables'!$N111,0))))))</f>
        <v>1</v>
      </c>
      <c r="O91" s="725">
        <f>IF(O$18='5.Variables'!$B$16,+'5.Variables'!$N31,+IF(O$18='5.Variables'!$B$39,+'5.Variables'!$N55,+IF(O$18='5.Variables'!$B$62,+'5.Variables'!$N69,+IF(O$18='5.Variables'!$B$76,+'5.Variables'!$N83,+IF(O$18='5.Variables'!$B$90,+'5.Variables'!$N97,+IF(O$18='5.Variables'!$B$104,+'5.Variables'!$N111,0))))))</f>
        <v>31</v>
      </c>
      <c r="P91" s="725">
        <f>IF(P$18='5.Variables'!$B$16,+'5.Variables'!$N31,+IF(P$18='5.Variables'!$B$39,+'5.Variables'!$N55,+IF(P$18='5.Variables'!$B$62,+'5.Variables'!$N69,+IF(P$18='5.Variables'!$B$76,+'5.Variables'!$N83,+IF(P$18='5.Variables'!$B$90,+'5.Variables'!$N97,+IF(P$18='5.Variables'!$B$104,+'5.Variables'!$N111,0))))))</f>
        <v>0</v>
      </c>
      <c r="Q91" s="245"/>
      <c r="R91" s="558">
        <f t="shared" si="9"/>
        <v>20043143.579817746</v>
      </c>
      <c r="S91" s="265">
        <f>SUM(R80:R91)</f>
        <v>199110325.82630143</v>
      </c>
      <c r="T91" s="245"/>
      <c r="U91" s="245"/>
      <c r="V91" s="245"/>
      <c r="W91" s="245"/>
      <c r="X91" s="245"/>
      <c r="Y91" s="245"/>
      <c r="Z91" s="245"/>
      <c r="AA91" s="245"/>
      <c r="AB91" s="245"/>
      <c r="AC91" s="245"/>
      <c r="AD91" s="245"/>
      <c r="AE91" s="245"/>
      <c r="AF91" s="245"/>
      <c r="AG91" s="245"/>
      <c r="AH91" s="245"/>
      <c r="AI91" s="245"/>
      <c r="AJ91" s="245"/>
      <c r="AK91" s="245"/>
      <c r="AL91" s="245"/>
      <c r="AM91" s="245"/>
    </row>
    <row r="92" spans="1:39" x14ac:dyDescent="0.2">
      <c r="A92" s="503">
        <f t="shared" si="10"/>
        <v>73</v>
      </c>
      <c r="B92" s="262" t="str">
        <f>CONCATENATE('3. Consumption by Rate Class'!B97,"-",'3. Consumption by Rate Class'!C97)</f>
        <v>2011-January</v>
      </c>
      <c r="C92" s="697">
        <v>21239545.866999999</v>
      </c>
      <c r="D92" s="703"/>
      <c r="E92" s="707"/>
      <c r="F92" s="707"/>
      <c r="G92" s="703"/>
      <c r="H92" s="704"/>
      <c r="I92" s="704"/>
      <c r="J92" s="263">
        <f t="shared" si="8"/>
        <v>21239545.866999999</v>
      </c>
      <c r="K92" s="725">
        <f>IF(K$18='5.Variables'!$B$16,+'5.Variables'!$C33,+IF(K$18='5.Variables'!$B$39,+'5.Variables'!$C56,+IF(K$18='5.Variables'!$B$62,+'5.Variables'!$C70,+IF(K$18='5.Variables'!$B$76,+'5.Variables'!$C84,+IF(K$18='5.Variables'!$B$90,+'5.Variables'!$C98,+IF(K$18='5.Variables'!$B$104,+'5.Variables'!$C112,0))))))</f>
        <v>888.7</v>
      </c>
      <c r="L92" s="725">
        <f>IF(L$18='5.Variables'!$B$16,+'5.Variables'!$C32,+IF(L$18='5.Variables'!$B$39,+'5.Variables'!$C56,+IF(L$18='5.Variables'!$B$62,+'5.Variables'!$C70,+IF(L$18='5.Variables'!$B$76,+'5.Variables'!$C84,+IF(L$18='5.Variables'!$B$90,+'5.Variables'!$C98,+IF(L$18='5.Variables'!$B$104,+'5.Variables'!$C112,0))))))</f>
        <v>0</v>
      </c>
      <c r="M92" s="725">
        <f>IF(M$18='5.Variables'!$B$16,+'5.Variables'!$C32,+IF(M$18='5.Variables'!$B$39,+'5.Variables'!$C56,+IF(M$18='5.Variables'!$B$62,+'5.Variables'!$C70,+IF(M$18='5.Variables'!$B$76,+'5.Variables'!$C84,+IF(M$18='5.Variables'!$B$90,+'5.Variables'!$C98,+IF(M$18='5.Variables'!$B$104,+'5.Variables'!$C112,0))))))</f>
        <v>1</v>
      </c>
      <c r="N92" s="725">
        <f>IF(N$18='5.Variables'!$B$16,+'5.Variables'!$C32,+IF(N$18='5.Variables'!$B$39,+'5.Variables'!$C56,+IF(N$18='5.Variables'!$B$62,+'5.Variables'!$C70,+IF(N$18='5.Variables'!$B$76,+'5.Variables'!$C84,+IF(N$18='5.Variables'!$B$90,+'5.Variables'!$C98,+IF(N$18='5.Variables'!$B$104,+'5.Variables'!$C112,0))))))</f>
        <v>1</v>
      </c>
      <c r="O92" s="725">
        <f>IF(O$18='5.Variables'!$B$16,+'5.Variables'!$C32,+IF(O$18='5.Variables'!$B$39,+'5.Variables'!$C56,+IF(O$18='5.Variables'!$B$62,+'5.Variables'!$C70,+IF(O$18='5.Variables'!$B$76,+'5.Variables'!$C84,+IF(O$18='5.Variables'!$B$90,+'5.Variables'!$C98,+IF(O$18='5.Variables'!$B$104,+'5.Variables'!$C112,0))))))</f>
        <v>31</v>
      </c>
      <c r="P92" s="725">
        <f>IF(P$18='5.Variables'!$B$16,+'5.Variables'!$C32,+IF(P$18='5.Variables'!$B$39,+'5.Variables'!$C56,+IF(P$18='5.Variables'!$B$62,+'5.Variables'!$C70,+IF(P$18='5.Variables'!$B$76,+'5.Variables'!$C84,+IF(P$18='5.Variables'!$B$90,+'5.Variables'!$C98,+IF(P$18='5.Variables'!$B$104,+'5.Variables'!$C112,0))))))</f>
        <v>0</v>
      </c>
      <c r="Q92" s="245"/>
      <c r="R92" s="558">
        <f t="shared" si="9"/>
        <v>21071254.716285124</v>
      </c>
      <c r="S92" s="265"/>
      <c r="T92" s="245"/>
      <c r="U92" s="245"/>
      <c r="V92" s="245"/>
      <c r="W92" s="245"/>
      <c r="X92" s="245"/>
      <c r="Y92" s="245"/>
      <c r="Z92" s="245"/>
      <c r="AA92" s="245"/>
      <c r="AB92" s="245"/>
      <c r="AC92" s="245"/>
      <c r="AD92" s="245"/>
      <c r="AE92" s="245"/>
      <c r="AF92" s="245"/>
      <c r="AG92" s="245"/>
      <c r="AH92" s="245"/>
      <c r="AI92" s="245"/>
      <c r="AJ92" s="245"/>
      <c r="AK92" s="245"/>
      <c r="AL92" s="245"/>
      <c r="AM92" s="245"/>
    </row>
    <row r="93" spans="1:39" x14ac:dyDescent="0.2">
      <c r="A93" s="503">
        <f t="shared" si="10"/>
        <v>74</v>
      </c>
      <c r="B93" s="262" t="str">
        <f>CONCATENATE('3. Consumption by Rate Class'!B98,"-",'3. Consumption by Rate Class'!C98)</f>
        <v>2011-February</v>
      </c>
      <c r="C93" s="697">
        <v>18549948.033</v>
      </c>
      <c r="D93" s="703"/>
      <c r="E93" s="707"/>
      <c r="F93" s="707"/>
      <c r="G93" s="703"/>
      <c r="H93" s="704"/>
      <c r="I93" s="704"/>
      <c r="J93" s="263">
        <f t="shared" si="8"/>
        <v>18549948.033</v>
      </c>
      <c r="K93" s="725">
        <f>IF(K$18='5.Variables'!$B$16,+'5.Variables'!$D33+IF(K$18='5.Variables'!$B$39,+'5.Variables'!$D56,+IF(K$18='5.Variables'!$B$62,+'5.Variables'!$D70,+IF(K$18='5.Variables'!$B$76,+'5.Variables'!$D84,+IF(K$18='5.Variables'!$B$90,+'5.Variables'!$D98,+IF(K$18='5.Variables'!$B$104,+'5.Variables'!$D112,0))))))</f>
        <v>731.6</v>
      </c>
      <c r="L93" s="725">
        <f>IF(L$18='5.Variables'!$B$16,+'5.Variables'!$D32,+IF(L$18='5.Variables'!$B$39,+'5.Variables'!$D56,+IF(L$18='5.Variables'!$B$62,+'5.Variables'!$D70,+IF(L$18='5.Variables'!$B$76,+'5.Variables'!$D84,+IF(L$18='5.Variables'!$B$90,+'5.Variables'!$D98,+IF(L$18='5.Variables'!$B$104,+'5.Variables'!$D112,0))))))</f>
        <v>0</v>
      </c>
      <c r="M93" s="725">
        <f>IF(M$18='5.Variables'!$B$16,+'5.Variables'!$D32,+IF(M$18='5.Variables'!$B$39,+'5.Variables'!$D56,+IF(M$18='5.Variables'!$B$62,+'5.Variables'!$D70,+IF(M$18='5.Variables'!$B$76,+'5.Variables'!$D84,+IF(M$18='5.Variables'!$B$90,+'5.Variables'!$D98,+IF(M$18='5.Variables'!$B$104,+'5.Variables'!$D112,0))))))</f>
        <v>1</v>
      </c>
      <c r="N93" s="725">
        <f>IF(N$18='5.Variables'!$B$16,+'5.Variables'!$D32,+IF(N$18='5.Variables'!$B$39,+'5.Variables'!$D56,+IF(N$18='5.Variables'!$B$62,+'5.Variables'!$D70,+IF(N$18='5.Variables'!$B$76,+'5.Variables'!$D84,+IF(N$18='5.Variables'!$B$90,+'5.Variables'!$D98,+IF(N$18='5.Variables'!$B$104,+'5.Variables'!$D112,0))))))</f>
        <v>0</v>
      </c>
      <c r="O93" s="725">
        <f>IF(O$18='5.Variables'!$B$16,+'5.Variables'!$D32,+IF(O$18='5.Variables'!$B$39,+'5.Variables'!$D56,+IF(O$18='5.Variables'!$B$62,+'5.Variables'!$D70,+IF(O$18='5.Variables'!$B$76,+'5.Variables'!$D84,+IF(O$18='5.Variables'!$B$90,+'5.Variables'!$D98,+IF(O$18='5.Variables'!$B$104,+'5.Variables'!$D112,0))))))</f>
        <v>28</v>
      </c>
      <c r="P93" s="725">
        <f>IF(P$18='5.Variables'!$B$16,+'5.Variables'!$D32,+IF(P$18='5.Variables'!$B$39,+'5.Variables'!$D56,+IF(P$18='5.Variables'!$B$62,+'5.Variables'!$D70,+IF(P$18='5.Variables'!$B$76,+'5.Variables'!$D84,+IF(P$18='5.Variables'!$B$90,+'5.Variables'!$D98,+IF(P$18='5.Variables'!$B$104,+'5.Variables'!$D112,0))))))</f>
        <v>0</v>
      </c>
      <c r="Q93" s="245"/>
      <c r="R93" s="558">
        <f t="shared" si="9"/>
        <v>19253139.313078694</v>
      </c>
      <c r="S93" s="265"/>
      <c r="T93" s="245"/>
      <c r="U93" s="245"/>
      <c r="V93" s="245"/>
      <c r="W93" s="245"/>
      <c r="X93" s="245"/>
      <c r="Y93" s="245"/>
      <c r="Z93" s="245"/>
      <c r="AA93" s="245"/>
      <c r="AB93" s="245"/>
      <c r="AC93" s="245"/>
      <c r="AD93" s="245"/>
      <c r="AE93" s="245"/>
      <c r="AF93" s="245"/>
      <c r="AG93" s="245"/>
      <c r="AH93" s="245"/>
      <c r="AI93" s="245"/>
      <c r="AJ93" s="245"/>
      <c r="AK93" s="245"/>
      <c r="AL93" s="245"/>
      <c r="AM93" s="245"/>
    </row>
    <row r="94" spans="1:39" x14ac:dyDescent="0.2">
      <c r="A94" s="503">
        <f t="shared" si="10"/>
        <v>75</v>
      </c>
      <c r="B94" s="262" t="str">
        <f>CONCATENATE('3. Consumption by Rate Class'!B99,"-",'3. Consumption by Rate Class'!C99)</f>
        <v>2011-March</v>
      </c>
      <c r="C94" s="697">
        <v>17502908.710000001</v>
      </c>
      <c r="D94" s="703"/>
      <c r="E94" s="707"/>
      <c r="F94" s="707"/>
      <c r="G94" s="703"/>
      <c r="H94" s="704"/>
      <c r="I94" s="704"/>
      <c r="J94" s="263">
        <f t="shared" si="8"/>
        <v>17502908.710000001</v>
      </c>
      <c r="K94" s="725">
        <f>IF(K$18='5.Variables'!$B$16,+'5.Variables'!$E33,+IF(K$18='5.Variables'!$B$39,+'5.Variables'!$E56,+IF(K$18='5.Variables'!$B$62,+'5.Variables'!$E70,+IF(K$18='5.Variables'!$B$76,+'5.Variables'!$E84,+IF(K$18='5.Variables'!$B$90,+'5.Variables'!$E98,+IF(K$18='5.Variables'!$B$104,+'5.Variables'!$E112,0))))))</f>
        <v>634.6</v>
      </c>
      <c r="L94" s="725">
        <f>IF(L$18='5.Variables'!$B$16,+'5.Variables'!$E32,+IF(L$18='5.Variables'!$B$39,+'5.Variables'!$E56,+IF(L$18='5.Variables'!$B$62,+'5.Variables'!$E70,+IF(L$18='5.Variables'!$B$76,+'5.Variables'!$E84,+IF(L$18='5.Variables'!$B$90,+'5.Variables'!$E98,+IF(L$18='5.Variables'!$B$104,+'5.Variables'!$E112,0))))))</f>
        <v>0</v>
      </c>
      <c r="M94" s="725">
        <f>IF(M$18='5.Variables'!$B$16,+'5.Variables'!$E32,+IF(M$18='5.Variables'!$B$39,+'5.Variables'!$E56,+IF(M$18='5.Variables'!$B$62,+'5.Variables'!$E70,+IF(M$18='5.Variables'!$B$76,+'5.Variables'!$E84,+IF(M$18='5.Variables'!$B$90,+'5.Variables'!$E98,+IF(M$18='5.Variables'!$B$104,+'5.Variables'!$E112,0))))))</f>
        <v>0</v>
      </c>
      <c r="N94" s="725">
        <f>IF(N$18='5.Variables'!$B$16,+'5.Variables'!$E32,+IF(N$18='5.Variables'!$B$39,+'5.Variables'!$E56,+IF(N$18='5.Variables'!$B$62,+'5.Variables'!$E70,+IF(N$18='5.Variables'!$B$76,+'5.Variables'!$E84,+IF(N$18='5.Variables'!$B$90,+'5.Variables'!$E98,+IF(N$18='5.Variables'!$B$104,+'5.Variables'!$E112,0))))))</f>
        <v>1</v>
      </c>
      <c r="O94" s="725">
        <f>IF(O$18='5.Variables'!$B$16,+'5.Variables'!$E32,+IF(O$18='5.Variables'!$B$39,+'5.Variables'!$E56,+IF(O$18='5.Variables'!$B$62,+'5.Variables'!$E70,+IF(O$18='5.Variables'!$B$76,+'5.Variables'!$E84,+IF(O$18='5.Variables'!$B$90,+'5.Variables'!$E98,+IF(O$18='5.Variables'!$B$104,+'5.Variables'!$E112,0))))))</f>
        <v>31</v>
      </c>
      <c r="P94" s="725">
        <f>IF(P$18='5.Variables'!$B$16,+'5.Variables'!$E32,+IF(P$18='5.Variables'!$B$39,+'5.Variables'!$E56,+IF(P$18='5.Variables'!$B$62,+'5.Variables'!$E70,+IF(P$18='5.Variables'!$B$76,+'5.Variables'!$E84,+IF(P$18='5.Variables'!$B$90,+'5.Variables'!$E98,+IF(P$18='5.Variables'!$B$104,+'5.Variables'!$E112,0))))))</f>
        <v>0</v>
      </c>
      <c r="Q94" s="245"/>
      <c r="R94" s="558">
        <f t="shared" si="9"/>
        <v>17808170.378585488</v>
      </c>
      <c r="S94" s="265"/>
      <c r="T94" s="245"/>
      <c r="U94" s="245"/>
      <c r="V94" s="245"/>
      <c r="W94" s="245"/>
      <c r="X94" s="245"/>
      <c r="Y94" s="245"/>
      <c r="Z94" s="245"/>
      <c r="AA94" s="245"/>
      <c r="AB94" s="245"/>
      <c r="AC94" s="245"/>
      <c r="AD94" s="245"/>
      <c r="AE94" s="245"/>
      <c r="AF94" s="245"/>
      <c r="AG94" s="245"/>
      <c r="AH94" s="245"/>
      <c r="AI94" s="245"/>
      <c r="AJ94" s="245"/>
      <c r="AK94" s="245"/>
      <c r="AL94" s="245"/>
      <c r="AM94" s="245"/>
    </row>
    <row r="95" spans="1:39" x14ac:dyDescent="0.2">
      <c r="A95" s="503">
        <f t="shared" si="10"/>
        <v>76</v>
      </c>
      <c r="B95" s="262" t="str">
        <f>CONCATENATE('3. Consumption by Rate Class'!B100,"-",'3. Consumption by Rate Class'!C100)</f>
        <v>2011-April</v>
      </c>
      <c r="C95" s="697">
        <v>16336448.780000001</v>
      </c>
      <c r="D95" s="703"/>
      <c r="E95" s="707"/>
      <c r="F95" s="707"/>
      <c r="G95" s="703"/>
      <c r="H95" s="704"/>
      <c r="I95" s="704"/>
      <c r="J95" s="263">
        <f t="shared" si="8"/>
        <v>16336448.780000001</v>
      </c>
      <c r="K95" s="725">
        <f>IF(K$18='5.Variables'!$B$16,+'5.Variables'!$F33,+IF(K$18='5.Variables'!$B$39,+'5.Variables'!$F56,+IF(K$18='5.Variables'!$B$62,+'5.Variables'!$F70,+IF(K$18='5.Variables'!$B$76,+'5.Variables'!$F84,+IF(K$18='5.Variables'!$B$90,+'5.Variables'!$F98,+IF(K$18='5.Variables'!$B$104,+'5.Variables'!$F112,0))))))</f>
        <v>347.4</v>
      </c>
      <c r="L95" s="725">
        <f>IF(L$18='5.Variables'!$B$16,+'5.Variables'!$F32,+IF(L$18='5.Variables'!$B$39,+'5.Variables'!$F56,+IF(L$18='5.Variables'!$B$62,+'5.Variables'!$F70,+IF(L$18='5.Variables'!$B$76,+'5.Variables'!$F84,+IF(L$18='5.Variables'!$B$90,+'5.Variables'!$F98,+IF(L$18='5.Variables'!$B$104,+'5.Variables'!$F112,0))))))</f>
        <v>0</v>
      </c>
      <c r="M95" s="725">
        <f>IF(M$18='5.Variables'!$B$16,+'5.Variables'!$F32,+IF(M$18='5.Variables'!$B$39,+'5.Variables'!$F56,+IF(M$18='5.Variables'!$B$62,+'5.Variables'!$F70,+IF(M$18='5.Variables'!$B$76,+'5.Variables'!$F84,+IF(M$18='5.Variables'!$B$90,+'5.Variables'!$F98,+IF(M$18='5.Variables'!$B$104,+'5.Variables'!$F112,0))))))</f>
        <v>0</v>
      </c>
      <c r="N95" s="725">
        <f>IF(N$18='5.Variables'!$B$16,+'5.Variables'!$F32,+IF(N$18='5.Variables'!$B$39,+'5.Variables'!$F56,+IF(N$18='5.Variables'!$B$62,+'5.Variables'!$F70,+IF(N$18='5.Variables'!$B$76,+'5.Variables'!$F84,+IF(N$18='5.Variables'!$B$90,+'5.Variables'!$F98,+IF(N$18='5.Variables'!$B$104,+'5.Variables'!$F112,0))))))</f>
        <v>0</v>
      </c>
      <c r="O95" s="725">
        <f>IF(O$18='5.Variables'!$B$16,+'5.Variables'!$F32,+IF(O$18='5.Variables'!$B$39,+'5.Variables'!$F56,+IF(O$18='5.Variables'!$B$62,+'5.Variables'!$F70,+IF(O$18='5.Variables'!$B$76,+'5.Variables'!$F84,+IF(O$18='5.Variables'!$B$90,+'5.Variables'!$F98,+IF(O$18='5.Variables'!$B$104,+'5.Variables'!$F112,0))))))</f>
        <v>30</v>
      </c>
      <c r="P95" s="725">
        <f>IF(P$18='5.Variables'!$B$16,+'5.Variables'!$F32,+IF(P$18='5.Variables'!$B$39,+'5.Variables'!$F56,+IF(P$18='5.Variables'!$B$62,+'5.Variables'!$F70,+IF(P$18='5.Variables'!$B$76,+'5.Variables'!$F84,+IF(P$18='5.Variables'!$B$90,+'5.Variables'!$F98,+IF(P$18='5.Variables'!$B$104,+'5.Variables'!$F112,0))))))</f>
        <v>0</v>
      </c>
      <c r="Q95" s="245"/>
      <c r="R95" s="558">
        <f t="shared" si="9"/>
        <v>15434586.146937661</v>
      </c>
      <c r="S95" s="265"/>
      <c r="T95" s="245"/>
      <c r="U95" s="245"/>
      <c r="V95" s="245"/>
      <c r="W95" s="245"/>
      <c r="X95" s="245"/>
      <c r="Y95" s="245"/>
      <c r="Z95" s="245"/>
      <c r="AA95" s="245"/>
      <c r="AB95" s="245"/>
      <c r="AC95" s="245"/>
      <c r="AD95" s="245"/>
      <c r="AE95" s="245"/>
      <c r="AF95" s="245"/>
      <c r="AG95" s="245"/>
      <c r="AH95" s="245"/>
      <c r="AI95" s="245"/>
      <c r="AJ95" s="245"/>
      <c r="AK95" s="245"/>
      <c r="AL95" s="245"/>
      <c r="AM95" s="245"/>
    </row>
    <row r="96" spans="1:39" x14ac:dyDescent="0.2">
      <c r="A96" s="503">
        <f t="shared" si="10"/>
        <v>77</v>
      </c>
      <c r="B96" s="262" t="str">
        <f>CONCATENATE('3. Consumption by Rate Class'!B101,"-",'3. Consumption by Rate Class'!C101)</f>
        <v>2011-May</v>
      </c>
      <c r="C96" s="697">
        <v>14621069.789999999</v>
      </c>
      <c r="D96" s="703"/>
      <c r="E96" s="707"/>
      <c r="F96" s="707"/>
      <c r="G96" s="703"/>
      <c r="H96" s="704"/>
      <c r="I96" s="704"/>
      <c r="J96" s="263">
        <f t="shared" si="8"/>
        <v>14621069.789999999</v>
      </c>
      <c r="K96" s="725">
        <f>IF(K$18='5.Variables'!$B$16,+'5.Variables'!$G33,+IF(K$18='5.Variables'!$B$39,+'5.Variables'!$G56,+IF(K$18='5.Variables'!$B$62,+'5.Variables'!$G70,+IF(K$18='5.Variables'!$B$76,+'5.Variables'!$G84,+IF(K$18='5.Variables'!$B$90,+'5.Variables'!$G98,+IF(K$18='5.Variables'!$B$104,+'5.Variables'!$G112,0))))))</f>
        <v>142.80000000000001</v>
      </c>
      <c r="L96" s="725">
        <f>IF(L$18='5.Variables'!$B$16,+'5.Variables'!$G32,+IF(L$18='5.Variables'!$B$39,+'5.Variables'!$G56,+IF(L$18='5.Variables'!$B$62,+'5.Variables'!$G70,+IF(L$18='5.Variables'!$B$76,+'5.Variables'!$G84,+IF(L$18='5.Variables'!$B$90,+'5.Variables'!$G98,+IF(L$18='5.Variables'!$B$104,+'5.Variables'!$G112,0))))))</f>
        <v>16.7</v>
      </c>
      <c r="M96" s="725">
        <f>IF(M$18='5.Variables'!$B$16,+'5.Variables'!$G32,+IF(M$18='5.Variables'!$B$39,+'5.Variables'!$G56,+IF(M$18='5.Variables'!$B$62,+'5.Variables'!$G70,+IF(M$18='5.Variables'!$B$76,+'5.Variables'!$G84,+IF(M$18='5.Variables'!$B$90,+'5.Variables'!$G98,+IF(M$18='5.Variables'!$B$104,+'5.Variables'!$G112,0))))))</f>
        <v>0</v>
      </c>
      <c r="N96" s="725">
        <f>IF(N$18='5.Variables'!$B$16,+'5.Variables'!$G32,+IF(N$18='5.Variables'!$B$39,+'5.Variables'!$G56,+IF(N$18='5.Variables'!$B$62,+'5.Variables'!$G70,+IF(N$18='5.Variables'!$B$76,+'5.Variables'!$G84,+IF(N$18='5.Variables'!$B$90,+'5.Variables'!$G98,+IF(N$18='5.Variables'!$B$104,+'5.Variables'!$G112,0))))))</f>
        <v>0</v>
      </c>
      <c r="O96" s="725">
        <f>IF(O$18='5.Variables'!$B$16,+'5.Variables'!$G32,+IF(O$18='5.Variables'!$B$39,+'5.Variables'!$G56,+IF(O$18='5.Variables'!$B$62,+'5.Variables'!$G70,+IF(O$18='5.Variables'!$B$76,+'5.Variables'!$G84,+IF(O$18='5.Variables'!$B$90,+'5.Variables'!$G98,+IF(O$18='5.Variables'!$B$104,+'5.Variables'!$G112,0))))))</f>
        <v>31</v>
      </c>
      <c r="P96" s="725">
        <f>IF(P$18='5.Variables'!$B$16,+'5.Variables'!$G32,+IF(P$18='5.Variables'!$B$39,+'5.Variables'!$G56,+IF(P$18='5.Variables'!$B$62,+'5.Variables'!$G70,+IF(P$18='5.Variables'!$B$76,+'5.Variables'!$G84,+IF(P$18='5.Variables'!$B$90,+'5.Variables'!$G98,+IF(P$18='5.Variables'!$B$104,+'5.Variables'!$G112,0))))))</f>
        <v>0</v>
      </c>
      <c r="Q96" s="245"/>
      <c r="R96" s="558">
        <f t="shared" si="9"/>
        <v>14643587.78920193</v>
      </c>
      <c r="S96" s="265"/>
      <c r="T96" s="245"/>
      <c r="U96" s="245"/>
      <c r="V96" s="245"/>
      <c r="W96" s="245"/>
      <c r="X96" s="245"/>
      <c r="Y96" s="245"/>
      <c r="Z96" s="245"/>
      <c r="AA96" s="245"/>
      <c r="AB96" s="245"/>
      <c r="AC96" s="245"/>
      <c r="AD96" s="245"/>
      <c r="AE96" s="245"/>
      <c r="AF96" s="245"/>
      <c r="AG96" s="245"/>
      <c r="AH96" s="245"/>
      <c r="AI96" s="245"/>
      <c r="AJ96" s="245"/>
      <c r="AK96" s="245"/>
      <c r="AL96" s="245"/>
      <c r="AM96" s="245"/>
    </row>
    <row r="97" spans="1:39" x14ac:dyDescent="0.2">
      <c r="A97" s="503">
        <f t="shared" si="10"/>
        <v>78</v>
      </c>
      <c r="B97" s="262" t="str">
        <f>CONCATENATE('3. Consumption by Rate Class'!B102,"-",'3. Consumption by Rate Class'!C102)</f>
        <v>2011-June</v>
      </c>
      <c r="C97" s="697">
        <v>15547543.850000001</v>
      </c>
      <c r="D97" s="703"/>
      <c r="E97" s="707"/>
      <c r="F97" s="707"/>
      <c r="G97" s="703"/>
      <c r="H97" s="704"/>
      <c r="I97" s="704"/>
      <c r="J97" s="263">
        <f t="shared" si="8"/>
        <v>15547543.850000001</v>
      </c>
      <c r="K97" s="725">
        <f>IF(K$18='5.Variables'!$B$16,+'5.Variables'!$H33,+IF(K$18='5.Variables'!$B$39,+'5.Variables'!$H56,+IF(K$18='5.Variables'!$B$62,+'5.Variables'!$H70,+IF(K$18='5.Variables'!$B$76,+'5.Variables'!$H84,+IF(K$18='5.Variables'!$B$90,+'5.Variables'!$H98,+IF(K$18='5.Variables'!$B$104,+'5.Variables'!$H112,0))))))</f>
        <v>18.5</v>
      </c>
      <c r="L97" s="725">
        <f>IF(L$18='5.Variables'!$B$16,+'5.Variables'!$H32,+IF(L$18='5.Variables'!$B$39,+'5.Variables'!$H56,+IF(L$18='5.Variables'!$B$62,+'5.Variables'!$H70,+IF(L$18='5.Variables'!$B$76,+'5.Variables'!$H84,+IF(L$18='5.Variables'!$B$90,+'5.Variables'!$H98,+IF(L$18='5.Variables'!$B$104,+'5.Variables'!$H112,0))))))</f>
        <v>59.1</v>
      </c>
      <c r="M97" s="725">
        <f>IF(M$18='5.Variables'!$B$16,+'5.Variables'!$H32,+IF(M$18='5.Variables'!$B$39,+'5.Variables'!$H56,+IF(M$18='5.Variables'!$B$62,+'5.Variables'!$H70,+IF(M$18='5.Variables'!$B$76,+'5.Variables'!$H84,+IF(M$18='5.Variables'!$B$90,+'5.Variables'!$H98,+IF(M$18='5.Variables'!$B$104,+'5.Variables'!$H112,0))))))</f>
        <v>0</v>
      </c>
      <c r="N97" s="725">
        <f>IF(N$18='5.Variables'!$B$16,+'5.Variables'!$H32,+IF(N$18='5.Variables'!$B$39,+'5.Variables'!$H56,+IF(N$18='5.Variables'!$B$62,+'5.Variables'!$H70,+IF(N$18='5.Variables'!$B$76,+'5.Variables'!$H84,+IF(N$18='5.Variables'!$B$90,+'5.Variables'!$H98,+IF(N$18='5.Variables'!$B$104,+'5.Variables'!$H112,0))))))</f>
        <v>0</v>
      </c>
      <c r="O97" s="725">
        <f>IF(O$18='5.Variables'!$B$16,+'5.Variables'!$H32,+IF(O$18='5.Variables'!$B$39,+'5.Variables'!$H56,+IF(O$18='5.Variables'!$B$62,+'5.Variables'!$H70,+IF(O$18='5.Variables'!$B$76,+'5.Variables'!$H84,+IF(O$18='5.Variables'!$B$90,+'5.Variables'!$H98,+IF(O$18='5.Variables'!$B$104,+'5.Variables'!$H112,0))))))</f>
        <v>30</v>
      </c>
      <c r="P97" s="725">
        <f>IF(P$18='5.Variables'!$B$16,+'5.Variables'!$H32,+IF(P$18='5.Variables'!$B$39,+'5.Variables'!$H56,+IF(P$18='5.Variables'!$B$62,+'5.Variables'!$H70,+IF(P$18='5.Variables'!$B$76,+'5.Variables'!$H84,+IF(P$18='5.Variables'!$B$90,+'5.Variables'!$H98,+IF(P$18='5.Variables'!$B$104,+'5.Variables'!$H112,0))))))</f>
        <v>0</v>
      </c>
      <c r="Q97" s="245"/>
      <c r="R97" s="558">
        <f t="shared" si="9"/>
        <v>14696339.512508038</v>
      </c>
      <c r="S97" s="265"/>
      <c r="T97" s="245"/>
      <c r="U97" s="245"/>
      <c r="V97" s="245"/>
      <c r="W97" s="245"/>
      <c r="X97" s="245"/>
      <c r="Y97" s="245"/>
      <c r="Z97" s="245"/>
      <c r="AA97" s="245"/>
      <c r="AB97" s="245"/>
      <c r="AC97" s="245"/>
      <c r="AD97" s="245"/>
      <c r="AE97" s="245"/>
      <c r="AF97" s="245"/>
      <c r="AG97" s="245"/>
      <c r="AH97" s="245"/>
      <c r="AI97" s="245"/>
      <c r="AJ97" s="245"/>
      <c r="AK97" s="245"/>
      <c r="AL97" s="245"/>
      <c r="AM97" s="245"/>
    </row>
    <row r="98" spans="1:39" x14ac:dyDescent="0.2">
      <c r="A98" s="503">
        <f t="shared" si="10"/>
        <v>79</v>
      </c>
      <c r="B98" s="262" t="str">
        <f>CONCATENATE('3. Consumption by Rate Class'!B103,"-",'3. Consumption by Rate Class'!C103)</f>
        <v>2011-July</v>
      </c>
      <c r="C98" s="697">
        <v>16379523.159999998</v>
      </c>
      <c r="D98" s="703"/>
      <c r="E98" s="707"/>
      <c r="F98" s="707"/>
      <c r="G98" s="703"/>
      <c r="H98" s="704"/>
      <c r="I98" s="704"/>
      <c r="J98" s="263">
        <f t="shared" si="8"/>
        <v>16379523.159999998</v>
      </c>
      <c r="K98" s="725">
        <f>IF(K$18='5.Variables'!$B$16,+'5.Variables'!$I33,+IF(K$18='5.Variables'!$B$39,+'5.Variables'!$I56,+IF(K$18='5.Variables'!$B$62,+'5.Variables'!$I70,+IF(K$18='5.Variables'!$B$76,+'5.Variables'!$I84,+IF(K$18='5.Variables'!$B$90,+'5.Variables'!$I98,+IF(K$18='5.Variables'!$B$104,+'5.Variables'!$I112,0))))))</f>
        <v>0</v>
      </c>
      <c r="L98" s="725">
        <f>IF(L$18='5.Variables'!$B$16,+'5.Variables'!$I32,+IF(L$18='5.Variables'!$B$39,+'5.Variables'!$I56,+IF(L$18='5.Variables'!$B$62,+'5.Variables'!$I70,+IF(L$18='5.Variables'!$B$76,+'5.Variables'!$I84,+IF(L$18='5.Variables'!$B$90,+'5.Variables'!$I98,+IF(L$18='5.Variables'!$B$104,+'5.Variables'!$I112,0))))))</f>
        <v>137.5</v>
      </c>
      <c r="M98" s="725">
        <f>IF(M$18='5.Variables'!$B$16,+'5.Variables'!$I32,+IF(M$18='5.Variables'!$B$39,+'5.Variables'!$I56,+IF(M$18='5.Variables'!$B$62,+'5.Variables'!$I70,+IF(M$18='5.Variables'!$B$76,+'5.Variables'!$I84,+IF(M$18='5.Variables'!$B$90,+'5.Variables'!$I98,+IF(M$18='5.Variables'!$B$104,+'5.Variables'!$I112,0))))))</f>
        <v>0</v>
      </c>
      <c r="N98" s="725">
        <f>IF(N$18='5.Variables'!$B$16,+'5.Variables'!$I32,+IF(N$18='5.Variables'!$B$39,+'5.Variables'!$I56,+IF(N$18='5.Variables'!$B$62,+'5.Variables'!$I70,+IF(N$18='5.Variables'!$B$76,+'5.Variables'!$I84,+IF(N$18='5.Variables'!$B$90,+'5.Variables'!$I98,+IF(N$18='5.Variables'!$B$104,+'5.Variables'!$I112,0))))))</f>
        <v>1</v>
      </c>
      <c r="O98" s="725">
        <f>IF(O$18='5.Variables'!$B$16,+'5.Variables'!$I32,+IF(O$18='5.Variables'!$B$39,+'5.Variables'!$I56,+IF(O$18='5.Variables'!$B$62,+'5.Variables'!$I70,+IF(O$18='5.Variables'!$B$76,+'5.Variables'!$I84,+IF(O$18='5.Variables'!$B$90,+'5.Variables'!$I98,+IF(O$18='5.Variables'!$B$104,+'5.Variables'!$I112,0))))))</f>
        <v>31</v>
      </c>
      <c r="P98" s="725">
        <f>IF(P$18='5.Variables'!$B$16,+'5.Variables'!$I32,+IF(P$18='5.Variables'!$B$39,+'5.Variables'!$I56,+IF(P$18='5.Variables'!$B$62,+'5.Variables'!$I70,+IF(P$18='5.Variables'!$B$76,+'5.Variables'!$I84,+IF(P$18='5.Variables'!$B$90,+'5.Variables'!$I98,+IF(P$18='5.Variables'!$B$104,+'5.Variables'!$I112,0))))))</f>
        <v>0</v>
      </c>
      <c r="Q98" s="245"/>
      <c r="R98" s="558">
        <f t="shared" si="9"/>
        <v>16944239.264786642</v>
      </c>
      <c r="S98" s="265"/>
      <c r="T98" s="245"/>
      <c r="U98" s="245"/>
      <c r="V98" s="245"/>
      <c r="W98" s="245"/>
      <c r="X98" s="245"/>
      <c r="Y98" s="245"/>
      <c r="Z98" s="245"/>
      <c r="AA98" s="245"/>
      <c r="AB98" s="245"/>
      <c r="AC98" s="245"/>
      <c r="AD98" s="245"/>
      <c r="AE98" s="245"/>
      <c r="AF98" s="245"/>
      <c r="AG98" s="245"/>
      <c r="AH98" s="245"/>
      <c r="AI98" s="245"/>
      <c r="AJ98" s="245"/>
      <c r="AK98" s="245"/>
      <c r="AL98" s="245"/>
      <c r="AM98" s="245"/>
    </row>
    <row r="99" spans="1:39" x14ac:dyDescent="0.2">
      <c r="A99" s="503">
        <f t="shared" si="10"/>
        <v>80</v>
      </c>
      <c r="B99" s="262" t="str">
        <f>CONCATENATE('3. Consumption by Rate Class'!B104,"-",'3. Consumption by Rate Class'!C104)</f>
        <v>2011-August</v>
      </c>
      <c r="C99" s="697">
        <v>14663820.33</v>
      </c>
      <c r="D99" s="703"/>
      <c r="E99" s="707"/>
      <c r="F99" s="707"/>
      <c r="G99" s="703"/>
      <c r="H99" s="704"/>
      <c r="I99" s="704"/>
      <c r="J99" s="263">
        <f t="shared" si="8"/>
        <v>14663820.33</v>
      </c>
      <c r="K99" s="725">
        <f>IF(K$18='5.Variables'!$B$16,+'5.Variables'!$J33,+IF(K$18='5.Variables'!$B$39,+'5.Variables'!$J56,+IF(K$18='5.Variables'!$B$62,+'5.Variables'!$J70,+IF(K$18='5.Variables'!$B$76,+'5.Variables'!$J84,+IF(K$18='5.Variables'!$B$90,+'5.Variables'!$J98,+IF(K$18='5.Variables'!$B$104,+'5.Variables'!$J112,0))))))</f>
        <v>2.2999999999999998</v>
      </c>
      <c r="L99" s="725">
        <f>IF(L$18='5.Variables'!$B$16,+'5.Variables'!$J32,+IF(L$18='5.Variables'!$B$39,+'5.Variables'!$J56,+IF(L$18='5.Variables'!$B$62,+'5.Variables'!$J70,+IF(L$18='5.Variables'!$B$76,+'5.Variables'!$J84,+IF(L$18='5.Variables'!$B$90,+'5.Variables'!$J98,+IF(L$18='5.Variables'!$B$104,+'5.Variables'!$J112,0))))))</f>
        <v>82.3</v>
      </c>
      <c r="M99" s="725">
        <f>IF(M$18='5.Variables'!$B$16,+'5.Variables'!$J32,+IF(M$18='5.Variables'!$B$39,+'5.Variables'!$J56,+IF(M$18='5.Variables'!$B$62,+'5.Variables'!$J70,+IF(M$18='5.Variables'!$B$76,+'5.Variables'!$J84,+IF(M$18='5.Variables'!$B$90,+'5.Variables'!$J98,+IF(M$18='5.Variables'!$B$104,+'5.Variables'!$J112,0))))))</f>
        <v>0</v>
      </c>
      <c r="N99" s="725">
        <f>IF(N$18='5.Variables'!$B$16,+'5.Variables'!$J32,+IF(N$18='5.Variables'!$B$39,+'5.Variables'!$J56,+IF(N$18='5.Variables'!$B$62,+'5.Variables'!$J70,+IF(N$18='5.Variables'!$B$76,+'5.Variables'!$J84,+IF(N$18='5.Variables'!$B$90,+'5.Variables'!$J98,+IF(N$18='5.Variables'!$B$104,+'5.Variables'!$J112,0))))))</f>
        <v>0</v>
      </c>
      <c r="O99" s="725">
        <f>IF(O$18='5.Variables'!$B$16,+'5.Variables'!$J32,+IF(O$18='5.Variables'!$B$39,+'5.Variables'!$J56,+IF(O$18='5.Variables'!$B$62,+'5.Variables'!$J70,+IF(O$18='5.Variables'!$B$76,+'5.Variables'!$J84,+IF(O$18='5.Variables'!$B$90,+'5.Variables'!$J98,+IF(O$18='5.Variables'!$B$104,+'5.Variables'!$J112,0))))))</f>
        <v>31</v>
      </c>
      <c r="P99" s="725">
        <f>IF(P$18='5.Variables'!$B$16,+'5.Variables'!$J32,+IF(P$18='5.Variables'!$B$39,+'5.Variables'!$J56,+IF(P$18='5.Variables'!$B$62,+'5.Variables'!$J70,+IF(P$18='5.Variables'!$B$76,+'5.Variables'!$J84,+IF(P$18='5.Variables'!$B$90,+'5.Variables'!$J98,+IF(P$18='5.Variables'!$B$104,+'5.Variables'!$J112,0))))))</f>
        <v>0</v>
      </c>
      <c r="Q99" s="245"/>
      <c r="R99" s="558">
        <f t="shared" si="9"/>
        <v>15291956.111702234</v>
      </c>
      <c r="S99" s="265"/>
      <c r="T99" s="245"/>
      <c r="U99" s="245"/>
      <c r="V99" s="245"/>
      <c r="W99" s="245"/>
      <c r="X99" s="245"/>
      <c r="Y99" s="245"/>
      <c r="Z99" s="245"/>
      <c r="AA99" s="245"/>
      <c r="AB99" s="245"/>
      <c r="AC99" s="245"/>
      <c r="AD99" s="245"/>
      <c r="AE99" s="245"/>
      <c r="AF99" s="245"/>
      <c r="AG99" s="245"/>
      <c r="AH99" s="245"/>
      <c r="AI99" s="245"/>
      <c r="AJ99" s="245"/>
      <c r="AK99" s="245"/>
      <c r="AL99" s="245"/>
      <c r="AM99" s="245"/>
    </row>
    <row r="100" spans="1:39" x14ac:dyDescent="0.2">
      <c r="A100" s="503">
        <f t="shared" si="10"/>
        <v>81</v>
      </c>
      <c r="B100" s="262" t="str">
        <f>CONCATENATE('3. Consumption by Rate Class'!B105,"-",'3. Consumption by Rate Class'!C105)</f>
        <v>2011-September</v>
      </c>
      <c r="C100" s="697">
        <v>14622897.859999999</v>
      </c>
      <c r="D100" s="703"/>
      <c r="E100" s="707"/>
      <c r="F100" s="707"/>
      <c r="G100" s="703"/>
      <c r="H100" s="704"/>
      <c r="I100" s="704"/>
      <c r="J100" s="263">
        <f t="shared" si="8"/>
        <v>14622897.859999999</v>
      </c>
      <c r="K100" s="725">
        <f>IF(K$18='5.Variables'!$B$16,+'5.Variables'!$K33,+IF(K$18='5.Variables'!$B$39,+'5.Variables'!$K56,+IF(K$18='5.Variables'!$B$62,+'5.Variables'!$K70,+IF(K$18='5.Variables'!$B$76,+'5.Variables'!$K84,+IF(K$18='5.Variables'!$B$90,+'5.Variables'!$K98,+IF(K$18='5.Variables'!$B$104,+'5.Variables'!$K112,0))))))</f>
        <v>55.4</v>
      </c>
      <c r="L100" s="725">
        <f>IF(L$18='5.Variables'!$B$16,+'5.Variables'!$K32,+IF(L$18='5.Variables'!$B$39,+'5.Variables'!$K56,+IF(L$18='5.Variables'!$B$62,+'5.Variables'!$K70,+IF(L$18='5.Variables'!$B$76,+'5.Variables'!$K84,+IF(L$18='5.Variables'!$B$90,+'5.Variables'!$K98,+IF(L$18='5.Variables'!$B$104,+'5.Variables'!$K112,0))))))</f>
        <v>32.9</v>
      </c>
      <c r="M100" s="725">
        <f>IF(M$18='5.Variables'!$B$16,+'5.Variables'!$K32,+IF(M$18='5.Variables'!$B$39,+'5.Variables'!$K56,+IF(M$18='5.Variables'!$B$62,+'5.Variables'!$K70,+IF(M$18='5.Variables'!$B$76,+'5.Variables'!$K84,+IF(M$18='5.Variables'!$B$90,+'5.Variables'!$K98,+IF(M$18='5.Variables'!$B$104,+'5.Variables'!$K112,0))))))</f>
        <v>0</v>
      </c>
      <c r="N100" s="725">
        <f>IF(N$18='5.Variables'!$B$16,+'5.Variables'!$K32,+IF(N$18='5.Variables'!$B$39,+'5.Variables'!$K56,+IF(N$18='5.Variables'!$B$62,+'5.Variables'!$K70,+IF(N$18='5.Variables'!$B$76,+'5.Variables'!$K84,+IF(N$18='5.Variables'!$B$90,+'5.Variables'!$K98,+IF(N$18='5.Variables'!$B$104,+'5.Variables'!$K112,0))))))</f>
        <v>0</v>
      </c>
      <c r="O100" s="725">
        <f>IF(O$18='5.Variables'!$B$16,+'5.Variables'!$K32,+IF(O$18='5.Variables'!$B$39,+'5.Variables'!$K56,+IF(O$18='5.Variables'!$B$62,+'5.Variables'!$K70,+IF(O$18='5.Variables'!$B$76,+'5.Variables'!$K84,+IF(O$18='5.Variables'!$B$90,+'5.Variables'!$K98,+IF(O$18='5.Variables'!$B$104,+'5.Variables'!$K112,0))))))</f>
        <v>30</v>
      </c>
      <c r="P100" s="725">
        <f>IF(P$18='5.Variables'!$B$16,+'5.Variables'!$K32,+IF(P$18='5.Variables'!$B$39,+'5.Variables'!$K56,+IF(P$18='5.Variables'!$B$62,+'5.Variables'!$K70,+IF(P$18='5.Variables'!$B$76,+'5.Variables'!$K84,+IF(P$18='5.Variables'!$B$90,+'5.Variables'!$K98,+IF(P$18='5.Variables'!$B$104,+'5.Variables'!$K112,0))))))</f>
        <v>0</v>
      </c>
      <c r="Q100" s="245"/>
      <c r="R100" s="558">
        <f t="shared" si="9"/>
        <v>14311802.877150396</v>
      </c>
      <c r="S100" s="265"/>
      <c r="T100" s="245"/>
      <c r="U100" s="245"/>
      <c r="V100" s="245"/>
      <c r="W100" s="245"/>
      <c r="X100" s="245"/>
      <c r="Y100" s="245"/>
      <c r="Z100" s="245"/>
      <c r="AA100" s="245"/>
      <c r="AB100" s="245"/>
      <c r="AC100" s="245"/>
      <c r="AD100" s="245"/>
      <c r="AE100" s="245"/>
      <c r="AF100" s="245"/>
      <c r="AG100" s="245"/>
      <c r="AH100" s="245"/>
      <c r="AI100" s="245"/>
      <c r="AJ100" s="245"/>
      <c r="AK100" s="245"/>
      <c r="AL100" s="245"/>
      <c r="AM100" s="245"/>
    </row>
    <row r="101" spans="1:39" x14ac:dyDescent="0.2">
      <c r="A101" s="503">
        <f t="shared" si="10"/>
        <v>82</v>
      </c>
      <c r="B101" s="262" t="str">
        <f>CONCATENATE('3. Consumption by Rate Class'!B106,"-",'3. Consumption by Rate Class'!C106)</f>
        <v>2011-October</v>
      </c>
      <c r="C101" s="697">
        <v>14379977.777999999</v>
      </c>
      <c r="D101" s="703"/>
      <c r="E101" s="707"/>
      <c r="F101" s="707"/>
      <c r="G101" s="703"/>
      <c r="H101" s="704"/>
      <c r="I101" s="704"/>
      <c r="J101" s="263">
        <f t="shared" si="8"/>
        <v>14379977.777999999</v>
      </c>
      <c r="K101" s="725">
        <f>IF(K$18='5.Variables'!$B$16,+'5.Variables'!$L33,+IF(K$18='5.Variables'!$B$39,+'5.Variables'!$L56,+IF(K$18='5.Variables'!$B$62,+'5.Variables'!$L70,+IF(K$18='5.Variables'!$B$76,+'5.Variables'!$L84,+IF(K$18='5.Variables'!$B$90,+'5.Variables'!$L98,+IF(K$18='5.Variables'!$B$104,+'5.Variables'!$L112,0))))))</f>
        <v>259.10000000000002</v>
      </c>
      <c r="L101" s="725">
        <f>IF(L$18='5.Variables'!$B$16,+'5.Variables'!$L32,+IF(L$18='5.Variables'!$B$39,+'5.Variables'!$L56,+IF(L$18='5.Variables'!$B$62,+'5.Variables'!$L70,+IF(L$18='5.Variables'!$B$76,+'5.Variables'!$L84,+IF(L$18='5.Variables'!$B$90,+'5.Variables'!$L98,+IF(L$18='5.Variables'!$B$104,+'5.Variables'!$L112,0))))))</f>
        <v>1.4</v>
      </c>
      <c r="M101" s="725">
        <f>IF(M$18='5.Variables'!$B$16,+'5.Variables'!$L32,+IF(M$18='5.Variables'!$B$39,+'5.Variables'!$L56,+IF(M$18='5.Variables'!$B$62,+'5.Variables'!$L70,+IF(M$18='5.Variables'!$B$76,+'5.Variables'!$L84,+IF(M$18='5.Variables'!$B$90,+'5.Variables'!$L98,+IF(M$18='5.Variables'!$B$104,+'5.Variables'!$L112,0))))))</f>
        <v>0</v>
      </c>
      <c r="N101" s="725">
        <f>IF(N$18='5.Variables'!$B$16,+'5.Variables'!$L32,+IF(N$18='5.Variables'!$B$39,+'5.Variables'!$L56,+IF(N$18='5.Variables'!$B$62,+'5.Variables'!$L70,+IF(N$18='5.Variables'!$B$76,+'5.Variables'!$L84,+IF(N$18='5.Variables'!$B$90,+'5.Variables'!$L98,+IF(N$18='5.Variables'!$B$104,+'5.Variables'!$L112,0))))))</f>
        <v>0</v>
      </c>
      <c r="O101" s="725">
        <f>IF(O$18='5.Variables'!$B$16,+'5.Variables'!$L32,+IF(O$18='5.Variables'!$B$39,+'5.Variables'!$L56,+IF(O$18='5.Variables'!$B$62,+'5.Variables'!$L70,+IF(O$18='5.Variables'!$B$76,+'5.Variables'!$L84,+IF(O$18='5.Variables'!$B$90,+'5.Variables'!$L98,+IF(O$18='5.Variables'!$B$104,+'5.Variables'!$L112,0))))))</f>
        <v>31</v>
      </c>
      <c r="P101" s="725">
        <f>IF(P$18='5.Variables'!$B$16,+'5.Variables'!$L32,+IF(P$18='5.Variables'!$B$39,+'5.Variables'!$L56,+IF(P$18='5.Variables'!$B$62,+'5.Variables'!$L70,+IF(P$18='5.Variables'!$B$76,+'5.Variables'!$L84,+IF(P$18='5.Variables'!$B$90,+'5.Variables'!$L98,+IF(P$18='5.Variables'!$B$104,+'5.Variables'!$L112,0))))))</f>
        <v>0</v>
      </c>
      <c r="Q101" s="245"/>
      <c r="R101" s="558">
        <f t="shared" si="9"/>
        <v>15038325.112307005</v>
      </c>
      <c r="S101" s="265"/>
      <c r="T101" s="245"/>
      <c r="U101" s="245"/>
      <c r="V101" s="245"/>
      <c r="W101" s="245"/>
      <c r="X101" s="245"/>
      <c r="Y101" s="245"/>
      <c r="Z101" s="245"/>
      <c r="AA101" s="245"/>
      <c r="AB101" s="245"/>
      <c r="AC101" s="245"/>
      <c r="AD101" s="245"/>
      <c r="AE101" s="245"/>
      <c r="AF101" s="245"/>
      <c r="AG101" s="245"/>
      <c r="AH101" s="245"/>
      <c r="AI101" s="245"/>
      <c r="AJ101" s="245"/>
      <c r="AK101" s="245"/>
      <c r="AL101" s="245"/>
      <c r="AM101" s="245"/>
    </row>
    <row r="102" spans="1:39" x14ac:dyDescent="0.2">
      <c r="A102" s="503">
        <f t="shared" si="10"/>
        <v>83</v>
      </c>
      <c r="B102" s="262" t="str">
        <f>CONCATENATE('3. Consumption by Rate Class'!B107,"-",'3. Consumption by Rate Class'!C107)</f>
        <v>2011-November</v>
      </c>
      <c r="C102" s="697">
        <v>15622868.66</v>
      </c>
      <c r="D102" s="703"/>
      <c r="E102" s="707"/>
      <c r="F102" s="707"/>
      <c r="G102" s="703"/>
      <c r="H102" s="704"/>
      <c r="I102" s="704"/>
      <c r="J102" s="263">
        <f t="shared" si="8"/>
        <v>15622868.66</v>
      </c>
      <c r="K102" s="725">
        <f>IF(K$18='5.Variables'!$B$16,+'5.Variables'!$M33,+IF(K$18='5.Variables'!$B$39,+'5.Variables'!$M56,+IF(K$18='5.Variables'!$B$62,+'5.Variables'!$M70,+IF(K$18='5.Variables'!$B$76,+'5.Variables'!$M84,+IF(K$18='5.Variables'!$B$90,+'5.Variables'!$M98,+IF(K$18='5.Variables'!$B$104,+'5.Variables'!$M112,0))))))</f>
        <v>392.9</v>
      </c>
      <c r="L102" s="725">
        <f>IF(L$18='5.Variables'!$B$16,+'5.Variables'!$M32,+IF(L$18='5.Variables'!$B$39,+'5.Variables'!$M56,+IF(L$18='5.Variables'!$B$62,+'5.Variables'!$M70,+IF(L$18='5.Variables'!$B$76,+'5.Variables'!$M84,+IF(L$18='5.Variables'!$B$90,+'5.Variables'!$M98,+IF(L$18='5.Variables'!$B$104,+'5.Variables'!$M112,0))))))</f>
        <v>0</v>
      </c>
      <c r="M102" s="725">
        <f>IF(M$18='5.Variables'!$B$16,+'5.Variables'!$M32,+IF(M$18='5.Variables'!$B$39,+'5.Variables'!$M56,+IF(M$18='5.Variables'!$B$62,+'5.Variables'!$M70,+IF(M$18='5.Variables'!$B$76,+'5.Variables'!$M84,+IF(M$18='5.Variables'!$B$90,+'5.Variables'!$M98,+IF(M$18='5.Variables'!$B$104,+'5.Variables'!$M112,0))))))</f>
        <v>0</v>
      </c>
      <c r="N102" s="725">
        <f>IF(N$18='5.Variables'!$B$16,+'5.Variables'!$M32,+IF(N$18='5.Variables'!$B$39,+'5.Variables'!$M56,+IF(N$18='5.Variables'!$B$62,+'5.Variables'!$M70,+IF(N$18='5.Variables'!$B$76,+'5.Variables'!$M84,+IF(N$18='5.Variables'!$B$90,+'5.Variables'!$M98,+IF(N$18='5.Variables'!$B$104,+'5.Variables'!$M112,0))))))</f>
        <v>0</v>
      </c>
      <c r="O102" s="725">
        <f>IF(O$18='5.Variables'!$B$16,+'5.Variables'!$M32,+IF(O$18='5.Variables'!$B$39,+'5.Variables'!$M56,+IF(O$18='5.Variables'!$B$62,+'5.Variables'!$M70,+IF(O$18='5.Variables'!$B$76,+'5.Variables'!$M84,+IF(O$18='5.Variables'!$B$90,+'5.Variables'!$M98,+IF(O$18='5.Variables'!$B$104,+'5.Variables'!$M112,0))))))</f>
        <v>30</v>
      </c>
      <c r="P102" s="725">
        <f>IF(P$18='5.Variables'!$B$16,+'5.Variables'!$M32,+IF(P$18='5.Variables'!$B$39,+'5.Variables'!$M56,+IF(P$18='5.Variables'!$B$62,+'5.Variables'!$M70,+IF(P$18='5.Variables'!$B$76,+'5.Variables'!$M84,+IF(P$18='5.Variables'!$B$90,+'5.Variables'!$M98,+IF(P$18='5.Variables'!$B$104,+'5.Variables'!$M112,0))))))</f>
        <v>0</v>
      </c>
      <c r="Q102" s="245"/>
      <c r="R102" s="558">
        <f t="shared" si="9"/>
        <v>15731973.665750539</v>
      </c>
      <c r="S102" s="265"/>
      <c r="T102" s="245"/>
      <c r="U102" s="245"/>
      <c r="V102" s="245"/>
      <c r="W102" s="245"/>
      <c r="X102" s="245"/>
      <c r="Y102" s="245"/>
      <c r="Z102" s="245"/>
      <c r="AA102" s="245"/>
      <c r="AB102" s="245"/>
      <c r="AC102" s="245"/>
      <c r="AD102" s="245"/>
      <c r="AE102" s="245"/>
      <c r="AF102" s="245"/>
      <c r="AG102" s="245"/>
      <c r="AH102" s="245"/>
      <c r="AI102" s="245"/>
      <c r="AJ102" s="245"/>
      <c r="AK102" s="245"/>
      <c r="AL102" s="245"/>
      <c r="AM102" s="245"/>
    </row>
    <row r="103" spans="1:39" x14ac:dyDescent="0.2">
      <c r="A103" s="503">
        <f t="shared" si="10"/>
        <v>84</v>
      </c>
      <c r="B103" s="522" t="str">
        <f>CONCATENATE('3. Consumption by Rate Class'!B108,"-",'3. Consumption by Rate Class'!C108)</f>
        <v>2011-December</v>
      </c>
      <c r="C103" s="698">
        <v>20156456.619999997</v>
      </c>
      <c r="D103" s="705"/>
      <c r="E103" s="705"/>
      <c r="F103" s="705"/>
      <c r="G103" s="705"/>
      <c r="H103" s="706"/>
      <c r="I103" s="706"/>
      <c r="J103" s="263">
        <f t="shared" si="8"/>
        <v>20156456.619999997</v>
      </c>
      <c r="K103" s="725">
        <f>IF(K$18='5.Variables'!$B$16,+'5.Variables'!$N33,+IF(K$18='5.Variables'!$B$39,+'5.Variables'!$N56,+IF(K$18='5.Variables'!$B$62,+'5.Variables'!$N70,+IF(K$18='5.Variables'!$B$76,+'5.Variables'!$N84,+IF(K$18='5.Variables'!$B$90,+'5.Variables'!$N98,+IF(K$18='5.Variables'!$B$104,+'5.Variables'!$N112,0))))))</f>
        <v>256.39999999999998</v>
      </c>
      <c r="L103" s="725">
        <f>IF(L$18='5.Variables'!$B$16,+'5.Variables'!$N32,+IF(L$18='5.Variables'!$B$39,+'5.Variables'!$N56,+IF(L$18='5.Variables'!$B$62,+'5.Variables'!$N70,+IF(L$18='5.Variables'!$B$76,+'5.Variables'!$N84,+IF(L$18='5.Variables'!$B$90,+'5.Variables'!$N98,+IF(L$18='5.Variables'!$B$104,+'5.Variables'!$N112,0))))))</f>
        <v>0</v>
      </c>
      <c r="M103" s="725">
        <f>IF(M$18='5.Variables'!$B$16,+'5.Variables'!$N32,+IF(M$18='5.Variables'!$B$39,+'5.Variables'!$N56,+IF(M$18='5.Variables'!$B$62,+'5.Variables'!$N70,+IF(M$18='5.Variables'!$B$76,+'5.Variables'!$N84,+IF(M$18='5.Variables'!$B$90,+'5.Variables'!$N98,+IF(M$18='5.Variables'!$B$104,+'5.Variables'!$N112,0))))))</f>
        <v>1</v>
      </c>
      <c r="N103" s="725">
        <f>IF(N$18='5.Variables'!$B$16,+'5.Variables'!$N32,+IF(N$18='5.Variables'!$B$39,+'5.Variables'!$N56,+IF(N$18='5.Variables'!$B$62,+'5.Variables'!$N70,+IF(N$18='5.Variables'!$B$76,+'5.Variables'!$N84,+IF(N$18='5.Variables'!$B$90,+'5.Variables'!$N98,+IF(N$18='5.Variables'!$B$104,+'5.Variables'!$N112,0))))))</f>
        <v>1</v>
      </c>
      <c r="O103" s="725">
        <f>IF(O$18='5.Variables'!$B$16,+'5.Variables'!$N32,+IF(O$18='5.Variables'!$B$39,+'5.Variables'!$N56,+IF(O$18='5.Variables'!$B$62,+'5.Variables'!$N70,+IF(O$18='5.Variables'!$B$76,+'5.Variables'!$N84,+IF(O$18='5.Variables'!$B$90,+'5.Variables'!$N98,+IF(O$18='5.Variables'!$B$104,+'5.Variables'!$N112,0))))))</f>
        <v>31</v>
      </c>
      <c r="P103" s="725">
        <f>IF(P$18='5.Variables'!$B$16,+'5.Variables'!$N32,+IF(P$18='5.Variables'!$B$39,+'5.Variables'!$N56,+IF(P$18='5.Variables'!$B$62,+'5.Variables'!$N70,+IF(P$18='5.Variables'!$B$76,+'5.Variables'!$N84,+IF(P$18='5.Variables'!$B$90,+'5.Variables'!$N98,+IF(P$18='5.Variables'!$B$104,+'5.Variables'!$N112,0))))))</f>
        <v>0</v>
      </c>
      <c r="Q103" s="245"/>
      <c r="R103" s="558">
        <f t="shared" si="9"/>
        <v>16938548.603199784</v>
      </c>
      <c r="S103" s="265">
        <f>SUM(R92:R103)</f>
        <v>197163923.49149352</v>
      </c>
      <c r="T103" s="245"/>
      <c r="U103" s="245"/>
      <c r="V103" s="245"/>
      <c r="W103" s="245"/>
      <c r="X103" s="245"/>
      <c r="Y103" s="245"/>
      <c r="Z103" s="245"/>
      <c r="AA103" s="245"/>
      <c r="AB103" s="245"/>
      <c r="AC103" s="245"/>
      <c r="AD103" s="245"/>
      <c r="AE103" s="245"/>
      <c r="AF103" s="245"/>
      <c r="AG103" s="245"/>
      <c r="AH103" s="245"/>
      <c r="AI103" s="245"/>
      <c r="AJ103" s="245"/>
      <c r="AK103" s="245"/>
      <c r="AL103" s="245"/>
      <c r="AM103" s="245"/>
    </row>
    <row r="104" spans="1:39" x14ac:dyDescent="0.2">
      <c r="A104" s="503">
        <f t="shared" si="10"/>
        <v>85</v>
      </c>
      <c r="B104" s="262" t="str">
        <f>CONCATENATE('3. Consumption by Rate Class'!B109,"-",'3. Consumption by Rate Class'!C109)</f>
        <v>2012-January</v>
      </c>
      <c r="C104" s="697">
        <v>19353299.849999998</v>
      </c>
      <c r="D104" s="703"/>
      <c r="E104" s="707"/>
      <c r="F104" s="707"/>
      <c r="G104" s="703"/>
      <c r="H104" s="704"/>
      <c r="I104" s="704"/>
      <c r="J104" s="263">
        <f t="shared" si="8"/>
        <v>19353299.849999998</v>
      </c>
      <c r="K104" s="725">
        <f>IF(K$18='5.Variables'!$B$16,+'5.Variables'!$C34,+IF(K$18='5.Variables'!$B$39,+'5.Variables'!$C57,+IF(K$18='5.Variables'!$B$62,+'5.Variables'!$C71,+IF(K$18='5.Variables'!$B$76,+'5.Variables'!$C85,+IF(K$18='5.Variables'!$B$90,+'5.Variables'!$C99,+IF(K$18='5.Variables'!$B$104,+'5.Variables'!$C113,0))))))</f>
        <v>831</v>
      </c>
      <c r="L104" s="725">
        <f>IF(L$18='5.Variables'!$B$16,+'5.Variables'!$C33,+IF(L$18='5.Variables'!$B$39,+'5.Variables'!$C57,+IF(L$18='5.Variables'!$B$62,+'5.Variables'!$C71,+IF(L$18='5.Variables'!$B$76,+'5.Variables'!$C85,+IF(L$18='5.Variables'!$B$90,+'5.Variables'!$C99,+IF(L$18='5.Variables'!$B$104,+'5.Variables'!$C113,0))))))</f>
        <v>0</v>
      </c>
      <c r="M104" s="725">
        <f>IF(M$18='5.Variables'!$B$16,+'5.Variables'!$C33,+IF(M$18='5.Variables'!$B$39,+'5.Variables'!$C57,+IF(M$18='5.Variables'!$B$62,+'5.Variables'!$C71,+IF(M$18='5.Variables'!$B$76,+'5.Variables'!$C85,+IF(M$18='5.Variables'!$B$90,+'5.Variables'!$C99,+IF(M$18='5.Variables'!$B$104,+'5.Variables'!$C113,0))))))</f>
        <v>1</v>
      </c>
      <c r="N104" s="725">
        <f>IF(N$18='5.Variables'!$B$16,+'5.Variables'!$C33,+IF(N$18='5.Variables'!$B$39,+'5.Variables'!$C57,+IF(N$18='5.Variables'!$B$62,+'5.Variables'!$C71,+IF(N$18='5.Variables'!$B$76,+'5.Variables'!$C85,+IF(N$18='5.Variables'!$B$90,+'5.Variables'!$C99,+IF(N$18='5.Variables'!$B$104,+'5.Variables'!$C113,0))))))</f>
        <v>1</v>
      </c>
      <c r="O104" s="725">
        <f>IF(O$18='5.Variables'!$B$16,+'5.Variables'!$C33,+IF(O$18='5.Variables'!$B$39,+'5.Variables'!$C57,+IF(O$18='5.Variables'!$B$62,+'5.Variables'!$C71,+IF(O$18='5.Variables'!$B$76,+'5.Variables'!$C85,+IF(O$18='5.Variables'!$B$90,+'5.Variables'!$C99,+IF(O$18='5.Variables'!$B$104,+'5.Variables'!$C113,0))))))</f>
        <v>31</v>
      </c>
      <c r="P104" s="725">
        <f>IF(P$18='5.Variables'!$B$16,+'5.Variables'!$C33,+IF(P$18='5.Variables'!$B$39,+'5.Variables'!$C57,+IF(P$18='5.Variables'!$B$62,+'5.Variables'!$C71,+IF(P$18='5.Variables'!$B$76,+'5.Variables'!$C85,+IF(P$18='5.Variables'!$B$90,+'5.Variables'!$C99,+IF(P$18='5.Variables'!$B$104,+'5.Variables'!$C113,0))))))</f>
        <v>0</v>
      </c>
      <c r="Q104" s="245"/>
      <c r="R104" s="558">
        <f t="shared" si="9"/>
        <v>20694128.126493849</v>
      </c>
      <c r="S104" s="265"/>
      <c r="T104" s="245"/>
      <c r="U104" s="245"/>
      <c r="V104" s="245"/>
      <c r="W104" s="245"/>
      <c r="X104" s="245"/>
      <c r="Y104" s="245"/>
      <c r="Z104" s="245"/>
      <c r="AA104" s="245"/>
      <c r="AB104" s="245"/>
      <c r="AC104" s="245"/>
      <c r="AD104" s="245"/>
      <c r="AE104" s="245"/>
      <c r="AF104" s="245"/>
      <c r="AG104" s="245"/>
      <c r="AH104" s="245"/>
      <c r="AI104" s="245"/>
      <c r="AJ104" s="245"/>
      <c r="AK104" s="245"/>
      <c r="AL104" s="245"/>
      <c r="AM104" s="245"/>
    </row>
    <row r="105" spans="1:39" x14ac:dyDescent="0.2">
      <c r="A105" s="503">
        <f t="shared" si="10"/>
        <v>86</v>
      </c>
      <c r="B105" s="262" t="str">
        <f>CONCATENATE('3. Consumption by Rate Class'!B110,"-",'3. Consumption by Rate Class'!C110)</f>
        <v>2012-February</v>
      </c>
      <c r="C105" s="697">
        <v>18577263.48</v>
      </c>
      <c r="D105" s="703"/>
      <c r="E105" s="707"/>
      <c r="F105" s="707"/>
      <c r="G105" s="703"/>
      <c r="H105" s="704"/>
      <c r="I105" s="704"/>
      <c r="J105" s="263">
        <f t="shared" si="8"/>
        <v>18577263.48</v>
      </c>
      <c r="K105" s="725">
        <f>IF(K$18='5.Variables'!$B$16,+'5.Variables'!$D34,+IF(K$18='5.Variables'!$B$39,+'5.Variables'!$D57,+IF(K$18='5.Variables'!$B$62,+'5.Variables'!$D71,+IF(K$18='5.Variables'!$B$76,+'5.Variables'!$D85,+IF(K$18='5.Variables'!$B$90,+'5.Variables'!$D99,+IF(K$18='5.Variables'!$B$104,+'5.Variables'!$D113,0))))))</f>
        <v>671.4</v>
      </c>
      <c r="L105" s="725">
        <f>IF(L$18='5.Variables'!$B$16,+'5.Variables'!$D33,+IF(L$18='5.Variables'!$B$39,+'5.Variables'!$D57,+IF(L$18='5.Variables'!$B$62,+'5.Variables'!$D71,+IF(L$18='5.Variables'!$B$76,+'5.Variables'!$D85,+IF(L$18='5.Variables'!$B$90,+'5.Variables'!$D99,+IF(L$18='5.Variables'!$B$104,+'5.Variables'!$D113,0))))))</f>
        <v>0</v>
      </c>
      <c r="M105" s="725">
        <f>IF(M$18='5.Variables'!$B$16,+'5.Variables'!$D33,+IF(M$18='5.Variables'!$B$39,+'5.Variables'!$D57,+IF(M$18='5.Variables'!$B$62,+'5.Variables'!$D71,+IF(M$18='5.Variables'!$B$76,+'5.Variables'!$D85,+IF(M$18='5.Variables'!$B$90,+'5.Variables'!$D99,+IF(M$18='5.Variables'!$B$104,+'5.Variables'!$D113,0))))))</f>
        <v>1</v>
      </c>
      <c r="N105" s="725">
        <f>IF(N$18='5.Variables'!$B$16,+'5.Variables'!$D33,+IF(N$18='5.Variables'!$B$39,+'5.Variables'!$D57,+IF(N$18='5.Variables'!$B$62,+'5.Variables'!$D71,+IF(N$18='5.Variables'!$B$76,+'5.Variables'!$D85,+IF(N$18='5.Variables'!$B$90,+'5.Variables'!$D99,+IF(N$18='5.Variables'!$B$104,+'5.Variables'!$D113,0))))))</f>
        <v>0</v>
      </c>
      <c r="O105" s="725">
        <f>IF(O$18='5.Variables'!$B$16,+'5.Variables'!$D33,+IF(O$18='5.Variables'!$B$39,+'5.Variables'!$D57,+IF(O$18='5.Variables'!$B$62,+'5.Variables'!$D71,+IF(O$18='5.Variables'!$B$76,+'5.Variables'!$D85,+IF(O$18='5.Variables'!$B$90,+'5.Variables'!$D99,+IF(O$18='5.Variables'!$B$104,+'5.Variables'!$D113,0))))))</f>
        <v>29</v>
      </c>
      <c r="P105" s="725">
        <f>IF(P$18='5.Variables'!$B$16,+'5.Variables'!$D33,+IF(P$18='5.Variables'!$B$39,+'5.Variables'!$D57,+IF(P$18='5.Variables'!$B$62,+'5.Variables'!$D71,+IF(P$18='5.Variables'!$B$76,+'5.Variables'!$D85,+IF(P$18='5.Variables'!$B$90,+'5.Variables'!$D99,+IF(P$18='5.Variables'!$B$104,+'5.Variables'!$D113,0))))))</f>
        <v>0</v>
      </c>
      <c r="Q105" s="245"/>
      <c r="R105" s="558">
        <f t="shared" si="9"/>
        <v>19007104.447566621</v>
      </c>
      <c r="S105" s="265"/>
      <c r="T105" s="245"/>
      <c r="U105" s="245"/>
      <c r="V105" s="245"/>
      <c r="W105" s="245"/>
      <c r="X105" s="245"/>
      <c r="Y105" s="245"/>
      <c r="Z105" s="245"/>
      <c r="AA105" s="245"/>
      <c r="AB105" s="245"/>
      <c r="AC105" s="245"/>
      <c r="AD105" s="245"/>
      <c r="AE105" s="245"/>
      <c r="AF105" s="245"/>
      <c r="AG105" s="245"/>
      <c r="AH105" s="245"/>
      <c r="AI105" s="245"/>
      <c r="AJ105" s="245"/>
      <c r="AK105" s="245"/>
      <c r="AL105" s="245"/>
      <c r="AM105" s="245"/>
    </row>
    <row r="106" spans="1:39" x14ac:dyDescent="0.2">
      <c r="A106" s="503">
        <f t="shared" si="10"/>
        <v>87</v>
      </c>
      <c r="B106" s="262" t="str">
        <f>CONCATENATE('3. Consumption by Rate Class'!B111,"-",'3. Consumption by Rate Class'!C111)</f>
        <v>2012-March</v>
      </c>
      <c r="C106" s="697">
        <v>17771679.620000001</v>
      </c>
      <c r="D106" s="703"/>
      <c r="E106" s="707"/>
      <c r="F106" s="707"/>
      <c r="G106" s="703"/>
      <c r="H106" s="704"/>
      <c r="I106" s="704"/>
      <c r="J106" s="263">
        <f t="shared" si="8"/>
        <v>17771679.620000001</v>
      </c>
      <c r="K106" s="725">
        <f>IF(K$18='5.Variables'!$B$16,+'5.Variables'!$E34,+IF(K$18='5.Variables'!$B$39,+'5.Variables'!$E57,+IF(K$18='5.Variables'!$B$62,+'5.Variables'!$E71,+IF(K$18='5.Variables'!$B$76,+'5.Variables'!$E85,+IF(K$18='5.Variables'!$B$90,+'5.Variables'!$E99,+IF(K$18='5.Variables'!$B$104,+'5.Variables'!$E113,0))))))</f>
        <v>460.3</v>
      </c>
      <c r="L106" s="725">
        <f>IF(L$18='5.Variables'!$B$16,+'5.Variables'!$E33,+IF(L$18='5.Variables'!$B$39,+'5.Variables'!$E57,+IF(L$18='5.Variables'!$B$62,+'5.Variables'!$E71,+IF(L$18='5.Variables'!$B$76,+'5.Variables'!$E85,+IF(L$18='5.Variables'!$B$90,+'5.Variables'!$E99,+IF(L$18='5.Variables'!$B$104,+'5.Variables'!$E113,0))))))</f>
        <v>0</v>
      </c>
      <c r="M106" s="725">
        <f>IF(M$18='5.Variables'!$B$16,+'5.Variables'!$E33,+IF(M$18='5.Variables'!$B$39,+'5.Variables'!$E57,+IF(M$18='5.Variables'!$B$62,+'5.Variables'!$E71,+IF(M$18='5.Variables'!$B$76,+'5.Variables'!$E85,+IF(M$18='5.Variables'!$B$90,+'5.Variables'!$E99,+IF(M$18='5.Variables'!$B$104,+'5.Variables'!$E113,0))))))</f>
        <v>0</v>
      </c>
      <c r="N106" s="725">
        <f>IF(N$18='5.Variables'!$B$16,+'5.Variables'!$E33,+IF(N$18='5.Variables'!$B$39,+'5.Variables'!$E57,+IF(N$18='5.Variables'!$B$62,+'5.Variables'!$E71,+IF(N$18='5.Variables'!$B$76,+'5.Variables'!$E85,+IF(N$18='5.Variables'!$B$90,+'5.Variables'!$E99,+IF(N$18='5.Variables'!$B$104,+'5.Variables'!$E113,0))))))</f>
        <v>1</v>
      </c>
      <c r="O106" s="725">
        <f>IF(O$18='5.Variables'!$B$16,+'5.Variables'!$E33,+IF(O$18='5.Variables'!$B$39,+'5.Variables'!$E57,+IF(O$18='5.Variables'!$B$62,+'5.Variables'!$E71,+IF(O$18='5.Variables'!$B$76,+'5.Variables'!$E85,+IF(O$18='5.Variables'!$B$90,+'5.Variables'!$E99,+IF(O$18='5.Variables'!$B$104,+'5.Variables'!$E113,0))))))</f>
        <v>31</v>
      </c>
      <c r="P106" s="725">
        <f>IF(P$18='5.Variables'!$B$16,+'5.Variables'!$E33,+IF(P$18='5.Variables'!$B$39,+'5.Variables'!$E57,+IF(P$18='5.Variables'!$B$62,+'5.Variables'!$E71,+IF(P$18='5.Variables'!$B$76,+'5.Variables'!$E85,+IF(P$18='5.Variables'!$B$90,+'5.Variables'!$E99,+IF(P$18='5.Variables'!$B$104,+'5.Variables'!$E113,0))))))</f>
        <v>0</v>
      </c>
      <c r="Q106" s="245"/>
      <c r="R106" s="558">
        <f t="shared" si="9"/>
        <v>16668947.421902306</v>
      </c>
      <c r="S106" s="265"/>
      <c r="T106" s="245"/>
      <c r="U106" s="245"/>
      <c r="V106" s="245"/>
      <c r="W106" s="245"/>
      <c r="X106" s="245"/>
      <c r="Y106" s="245"/>
      <c r="Z106" s="245"/>
      <c r="AA106" s="245"/>
      <c r="AB106" s="245"/>
      <c r="AC106" s="245"/>
      <c r="AD106" s="245"/>
      <c r="AE106" s="245"/>
      <c r="AF106" s="245"/>
      <c r="AG106" s="245"/>
      <c r="AH106" s="245"/>
      <c r="AI106" s="245"/>
      <c r="AJ106" s="245"/>
      <c r="AK106" s="245"/>
      <c r="AL106" s="245"/>
      <c r="AM106" s="245"/>
    </row>
    <row r="107" spans="1:39" x14ac:dyDescent="0.2">
      <c r="A107" s="503">
        <f t="shared" si="10"/>
        <v>88</v>
      </c>
      <c r="B107" s="262" t="str">
        <f>CONCATENATE('3. Consumption by Rate Class'!B112,"-",'3. Consumption by Rate Class'!C112)</f>
        <v>2012-April</v>
      </c>
      <c r="C107" s="697">
        <v>14737358.42</v>
      </c>
      <c r="D107" s="703"/>
      <c r="E107" s="707"/>
      <c r="F107" s="707"/>
      <c r="G107" s="703"/>
      <c r="H107" s="704"/>
      <c r="I107" s="704"/>
      <c r="J107" s="263">
        <f t="shared" si="8"/>
        <v>14737358.42</v>
      </c>
      <c r="K107" s="725">
        <f>IF(K$18='5.Variables'!$B$16,+'5.Variables'!$F34,+IF(K$18='5.Variables'!$B$39,+'5.Variables'!$F57,+IF(K$18='5.Variables'!$B$62,+'5.Variables'!$F71,+IF(K$18='5.Variables'!$B$76,+'5.Variables'!$F85,+IF(K$18='5.Variables'!$B$90,+'5.Variables'!$F99,+IF(K$18='5.Variables'!$B$104,+'5.Variables'!$F113,0))))))</f>
        <v>363.3</v>
      </c>
      <c r="L107" s="725">
        <f>IF(L$18='5.Variables'!$B$16,+'5.Variables'!$F33,+IF(L$18='5.Variables'!$B$39,+'5.Variables'!$F57,+IF(L$18='5.Variables'!$B$62,+'5.Variables'!$F71,+IF(L$18='5.Variables'!$B$76,+'5.Variables'!$F85,+IF(L$18='5.Variables'!$B$90,+'5.Variables'!$F99,+IF(L$18='5.Variables'!$B$104,+'5.Variables'!$F113,0))))))</f>
        <v>3.2</v>
      </c>
      <c r="M107" s="725">
        <f>IF(M$18='5.Variables'!$B$16,+'5.Variables'!$F33,+IF(M$18='5.Variables'!$B$39,+'5.Variables'!$F57,+IF(M$18='5.Variables'!$B$62,+'5.Variables'!$F71,+IF(M$18='5.Variables'!$B$76,+'5.Variables'!$F85,+IF(M$18='5.Variables'!$B$90,+'5.Variables'!$F99,+IF(M$18='5.Variables'!$B$104,+'5.Variables'!$F113,0))))))</f>
        <v>0</v>
      </c>
      <c r="N107" s="725">
        <f>IF(N$18='5.Variables'!$B$16,+'5.Variables'!$F33,+IF(N$18='5.Variables'!$B$39,+'5.Variables'!$F57,+IF(N$18='5.Variables'!$B$62,+'5.Variables'!$F71,+IF(N$18='5.Variables'!$B$76,+'5.Variables'!$F85,+IF(N$18='5.Variables'!$B$90,+'5.Variables'!$F99,+IF(N$18='5.Variables'!$B$104,+'5.Variables'!$F113,0))))))</f>
        <v>0</v>
      </c>
      <c r="O107" s="725">
        <f>IF(O$18='5.Variables'!$B$16,+'5.Variables'!$F33,+IF(O$18='5.Variables'!$B$39,+'5.Variables'!$F57,+IF(O$18='5.Variables'!$B$62,+'5.Variables'!$F71,+IF(O$18='5.Variables'!$B$76,+'5.Variables'!$F85,+IF(O$18='5.Variables'!$B$90,+'5.Variables'!$F99,+IF(O$18='5.Variables'!$B$104,+'5.Variables'!$F113,0))))))</f>
        <v>30</v>
      </c>
      <c r="P107" s="725">
        <f>IF(P$18='5.Variables'!$B$16,+'5.Variables'!$F33,+IF(P$18='5.Variables'!$B$39,+'5.Variables'!$F57,+IF(P$18='5.Variables'!$B$62,+'5.Variables'!$F71,+IF(P$18='5.Variables'!$B$76,+'5.Variables'!$F85,+IF(P$18='5.Variables'!$B$90,+'5.Variables'!$F99,+IF(P$18='5.Variables'!$B$104,+'5.Variables'!$F113,0))))))</f>
        <v>0</v>
      </c>
      <c r="Q107" s="245"/>
      <c r="R107" s="558">
        <f t="shared" si="9"/>
        <v>15614931.541549325</v>
      </c>
      <c r="S107" s="265"/>
      <c r="T107" s="245"/>
      <c r="U107" s="245"/>
      <c r="V107" s="245"/>
      <c r="W107" s="245"/>
      <c r="X107" s="245"/>
      <c r="Y107" s="245"/>
      <c r="Z107" s="245"/>
      <c r="AA107" s="245"/>
      <c r="AB107" s="245"/>
      <c r="AC107" s="245"/>
      <c r="AD107" s="245"/>
      <c r="AE107" s="245"/>
      <c r="AF107" s="245"/>
      <c r="AG107" s="245"/>
      <c r="AH107" s="245"/>
      <c r="AI107" s="245"/>
      <c r="AJ107" s="245"/>
      <c r="AK107" s="245"/>
      <c r="AL107" s="245"/>
      <c r="AM107" s="245"/>
    </row>
    <row r="108" spans="1:39" x14ac:dyDescent="0.2">
      <c r="A108" s="503">
        <f t="shared" si="10"/>
        <v>89</v>
      </c>
      <c r="B108" s="262" t="str">
        <f>CONCATENATE('3. Consumption by Rate Class'!B113,"-",'3. Consumption by Rate Class'!C113)</f>
        <v>2012-May</v>
      </c>
      <c r="C108" s="697">
        <v>14470448.540000001</v>
      </c>
      <c r="D108" s="703"/>
      <c r="E108" s="707"/>
      <c r="F108" s="707"/>
      <c r="G108" s="703"/>
      <c r="H108" s="704"/>
      <c r="I108" s="704"/>
      <c r="J108" s="263">
        <f t="shared" si="8"/>
        <v>14470448.540000001</v>
      </c>
      <c r="K108" s="725">
        <f>IF(K$18='5.Variables'!$B$16,+'5.Variables'!$G34,+IF(K$18='5.Variables'!$B$39,+'5.Variables'!$G57,+IF(K$18='5.Variables'!$B$62,+'5.Variables'!$G71,+IF(K$18='5.Variables'!$B$76,+'5.Variables'!$G85,+IF(K$18='5.Variables'!$B$90,+'5.Variables'!$G99,+IF(K$18='5.Variables'!$B$104,+'5.Variables'!$G113,0))))))</f>
        <v>96</v>
      </c>
      <c r="L108" s="725">
        <f>IF(L$18='5.Variables'!$B$16,+'5.Variables'!$G33,+IF(L$18='5.Variables'!$B$39,+'5.Variables'!$G57,+IF(L$18='5.Variables'!$B$62,+'5.Variables'!$G71,+IF(L$18='5.Variables'!$B$76,+'5.Variables'!$G85,+IF(L$18='5.Variables'!$B$90,+'5.Variables'!$G99,+IF(L$18='5.Variables'!$B$104,+'5.Variables'!$G113,0))))))</f>
        <v>21</v>
      </c>
      <c r="M108" s="725">
        <f>IF(M$18='5.Variables'!$B$16,+'5.Variables'!$G33,+IF(M$18='5.Variables'!$B$39,+'5.Variables'!$G57,+IF(M$18='5.Variables'!$B$62,+'5.Variables'!$G71,+IF(M$18='5.Variables'!$B$76,+'5.Variables'!$G85,+IF(M$18='5.Variables'!$B$90,+'5.Variables'!$G99,+IF(M$18='5.Variables'!$B$104,+'5.Variables'!$G113,0))))))</f>
        <v>0</v>
      </c>
      <c r="N108" s="725">
        <f>IF(N$18='5.Variables'!$B$16,+'5.Variables'!$G33,+IF(N$18='5.Variables'!$B$39,+'5.Variables'!$G57,+IF(N$18='5.Variables'!$B$62,+'5.Variables'!$G71,+IF(N$18='5.Variables'!$B$76,+'5.Variables'!$G85,+IF(N$18='5.Variables'!$B$90,+'5.Variables'!$G99,+IF(N$18='5.Variables'!$B$104,+'5.Variables'!$G113,0))))))</f>
        <v>0</v>
      </c>
      <c r="O108" s="725">
        <f>IF(O$18='5.Variables'!$B$16,+'5.Variables'!$G33,+IF(O$18='5.Variables'!$B$39,+'5.Variables'!$G57,+IF(O$18='5.Variables'!$B$62,+'5.Variables'!$G71,+IF(O$18='5.Variables'!$B$76,+'5.Variables'!$G85,+IF(O$18='5.Variables'!$B$90,+'5.Variables'!$G99,+IF(O$18='5.Variables'!$B$104,+'5.Variables'!$G113,0))))))</f>
        <v>31</v>
      </c>
      <c r="P108" s="725">
        <f>IF(P$18='5.Variables'!$B$16,+'5.Variables'!$G33,+IF(P$18='5.Variables'!$B$39,+'5.Variables'!$G57,+IF(P$18='5.Variables'!$B$62,+'5.Variables'!$G71,+IF(P$18='5.Variables'!$B$76,+'5.Variables'!$G85,+IF(P$18='5.Variables'!$B$90,+'5.Variables'!$G99,+IF(P$18='5.Variables'!$B$104,+'5.Variables'!$G113,0))))))</f>
        <v>0</v>
      </c>
      <c r="Q108" s="245"/>
      <c r="R108" s="558">
        <f t="shared" si="9"/>
        <v>14440397.109099727</v>
      </c>
      <c r="S108" s="265"/>
      <c r="T108" s="245"/>
      <c r="U108" s="245"/>
      <c r="V108" s="245"/>
      <c r="W108" s="245"/>
      <c r="X108" s="245"/>
      <c r="Y108" s="245"/>
      <c r="Z108" s="245"/>
      <c r="AA108" s="245"/>
      <c r="AB108" s="245"/>
      <c r="AC108" s="245"/>
      <c r="AD108" s="245"/>
      <c r="AE108" s="245"/>
      <c r="AF108" s="245"/>
      <c r="AG108" s="245"/>
      <c r="AH108" s="245"/>
      <c r="AI108" s="245"/>
      <c r="AJ108" s="245"/>
      <c r="AK108" s="245"/>
      <c r="AL108" s="245"/>
      <c r="AM108" s="245"/>
    </row>
    <row r="109" spans="1:39" x14ac:dyDescent="0.2">
      <c r="A109" s="503">
        <f t="shared" si="10"/>
        <v>90</v>
      </c>
      <c r="B109" s="262" t="str">
        <f>CONCATENATE('3. Consumption by Rate Class'!B114,"-",'3. Consumption by Rate Class'!C114)</f>
        <v>2012-June</v>
      </c>
      <c r="C109" s="697">
        <v>15810906.49</v>
      </c>
      <c r="D109" s="703"/>
      <c r="E109" s="707"/>
      <c r="F109" s="707"/>
      <c r="G109" s="703"/>
      <c r="H109" s="704"/>
      <c r="I109" s="704"/>
      <c r="J109" s="263">
        <f t="shared" si="8"/>
        <v>15810906.49</v>
      </c>
      <c r="K109" s="725">
        <f>IF(K$18='5.Variables'!$B$16,+'5.Variables'!$H34,+IF(K$18='5.Variables'!$B$39,+'5.Variables'!$H57,+IF(K$18='5.Variables'!$B$62,+'5.Variables'!$H71,+IF(K$18='5.Variables'!$B$76,+'5.Variables'!$H85,+IF(K$18='5.Variables'!$B$90,+'5.Variables'!$H99,+IF(K$18='5.Variables'!$B$104,+'5.Variables'!$H113,0))))))</f>
        <v>31.4</v>
      </c>
      <c r="L109" s="725">
        <f>IF(L$18='5.Variables'!$B$16,+'5.Variables'!$H33,+IF(L$18='5.Variables'!$B$39,+'5.Variables'!$H57,+IF(L$18='5.Variables'!$B$62,+'5.Variables'!$H71,+IF(L$18='5.Variables'!$B$76,+'5.Variables'!$H85,+IF(L$18='5.Variables'!$B$90,+'5.Variables'!$H99,+IF(L$18='5.Variables'!$B$104,+'5.Variables'!$H113,0))))))</f>
        <v>70.400000000000006</v>
      </c>
      <c r="M109" s="725">
        <f>IF(M$18='5.Variables'!$B$16,+'5.Variables'!$H33,+IF(M$18='5.Variables'!$B$39,+'5.Variables'!$H57,+IF(M$18='5.Variables'!$B$62,+'5.Variables'!$H71,+IF(M$18='5.Variables'!$B$76,+'5.Variables'!$H85,+IF(M$18='5.Variables'!$B$90,+'5.Variables'!$H99,+IF(M$18='5.Variables'!$B$104,+'5.Variables'!$H113,0))))))</f>
        <v>0</v>
      </c>
      <c r="N109" s="725">
        <f>IF(N$18='5.Variables'!$B$16,+'5.Variables'!$H33,+IF(N$18='5.Variables'!$B$39,+'5.Variables'!$H57,+IF(N$18='5.Variables'!$B$62,+'5.Variables'!$H71,+IF(N$18='5.Variables'!$B$76,+'5.Variables'!$H85,+IF(N$18='5.Variables'!$B$90,+'5.Variables'!$H99,+IF(N$18='5.Variables'!$B$104,+'5.Variables'!$H113,0))))))</f>
        <v>0</v>
      </c>
      <c r="O109" s="725">
        <f>IF(O$18='5.Variables'!$B$16,+'5.Variables'!$H33,+IF(O$18='5.Variables'!$B$39,+'5.Variables'!$H57,+IF(O$18='5.Variables'!$B$62,+'5.Variables'!$H71,+IF(O$18='5.Variables'!$B$76,+'5.Variables'!$H85,+IF(O$18='5.Variables'!$B$90,+'5.Variables'!$H99,+IF(O$18='5.Variables'!$B$104,+'5.Variables'!$H113,0))))))</f>
        <v>30</v>
      </c>
      <c r="P109" s="725">
        <f>IF(P$18='5.Variables'!$B$16,+'5.Variables'!$H33,+IF(P$18='5.Variables'!$B$39,+'5.Variables'!$H57,+IF(P$18='5.Variables'!$B$62,+'5.Variables'!$H71,+IF(P$18='5.Variables'!$B$76,+'5.Variables'!$H85,+IF(P$18='5.Variables'!$B$90,+'5.Variables'!$H99,+IF(P$18='5.Variables'!$B$104,+'5.Variables'!$H113,0))))))</f>
        <v>0</v>
      </c>
      <c r="Q109" s="245"/>
      <c r="R109" s="558">
        <f t="shared" si="9"/>
        <v>15050523.069589589</v>
      </c>
      <c r="S109" s="265"/>
      <c r="T109" s="245"/>
      <c r="U109" s="245"/>
      <c r="V109" s="245"/>
      <c r="W109" s="245"/>
      <c r="X109" s="245"/>
      <c r="Y109" s="245"/>
      <c r="Z109" s="245"/>
      <c r="AA109" s="245"/>
      <c r="AB109" s="245"/>
      <c r="AC109" s="245"/>
      <c r="AD109" s="245"/>
      <c r="AE109" s="245"/>
      <c r="AF109" s="245"/>
      <c r="AG109" s="245"/>
      <c r="AH109" s="245"/>
      <c r="AI109" s="245"/>
      <c r="AJ109" s="245"/>
      <c r="AK109" s="245"/>
      <c r="AL109" s="245"/>
      <c r="AM109" s="245"/>
    </row>
    <row r="110" spans="1:39" x14ac:dyDescent="0.2">
      <c r="A110" s="503">
        <f t="shared" si="10"/>
        <v>91</v>
      </c>
      <c r="B110" s="262" t="str">
        <f>CONCATENATE('3. Consumption by Rate Class'!B115,"-",'3. Consumption by Rate Class'!C115)</f>
        <v>2012-July</v>
      </c>
      <c r="C110" s="697">
        <v>15758011.33</v>
      </c>
      <c r="D110" s="703"/>
      <c r="E110" s="707"/>
      <c r="F110" s="707"/>
      <c r="G110" s="703"/>
      <c r="H110" s="704"/>
      <c r="I110" s="704"/>
      <c r="J110" s="263">
        <f t="shared" si="8"/>
        <v>15758011.33</v>
      </c>
      <c r="K110" s="725">
        <f>IF(K$18='5.Variables'!$B$16,+'5.Variables'!$I34,+IF(K$18='5.Variables'!$B$39,+'5.Variables'!$I57,+IF(K$18='5.Variables'!$B$62,+'5.Variables'!$I71,+IF(K$18='5.Variables'!$B$76,+'5.Variables'!$I85,+IF(K$18='5.Variables'!$B$90,+'5.Variables'!$I99,+IF(K$18='5.Variables'!$B$104,+'5.Variables'!$I113,0))))))</f>
        <v>0</v>
      </c>
      <c r="L110" s="725">
        <f>IF(L$18='5.Variables'!$B$16,+'5.Variables'!$I33,+IF(L$18='5.Variables'!$B$39,+'5.Variables'!$I57,+IF(L$18='5.Variables'!$B$62,+'5.Variables'!$I71,+IF(L$18='5.Variables'!$B$76,+'5.Variables'!$I85,+IF(L$18='5.Variables'!$B$90,+'5.Variables'!$I99,+IF(L$18='5.Variables'!$B$104,+'5.Variables'!$I113,0))))))</f>
        <v>142.19999999999999</v>
      </c>
      <c r="M110" s="725">
        <f>IF(M$18='5.Variables'!$B$16,+'5.Variables'!$I33,+IF(M$18='5.Variables'!$B$39,+'5.Variables'!$I57,+IF(M$18='5.Variables'!$B$62,+'5.Variables'!$I71,+IF(M$18='5.Variables'!$B$76,+'5.Variables'!$I85,+IF(M$18='5.Variables'!$B$90,+'5.Variables'!$I99,+IF(M$18='5.Variables'!$B$104,+'5.Variables'!$I113,0))))))</f>
        <v>0</v>
      </c>
      <c r="N110" s="725">
        <f>IF(N$18='5.Variables'!$B$16,+'5.Variables'!$I33,+IF(N$18='5.Variables'!$B$39,+'5.Variables'!$I57,+IF(N$18='5.Variables'!$B$62,+'5.Variables'!$I71,+IF(N$18='5.Variables'!$B$76,+'5.Variables'!$I85,+IF(N$18='5.Variables'!$B$90,+'5.Variables'!$I99,+IF(N$18='5.Variables'!$B$104,+'5.Variables'!$I113,0))))))</f>
        <v>1</v>
      </c>
      <c r="O110" s="725">
        <f>IF(O$18='5.Variables'!$B$16,+'5.Variables'!$I33,+IF(O$18='5.Variables'!$B$39,+'5.Variables'!$I57,+IF(O$18='5.Variables'!$B$62,+'5.Variables'!$I71,+IF(O$18='5.Variables'!$B$76,+'5.Variables'!$I85,+IF(O$18='5.Variables'!$B$90,+'5.Variables'!$I99,+IF(O$18='5.Variables'!$B$104,+'5.Variables'!$I113,0))))))</f>
        <v>31</v>
      </c>
      <c r="P110" s="725">
        <f>IF(P$18='5.Variables'!$B$16,+'5.Variables'!$I33,+IF(P$18='5.Variables'!$B$39,+'5.Variables'!$I57,+IF(P$18='5.Variables'!$B$62,+'5.Variables'!$I71,+IF(P$18='5.Variables'!$B$76,+'5.Variables'!$I85,+IF(P$18='5.Variables'!$B$90,+'5.Variables'!$I99,+IF(P$18='5.Variables'!$B$104,+'5.Variables'!$I113,0))))))</f>
        <v>0</v>
      </c>
      <c r="Q110" s="245"/>
      <c r="R110" s="558">
        <f t="shared" si="9"/>
        <v>17056485.785094459</v>
      </c>
      <c r="S110" s="265"/>
      <c r="T110" s="245"/>
      <c r="U110" s="245"/>
      <c r="V110" s="245"/>
      <c r="W110" s="245"/>
      <c r="X110" s="245"/>
      <c r="Y110" s="245"/>
      <c r="Z110" s="245"/>
      <c r="AA110" s="245"/>
      <c r="AB110" s="245"/>
      <c r="AC110" s="245"/>
      <c r="AD110" s="245"/>
      <c r="AE110" s="245"/>
      <c r="AF110" s="245"/>
      <c r="AG110" s="245"/>
      <c r="AH110" s="245"/>
      <c r="AI110" s="245"/>
      <c r="AJ110" s="245"/>
      <c r="AK110" s="245"/>
      <c r="AL110" s="245"/>
      <c r="AM110" s="245"/>
    </row>
    <row r="111" spans="1:39" x14ac:dyDescent="0.2">
      <c r="A111" s="503">
        <f t="shared" si="10"/>
        <v>92</v>
      </c>
      <c r="B111" s="262" t="str">
        <f>CONCATENATE('3. Consumption by Rate Class'!B116,"-",'3. Consumption by Rate Class'!C116)</f>
        <v>2012-August</v>
      </c>
      <c r="C111" s="697">
        <v>16774606.08</v>
      </c>
      <c r="D111" s="703"/>
      <c r="E111" s="707"/>
      <c r="F111" s="707"/>
      <c r="G111" s="703"/>
      <c r="H111" s="704"/>
      <c r="I111" s="704"/>
      <c r="J111" s="263">
        <f t="shared" si="8"/>
        <v>16774606.08</v>
      </c>
      <c r="K111" s="725">
        <f>IF(K$18='5.Variables'!$B$16,+'5.Variables'!$J34,+IF(K$18='5.Variables'!$B$39,+'5.Variables'!$J57,+IF(K$18='5.Variables'!$B$62,+'5.Variables'!$J71,+IF(K$18='5.Variables'!$B$76,+'5.Variables'!$J85,+IF(K$18='5.Variables'!$B$90,+'5.Variables'!$J99,+IF(K$18='5.Variables'!$B$104,+'5.Variables'!$J113,0))))))</f>
        <v>8.4</v>
      </c>
      <c r="L111" s="725">
        <f>IF(L$18='5.Variables'!$B$16,+'5.Variables'!$J33,+IF(L$18='5.Variables'!$B$39,+'5.Variables'!$J57,+IF(L$18='5.Variables'!$B$62,+'5.Variables'!$J71,+IF(L$18='5.Variables'!$B$76,+'5.Variables'!$J85,+IF(L$18='5.Variables'!$B$90,+'5.Variables'!$J99,+IF(L$18='5.Variables'!$B$104,+'5.Variables'!$J113,0))))))</f>
        <v>97.6</v>
      </c>
      <c r="M111" s="725">
        <f>IF(M$18='5.Variables'!$B$16,+'5.Variables'!$J33,+IF(M$18='5.Variables'!$B$39,+'5.Variables'!$J57,+IF(M$18='5.Variables'!$B$62,+'5.Variables'!$J71,+IF(M$18='5.Variables'!$B$76,+'5.Variables'!$J85,+IF(M$18='5.Variables'!$B$90,+'5.Variables'!$J99,+IF(M$18='5.Variables'!$B$104,+'5.Variables'!$J113,0))))))</f>
        <v>0</v>
      </c>
      <c r="N111" s="725">
        <f>IF(N$18='5.Variables'!$B$16,+'5.Variables'!$J33,+IF(N$18='5.Variables'!$B$39,+'5.Variables'!$J57,+IF(N$18='5.Variables'!$B$62,+'5.Variables'!$J71,+IF(N$18='5.Variables'!$B$76,+'5.Variables'!$J85,+IF(N$18='5.Variables'!$B$90,+'5.Variables'!$J99,+IF(N$18='5.Variables'!$B$104,+'5.Variables'!$J113,0))))))</f>
        <v>0</v>
      </c>
      <c r="O111" s="725">
        <f>IF(O$18='5.Variables'!$B$16,+'5.Variables'!$J33,+IF(O$18='5.Variables'!$B$39,+'5.Variables'!$J57,+IF(O$18='5.Variables'!$B$62,+'5.Variables'!$J71,+IF(O$18='5.Variables'!$B$76,+'5.Variables'!$J85,+IF(O$18='5.Variables'!$B$90,+'5.Variables'!$J99,+IF(O$18='5.Variables'!$B$104,+'5.Variables'!$J113,0))))))</f>
        <v>31</v>
      </c>
      <c r="P111" s="725">
        <f>IF(P$18='5.Variables'!$B$16,+'5.Variables'!$J33,+IF(P$18='5.Variables'!$B$39,+'5.Variables'!$J57,+IF(P$18='5.Variables'!$B$62,+'5.Variables'!$J71,+IF(P$18='5.Variables'!$B$76,+'5.Variables'!$J85,+IF(P$18='5.Variables'!$B$90,+'5.Variables'!$J99,+IF(P$18='5.Variables'!$B$104,+'5.Variables'!$J113,0))))))</f>
        <v>0</v>
      </c>
      <c r="Q111" s="245"/>
      <c r="R111" s="558">
        <f t="shared" si="9"/>
        <v>15697223.894150924</v>
      </c>
      <c r="S111" s="265"/>
      <c r="T111" s="245"/>
      <c r="U111" s="245"/>
      <c r="V111" s="245"/>
      <c r="W111" s="245"/>
      <c r="X111" s="245"/>
      <c r="Y111" s="245"/>
      <c r="Z111" s="245"/>
      <c r="AA111" s="245"/>
      <c r="AB111" s="245"/>
      <c r="AC111" s="245"/>
      <c r="AD111" s="245"/>
      <c r="AE111" s="245"/>
      <c r="AF111" s="245"/>
      <c r="AG111" s="245"/>
      <c r="AH111" s="245"/>
      <c r="AI111" s="245"/>
      <c r="AJ111" s="245"/>
      <c r="AK111" s="245"/>
      <c r="AL111" s="245"/>
      <c r="AM111" s="245"/>
    </row>
    <row r="112" spans="1:39" x14ac:dyDescent="0.2">
      <c r="A112" s="503">
        <f t="shared" si="10"/>
        <v>93</v>
      </c>
      <c r="B112" s="262" t="str">
        <f>CONCATENATE('3. Consumption by Rate Class'!B117,"-",'3. Consumption by Rate Class'!C117)</f>
        <v>2012-September</v>
      </c>
      <c r="C112" s="697">
        <v>13197164.210000001</v>
      </c>
      <c r="D112" s="703"/>
      <c r="E112" s="707"/>
      <c r="F112" s="707"/>
      <c r="G112" s="703"/>
      <c r="H112" s="704"/>
      <c r="I112" s="704"/>
      <c r="J112" s="263">
        <f t="shared" si="8"/>
        <v>13197164.210000001</v>
      </c>
      <c r="K112" s="725">
        <f>IF(K$18='5.Variables'!$B$16,+'5.Variables'!$K34,+IF(K$18='5.Variables'!$B$39,+'5.Variables'!$K57,+IF(K$18='5.Variables'!$B$62,+'5.Variables'!$K71,+IF(K$18='5.Variables'!$B$76,+'5.Variables'!$K85,+IF(K$18='5.Variables'!$B$90,+'5.Variables'!$K99,+IF(K$18='5.Variables'!$B$104,+'5.Variables'!$K113,0))))))</f>
        <v>127.3</v>
      </c>
      <c r="L112" s="725">
        <f>IF(L$18='5.Variables'!$B$16,+'5.Variables'!$K33,+IF(L$18='5.Variables'!$B$39,+'5.Variables'!$K57,+IF(L$18='5.Variables'!$B$62,+'5.Variables'!$K71,+IF(L$18='5.Variables'!$B$76,+'5.Variables'!$K85,+IF(L$18='5.Variables'!$B$90,+'5.Variables'!$K99,+IF(L$18='5.Variables'!$B$104,+'5.Variables'!$K113,0))))))</f>
        <v>20.6</v>
      </c>
      <c r="M112" s="725">
        <f>IF(M$18='5.Variables'!$B$16,+'5.Variables'!$K33,+IF(M$18='5.Variables'!$B$39,+'5.Variables'!$K57,+IF(M$18='5.Variables'!$B$62,+'5.Variables'!$K71,+IF(M$18='5.Variables'!$B$76,+'5.Variables'!$K85,+IF(M$18='5.Variables'!$B$90,+'5.Variables'!$K99,+IF(M$18='5.Variables'!$B$104,+'5.Variables'!$K113,0))))))</f>
        <v>0</v>
      </c>
      <c r="N112" s="725">
        <f>IF(N$18='5.Variables'!$B$16,+'5.Variables'!$K33,+IF(N$18='5.Variables'!$B$39,+'5.Variables'!$K57,+IF(N$18='5.Variables'!$B$62,+'5.Variables'!$K71,+IF(N$18='5.Variables'!$B$76,+'5.Variables'!$K85,+IF(N$18='5.Variables'!$B$90,+'5.Variables'!$K99,+IF(N$18='5.Variables'!$B$104,+'5.Variables'!$K113,0))))))</f>
        <v>0</v>
      </c>
      <c r="O112" s="725">
        <f>IF(O$18='5.Variables'!$B$16,+'5.Variables'!$K33,+IF(O$18='5.Variables'!$B$39,+'5.Variables'!$K57,+IF(O$18='5.Variables'!$B$62,+'5.Variables'!$K71,+IF(O$18='5.Variables'!$B$76,+'5.Variables'!$K85,+IF(O$18='5.Variables'!$B$90,+'5.Variables'!$K99,+IF(O$18='5.Variables'!$B$104,+'5.Variables'!$K113,0))))))</f>
        <v>30</v>
      </c>
      <c r="P112" s="725">
        <f>IF(P$18='5.Variables'!$B$16,+'5.Variables'!$K33,+IF(P$18='5.Variables'!$B$39,+'5.Variables'!$K57,+IF(P$18='5.Variables'!$B$62,+'5.Variables'!$K71,+IF(P$18='5.Variables'!$B$76,+'5.Variables'!$K85,+IF(P$18='5.Variables'!$B$90,+'5.Variables'!$K99,+IF(P$18='5.Variables'!$B$104,+'5.Variables'!$K113,0))))))</f>
        <v>0</v>
      </c>
      <c r="Q112" s="245"/>
      <c r="R112" s="558">
        <f t="shared" si="9"/>
        <v>14487988.984899594</v>
      </c>
      <c r="S112" s="265"/>
      <c r="T112" s="245"/>
      <c r="U112" s="245"/>
      <c r="V112" s="245"/>
      <c r="W112" s="245"/>
      <c r="X112" s="245"/>
      <c r="Y112" s="245"/>
      <c r="Z112" s="245"/>
      <c r="AA112" s="245"/>
      <c r="AB112" s="245"/>
      <c r="AC112" s="245"/>
      <c r="AD112" s="245"/>
      <c r="AE112" s="245"/>
      <c r="AF112" s="245"/>
      <c r="AG112" s="245"/>
      <c r="AH112" s="245"/>
      <c r="AI112" s="245"/>
      <c r="AJ112" s="245"/>
      <c r="AK112" s="245"/>
      <c r="AL112" s="245"/>
      <c r="AM112" s="245"/>
    </row>
    <row r="113" spans="1:39" x14ac:dyDescent="0.2">
      <c r="A113" s="503">
        <f t="shared" si="10"/>
        <v>94</v>
      </c>
      <c r="B113" s="262" t="str">
        <f>CONCATENATE('3. Consumption by Rate Class'!B118,"-",'3. Consumption by Rate Class'!C118)</f>
        <v>2012-October</v>
      </c>
      <c r="C113" s="697">
        <v>13562663.460000001</v>
      </c>
      <c r="D113" s="703"/>
      <c r="E113" s="707"/>
      <c r="F113" s="707"/>
      <c r="G113" s="703"/>
      <c r="H113" s="704"/>
      <c r="I113" s="704"/>
      <c r="J113" s="263">
        <f t="shared" si="8"/>
        <v>13562663.460000001</v>
      </c>
      <c r="K113" s="725">
        <f>IF(K$18='5.Variables'!$B$16,+'5.Variables'!$L34,+IF(K$18='5.Variables'!$B$39,+'5.Variables'!$L57,+IF(K$18='5.Variables'!$B$62,+'5.Variables'!$L71,+IF(K$18='5.Variables'!$B$76,+'5.Variables'!$L85,+IF(K$18='5.Variables'!$B$90,+'5.Variables'!$L99,+IF(K$18='5.Variables'!$B$104,+'5.Variables'!$L113,0))))))</f>
        <v>243.1</v>
      </c>
      <c r="L113" s="725">
        <f>IF(L$18='5.Variables'!$B$16,+'5.Variables'!$L33,+IF(L$18='5.Variables'!$B$39,+'5.Variables'!$L57,+IF(L$18='5.Variables'!$B$62,+'5.Variables'!$L71,+IF(L$18='5.Variables'!$B$76,+'5.Variables'!$L85,+IF(L$18='5.Variables'!$B$90,+'5.Variables'!$L99,+IF(L$18='5.Variables'!$B$104,+'5.Variables'!$L113,0))))))</f>
        <v>0</v>
      </c>
      <c r="M113" s="725">
        <f>IF(M$18='5.Variables'!$B$16,+'5.Variables'!$L33,+IF(M$18='5.Variables'!$B$39,+'5.Variables'!$L57,+IF(M$18='5.Variables'!$B$62,+'5.Variables'!$L71,+IF(M$18='5.Variables'!$B$76,+'5.Variables'!$L85,+IF(M$18='5.Variables'!$B$90,+'5.Variables'!$L99,+IF(M$18='5.Variables'!$B$104,+'5.Variables'!$L113,0))))))</f>
        <v>0</v>
      </c>
      <c r="N113" s="725">
        <f>IF(N$18='5.Variables'!$B$16,+'5.Variables'!$L33,+IF(N$18='5.Variables'!$B$39,+'5.Variables'!$L57,+IF(N$18='5.Variables'!$B$62,+'5.Variables'!$L71,+IF(N$18='5.Variables'!$B$76,+'5.Variables'!$L85,+IF(N$18='5.Variables'!$B$90,+'5.Variables'!$L99,+IF(N$18='5.Variables'!$B$104,+'5.Variables'!$L113,0))))))</f>
        <v>0</v>
      </c>
      <c r="O113" s="725">
        <f>IF(O$18='5.Variables'!$B$16,+'5.Variables'!$L33,+IF(O$18='5.Variables'!$B$39,+'5.Variables'!$L57,+IF(O$18='5.Variables'!$B$62,+'5.Variables'!$L71,+IF(O$18='5.Variables'!$B$76,+'5.Variables'!$L85,+IF(O$18='5.Variables'!$B$90,+'5.Variables'!$L99,+IF(O$18='5.Variables'!$B$104,+'5.Variables'!$L113,0))))))</f>
        <v>31</v>
      </c>
      <c r="P113" s="725">
        <f>IF(P$18='5.Variables'!$B$16,+'5.Variables'!$L33,+IF(P$18='5.Variables'!$B$39,+'5.Variables'!$L57,+IF(P$18='5.Variables'!$B$62,+'5.Variables'!$L71,+IF(P$18='5.Variables'!$B$76,+'5.Variables'!$L85,+IF(P$18='5.Variables'!$B$90,+'5.Variables'!$L99,+IF(P$18='5.Variables'!$B$104,+'5.Variables'!$L113,0))))))</f>
        <v>0</v>
      </c>
      <c r="Q113" s="245"/>
      <c r="R113" s="558">
        <f t="shared" si="9"/>
        <v>14900314.14780695</v>
      </c>
      <c r="S113" s="265"/>
      <c r="T113" s="245"/>
      <c r="U113" s="245"/>
      <c r="V113" s="245"/>
      <c r="W113" s="245"/>
      <c r="X113" s="245"/>
      <c r="Y113" s="245"/>
      <c r="Z113" s="245"/>
      <c r="AA113" s="245"/>
      <c r="AB113" s="245"/>
      <c r="AC113" s="245"/>
      <c r="AD113" s="245"/>
      <c r="AE113" s="245"/>
      <c r="AF113" s="245"/>
      <c r="AG113" s="245"/>
      <c r="AH113" s="245"/>
      <c r="AI113" s="245"/>
      <c r="AJ113" s="245"/>
      <c r="AK113" s="245"/>
      <c r="AL113" s="245"/>
      <c r="AM113" s="245"/>
    </row>
    <row r="114" spans="1:39" x14ac:dyDescent="0.2">
      <c r="A114" s="503">
        <f t="shared" si="10"/>
        <v>95</v>
      </c>
      <c r="B114" s="262" t="str">
        <f>CONCATENATE('3. Consumption by Rate Class'!B119,"-",'3. Consumption by Rate Class'!C119)</f>
        <v>2012-November</v>
      </c>
      <c r="C114" s="697">
        <v>16710915.369999999</v>
      </c>
      <c r="D114" s="703"/>
      <c r="E114" s="707"/>
      <c r="F114" s="707"/>
      <c r="G114" s="703"/>
      <c r="H114" s="704"/>
      <c r="I114" s="704"/>
      <c r="J114" s="263">
        <f t="shared" si="8"/>
        <v>16710915.369999999</v>
      </c>
      <c r="K114" s="725">
        <f>IF(K$18='5.Variables'!$B$16,+'5.Variables'!$M34,+IF(K$18='5.Variables'!$B$39,+'5.Variables'!$M57,+IF(K$18='5.Variables'!$B$62,+'5.Variables'!$M71,+IF(K$18='5.Variables'!$B$76,+'5.Variables'!$M85,+IF(K$18='5.Variables'!$B$90,+'5.Variables'!$M99,+IF(K$18='5.Variables'!$B$104,+'5.Variables'!$M113,0))))))</f>
        <v>541.70000000000005</v>
      </c>
      <c r="L114" s="725">
        <f>IF(L$18='5.Variables'!$B$16,+'5.Variables'!$M33,+IF(L$18='5.Variables'!$B$39,+'5.Variables'!$M57,+IF(L$18='5.Variables'!$B$62,+'5.Variables'!$M71,+IF(L$18='5.Variables'!$B$76,+'5.Variables'!$M85,+IF(L$18='5.Variables'!$B$90,+'5.Variables'!$M99,+IF(L$18='5.Variables'!$B$104,+'5.Variables'!$M113,0))))))</f>
        <v>0</v>
      </c>
      <c r="M114" s="725">
        <f>IF(M$18='5.Variables'!$B$16,+'5.Variables'!$M33,+IF(M$18='5.Variables'!$B$39,+'5.Variables'!$M57,+IF(M$18='5.Variables'!$B$62,+'5.Variables'!$M71,+IF(M$18='5.Variables'!$B$76,+'5.Variables'!$M85,+IF(M$18='5.Variables'!$B$90,+'5.Variables'!$M99,+IF(M$18='5.Variables'!$B$104,+'5.Variables'!$M113,0))))))</f>
        <v>0</v>
      </c>
      <c r="N114" s="725">
        <f>IF(N$18='5.Variables'!$B$16,+'5.Variables'!$M33,+IF(N$18='5.Variables'!$B$39,+'5.Variables'!$M57,+IF(N$18='5.Variables'!$B$62,+'5.Variables'!$M71,+IF(N$18='5.Variables'!$B$76,+'5.Variables'!$M85,+IF(N$18='5.Variables'!$B$90,+'5.Variables'!$M99,+IF(N$18='5.Variables'!$B$104,+'5.Variables'!$M113,0))))))</f>
        <v>0</v>
      </c>
      <c r="O114" s="725">
        <f>IF(O$18='5.Variables'!$B$16,+'5.Variables'!$M33,+IF(O$18='5.Variables'!$B$39,+'5.Variables'!$M57,+IF(O$18='5.Variables'!$B$62,+'5.Variables'!$M71,+IF(O$18='5.Variables'!$B$76,+'5.Variables'!$M85,+IF(O$18='5.Variables'!$B$90,+'5.Variables'!$M99,+IF(O$18='5.Variables'!$B$104,+'5.Variables'!$M113,0))))))</f>
        <v>30</v>
      </c>
      <c r="P114" s="725">
        <f>IF(P$18='5.Variables'!$B$16,+'5.Variables'!$M33,+IF(P$18='5.Variables'!$B$39,+'5.Variables'!$M57,+IF(P$18='5.Variables'!$B$62,+'5.Variables'!$M71,+IF(P$18='5.Variables'!$B$76,+'5.Variables'!$M85,+IF(P$18='5.Variables'!$B$90,+'5.Variables'!$M99,+IF(P$18='5.Variables'!$B$104,+'5.Variables'!$M113,0))))))</f>
        <v>0</v>
      </c>
      <c r="Q114" s="245"/>
      <c r="R114" s="558">
        <f t="shared" si="9"/>
        <v>16704528.892110018</v>
      </c>
      <c r="S114" s="265"/>
      <c r="T114" s="245"/>
      <c r="U114" s="245"/>
      <c r="V114" s="245"/>
      <c r="W114" s="245"/>
      <c r="X114" s="245"/>
      <c r="Y114" s="245"/>
      <c r="Z114" s="245"/>
      <c r="AA114" s="245"/>
      <c r="AB114" s="245"/>
      <c r="AC114" s="245"/>
      <c r="AD114" s="245"/>
      <c r="AE114" s="245"/>
      <c r="AF114" s="245"/>
      <c r="AG114" s="245"/>
      <c r="AH114" s="245"/>
      <c r="AI114" s="245"/>
      <c r="AJ114" s="245"/>
      <c r="AK114" s="245"/>
      <c r="AL114" s="245"/>
      <c r="AM114" s="245"/>
    </row>
    <row r="115" spans="1:39" x14ac:dyDescent="0.2">
      <c r="A115" s="503">
        <f t="shared" si="10"/>
        <v>96</v>
      </c>
      <c r="B115" s="522" t="str">
        <f>CONCATENATE('3. Consumption by Rate Class'!B120,"-",'3. Consumption by Rate Class'!C120)</f>
        <v>2012-December</v>
      </c>
      <c r="C115" s="698">
        <v>18046844.399999999</v>
      </c>
      <c r="D115" s="705"/>
      <c r="E115" s="705"/>
      <c r="F115" s="705"/>
      <c r="G115" s="705"/>
      <c r="H115" s="706"/>
      <c r="I115" s="706"/>
      <c r="J115" s="263">
        <f t="shared" si="8"/>
        <v>18046844.399999999</v>
      </c>
      <c r="K115" s="725">
        <f>IF(K$18='5.Variables'!$B$16,+'5.Variables'!$N34,+IF(K$18='5.Variables'!$B$39,+'5.Variables'!$N57,+IF(K$18='5.Variables'!$B$62,+'5.Variables'!$N71,+IF(K$18='5.Variables'!$B$76,+'5.Variables'!$N85,+IF(K$18='5.Variables'!$B$90,+'5.Variables'!$N99,+IF(K$18='5.Variables'!$B$104,+'5.Variables'!$N113,0))))))</f>
        <v>680.6</v>
      </c>
      <c r="L115" s="725">
        <f>IF(L$18='5.Variables'!$B$16,+'5.Variables'!$N33,+IF(L$18='5.Variables'!$B$39,+'5.Variables'!$N57,+IF(L$18='5.Variables'!$B$62,+'5.Variables'!$N71,+IF(L$18='5.Variables'!$B$76,+'5.Variables'!$N85,+IF(L$18='5.Variables'!$B$90,+'5.Variables'!$N99,+IF(L$18='5.Variables'!$B$104,+'5.Variables'!$N113,0))))))</f>
        <v>0</v>
      </c>
      <c r="M115" s="725">
        <f>IF(M$18='5.Variables'!$B$16,+'5.Variables'!$N33,+IF(M$18='5.Variables'!$B$39,+'5.Variables'!$N57,+IF(M$18='5.Variables'!$B$62,+'5.Variables'!$N71,+IF(M$18='5.Variables'!$B$76,+'5.Variables'!$N85,+IF(M$18='5.Variables'!$B$90,+'5.Variables'!$N99,+IF(M$18='5.Variables'!$B$104,+'5.Variables'!$N113,0))))))</f>
        <v>1</v>
      </c>
      <c r="N115" s="725">
        <f>IF(N$18='5.Variables'!$B$16,+'5.Variables'!$N33,+IF(N$18='5.Variables'!$B$39,+'5.Variables'!$N57,+IF(N$18='5.Variables'!$B$62,+'5.Variables'!$N71,+IF(N$18='5.Variables'!$B$76,+'5.Variables'!$N85,+IF(N$18='5.Variables'!$B$90,+'5.Variables'!$N99,+IF(N$18='5.Variables'!$B$104,+'5.Variables'!$N113,0))))))</f>
        <v>1</v>
      </c>
      <c r="O115" s="725">
        <f>IF(O$18='5.Variables'!$B$16,+'5.Variables'!$N33,+IF(O$18='5.Variables'!$B$39,+'5.Variables'!$N57,+IF(O$18='5.Variables'!$B$62,+'5.Variables'!$N71,+IF(O$18='5.Variables'!$B$76,+'5.Variables'!$N85,+IF(O$18='5.Variables'!$B$90,+'5.Variables'!$N99,+IF(O$18='5.Variables'!$B$104,+'5.Variables'!$N113,0))))))</f>
        <v>31</v>
      </c>
      <c r="P115" s="725">
        <f>IF(P$18='5.Variables'!$B$16,+'5.Variables'!$N33,+IF(P$18='5.Variables'!$B$39,+'5.Variables'!$N57,+IF(P$18='5.Variables'!$B$62,+'5.Variables'!$N71,+IF(P$18='5.Variables'!$B$76,+'5.Variables'!$N85,+IF(P$18='5.Variables'!$B$90,+'5.Variables'!$N99,+IF(P$18='5.Variables'!$B$104,+'5.Variables'!$N113,0))))))</f>
        <v>0</v>
      </c>
      <c r="Q115" s="245"/>
      <c r="R115" s="558">
        <f t="shared" si="9"/>
        <v>19711115.317055233</v>
      </c>
      <c r="S115" s="265">
        <f>SUM(R104:R115)</f>
        <v>200033688.73731855</v>
      </c>
      <c r="T115" s="245"/>
      <c r="U115" s="245"/>
      <c r="V115" s="245"/>
      <c r="W115" s="245"/>
      <c r="X115" s="245"/>
      <c r="Y115" s="245"/>
      <c r="Z115" s="245"/>
      <c r="AA115" s="245"/>
      <c r="AB115" s="245"/>
      <c r="AC115" s="245"/>
      <c r="AD115" s="245"/>
      <c r="AE115" s="245"/>
      <c r="AF115" s="245"/>
      <c r="AG115" s="245"/>
      <c r="AH115" s="245"/>
      <c r="AI115" s="245"/>
      <c r="AJ115" s="245"/>
      <c r="AK115" s="245"/>
      <c r="AL115" s="245"/>
      <c r="AM115" s="245"/>
    </row>
    <row r="116" spans="1:39" x14ac:dyDescent="0.2">
      <c r="A116" s="503">
        <f t="shared" si="10"/>
        <v>97</v>
      </c>
      <c r="B116" s="262" t="str">
        <f>CONCATENATE('3. Consumption by Rate Class'!B121,"-",'3. Consumption by Rate Class'!C121)</f>
        <v>2013-January</v>
      </c>
      <c r="C116" s="697">
        <v>20811741.748199999</v>
      </c>
      <c r="D116" s="703"/>
      <c r="E116" s="707"/>
      <c r="F116" s="707"/>
      <c r="G116" s="703"/>
      <c r="H116" s="704"/>
      <c r="I116" s="704"/>
      <c r="J116" s="263">
        <f t="shared" si="8"/>
        <v>20811741.748199999</v>
      </c>
      <c r="K116" s="725">
        <f>IF(K$18='5.Variables'!$B$16,+'5.Variables'!$C35,+IF(K$18='5.Variables'!$B$39,+'5.Variables'!$C58,+IF(K$18='5.Variables'!$B$62,+'5.Variables'!$C72,+IF(K$18='5.Variables'!$B$76,+'5.Variables'!$C86,+IF(K$18='5.Variables'!$B$90,+'5.Variables'!$C100,+IF(K$18='5.Variables'!$B$104,+'5.Variables'!$C114,0))))))</f>
        <v>839.9</v>
      </c>
      <c r="L116" s="725">
        <f>IF(L$18='5.Variables'!$B$16,+'5.Variables'!$C34,+IF(L$18='5.Variables'!$B$39,+'5.Variables'!$C58,+IF(L$18='5.Variables'!$B$62,+'5.Variables'!$C72,+IF(L$18='5.Variables'!$B$76,+'5.Variables'!$C86,+IF(L$18='5.Variables'!$B$90,+'5.Variables'!$C100,+IF(L$18='5.Variables'!$B$104,+'5.Variables'!$C114,0))))))</f>
        <v>0</v>
      </c>
      <c r="M116" s="725">
        <f>IF(M$18='5.Variables'!$B$16,+'5.Variables'!$C34,+IF(M$18='5.Variables'!$B$39,+'5.Variables'!$C58,+IF(M$18='5.Variables'!$B$62,+'5.Variables'!$C72,+IF(M$18='5.Variables'!$B$76,+'5.Variables'!$C86,+IF(M$18='5.Variables'!$B$90,+'5.Variables'!$C100,+IF(M$18='5.Variables'!$B$104,+'5.Variables'!$C114,0))))))</f>
        <v>1</v>
      </c>
      <c r="N116" s="725">
        <f>IF(N$18='5.Variables'!$B$16,+'5.Variables'!$C34,+IF(N$18='5.Variables'!$B$39,+'5.Variables'!$C58,+IF(N$18='5.Variables'!$B$62,+'5.Variables'!$C72,+IF(N$18='5.Variables'!$B$76,+'5.Variables'!$C86,+IF(N$18='5.Variables'!$B$90,+'5.Variables'!$C100,+IF(N$18='5.Variables'!$B$104,+'5.Variables'!$C114,0))))))</f>
        <v>1</v>
      </c>
      <c r="O116" s="725">
        <f>IF(O$18='5.Variables'!$B$16,+'5.Variables'!$C34,+IF(O$18='5.Variables'!$B$39,+'5.Variables'!$C58,+IF(O$18='5.Variables'!$B$62,+'5.Variables'!$C72,+IF(O$18='5.Variables'!$B$76,+'5.Variables'!$C86,+IF(O$18='5.Variables'!$B$90,+'5.Variables'!$C100,+IF(O$18='5.Variables'!$B$104,+'5.Variables'!$C114,0))))))</f>
        <v>31</v>
      </c>
      <c r="P116" s="725">
        <f>IF(P$18='5.Variables'!$B$16,+'5.Variables'!$C34,+IF(P$18='5.Variables'!$B$39,+'5.Variables'!$C58,+IF(P$18='5.Variables'!$B$62,+'5.Variables'!$C72,+IF(P$18='5.Variables'!$B$76,+'5.Variables'!$C86,+IF(P$18='5.Variables'!$B$90,+'5.Variables'!$C100,+IF(P$18='5.Variables'!$B$104,+'5.Variables'!$C114,0))))))</f>
        <v>0</v>
      </c>
      <c r="Q116" s="245"/>
      <c r="R116" s="558">
        <f t="shared" si="9"/>
        <v>20752298.432371531</v>
      </c>
      <c r="S116" s="265"/>
      <c r="T116" s="245"/>
      <c r="U116" s="245"/>
      <c r="V116" s="245"/>
      <c r="W116" s="245"/>
      <c r="X116" s="245"/>
      <c r="Y116" s="245"/>
      <c r="Z116" s="245"/>
      <c r="AA116" s="245"/>
      <c r="AB116" s="245"/>
      <c r="AC116" s="245"/>
      <c r="AD116" s="245"/>
      <c r="AE116" s="245"/>
      <c r="AF116" s="245"/>
      <c r="AG116" s="245"/>
      <c r="AH116" s="245"/>
      <c r="AI116" s="245"/>
      <c r="AJ116" s="245"/>
      <c r="AK116" s="245"/>
      <c r="AL116" s="245"/>
      <c r="AM116" s="245"/>
    </row>
    <row r="117" spans="1:39" x14ac:dyDescent="0.2">
      <c r="A117" s="503">
        <f t="shared" si="10"/>
        <v>98</v>
      </c>
      <c r="B117" s="262" t="str">
        <f>CONCATENATE('3. Consumption by Rate Class'!B122,"-",'3. Consumption by Rate Class'!C122)</f>
        <v>2013-February</v>
      </c>
      <c r="C117" s="697">
        <v>18188849.137899999</v>
      </c>
      <c r="D117" s="703"/>
      <c r="E117" s="707"/>
      <c r="F117" s="707"/>
      <c r="G117" s="703"/>
      <c r="H117" s="704"/>
      <c r="I117" s="704"/>
      <c r="J117" s="263">
        <f t="shared" si="8"/>
        <v>18188849.137899999</v>
      </c>
      <c r="K117" s="725">
        <f>IF(K$18='5.Variables'!$B$16,+'5.Variables'!$D35,+IF(K$18='5.Variables'!$B$39,+'5.Variables'!$D58,+IF(K$18='5.Variables'!$B$62,+'5.Variables'!$D72,+IF(K$18='5.Variables'!$B$76,+'5.Variables'!$D86,+IF(K$18='5.Variables'!$B$90,+'5.Variables'!$D100,+IF(K$18='5.Variables'!$B$104,+'5.Variables'!$D114,0))))))</f>
        <v>728.5</v>
      </c>
      <c r="L117" s="725">
        <f>IF(L$18='5.Variables'!$B$16,+'5.Variables'!$D34,+IF(L$18='5.Variables'!$B$39,+'5.Variables'!$D58,+IF(L$18='5.Variables'!$B$62,+'5.Variables'!$D72,+IF(L$18='5.Variables'!$B$76,+'5.Variables'!$D86,+IF(L$18='5.Variables'!$B$90,+'5.Variables'!$D100,+IF(L$18='5.Variables'!$B$104,+'5.Variables'!$D114,0))))))</f>
        <v>0</v>
      </c>
      <c r="M117" s="725">
        <f>IF(M$18='5.Variables'!$B$16,+'5.Variables'!$D34,+IF(M$18='5.Variables'!$B$39,+'5.Variables'!$D58,+IF(M$18='5.Variables'!$B$62,+'5.Variables'!$D72,+IF(M$18='5.Variables'!$B$76,+'5.Variables'!$D86,+IF(M$18='5.Variables'!$B$90,+'5.Variables'!$D100,+IF(M$18='5.Variables'!$B$104,+'5.Variables'!$D114,0))))))</f>
        <v>1</v>
      </c>
      <c r="N117" s="725">
        <f>IF(N$18='5.Variables'!$B$16,+'5.Variables'!$D34,+IF(N$18='5.Variables'!$B$39,+'5.Variables'!$D58,+IF(N$18='5.Variables'!$B$62,+'5.Variables'!$D72,+IF(N$18='5.Variables'!$B$76,+'5.Variables'!$D86,+IF(N$18='5.Variables'!$B$90,+'5.Variables'!$D100,+IF(N$18='5.Variables'!$B$104,+'5.Variables'!$D114,0))))))</f>
        <v>0</v>
      </c>
      <c r="O117" s="725">
        <f>IF(O$18='5.Variables'!$B$16,+'5.Variables'!$D34,+IF(O$18='5.Variables'!$B$39,+'5.Variables'!$D58,+IF(O$18='5.Variables'!$B$62,+'5.Variables'!$D72,+IF(O$18='5.Variables'!$B$76,+'5.Variables'!$D86,+IF(O$18='5.Variables'!$B$90,+'5.Variables'!$D100,+IF(O$18='5.Variables'!$B$104,+'5.Variables'!$D114,0))))))</f>
        <v>28</v>
      </c>
      <c r="P117" s="725">
        <f>IF(P$18='5.Variables'!$B$16,+'5.Variables'!$D34,+IF(P$18='5.Variables'!$B$39,+'5.Variables'!$D58,+IF(P$18='5.Variables'!$B$62,+'5.Variables'!$D72,+IF(P$18='5.Variables'!$B$76,+'5.Variables'!$D86,+IF(P$18='5.Variables'!$B$90,+'5.Variables'!$D100,+IF(P$18='5.Variables'!$B$104,+'5.Variables'!$D114,0))))))</f>
        <v>0</v>
      </c>
      <c r="Q117" s="245"/>
      <c r="R117" s="558">
        <f t="shared" si="9"/>
        <v>19232877.745862871</v>
      </c>
      <c r="S117" s="265"/>
      <c r="T117" s="245"/>
      <c r="U117" s="245"/>
      <c r="V117" s="245"/>
      <c r="W117" s="245"/>
      <c r="X117" s="245"/>
      <c r="Y117" s="245"/>
      <c r="Z117" s="245"/>
      <c r="AA117" s="245"/>
      <c r="AB117" s="245"/>
      <c r="AC117" s="245"/>
      <c r="AD117" s="245"/>
      <c r="AE117" s="245"/>
      <c r="AF117" s="245"/>
      <c r="AG117" s="245"/>
      <c r="AH117" s="245"/>
      <c r="AI117" s="245"/>
      <c r="AJ117" s="245"/>
      <c r="AK117" s="245"/>
      <c r="AL117" s="245"/>
      <c r="AM117" s="245"/>
    </row>
    <row r="118" spans="1:39" x14ac:dyDescent="0.2">
      <c r="A118" s="503">
        <f t="shared" si="10"/>
        <v>99</v>
      </c>
      <c r="B118" s="262" t="str">
        <f>CONCATENATE('3. Consumption by Rate Class'!B123,"-",'3. Consumption by Rate Class'!C123)</f>
        <v>2013-March</v>
      </c>
      <c r="C118" s="697">
        <v>17633486.812399998</v>
      </c>
      <c r="D118" s="703"/>
      <c r="E118" s="707"/>
      <c r="F118" s="707"/>
      <c r="G118" s="703"/>
      <c r="H118" s="704"/>
      <c r="I118" s="704"/>
      <c r="J118" s="263">
        <f t="shared" si="8"/>
        <v>17633486.812399998</v>
      </c>
      <c r="K118" s="725">
        <f>IF(K$18='5.Variables'!$B$16,+'5.Variables'!$E35,+IF(K$18='5.Variables'!$B$39,+'5.Variables'!$E58,+IF(K$18='5.Variables'!$B$62,+'5.Variables'!$E72,+IF(K$18='5.Variables'!$B$76,+'5.Variables'!$E86,+IF(K$18='5.Variables'!$B$90,+'5.Variables'!$E100,+IF(K$18='5.Variables'!$B$104,+'5.Variables'!$E114,0))))))</f>
        <v>579.6</v>
      </c>
      <c r="L118" s="725">
        <f>IF(L$18='5.Variables'!$B$16,+'5.Variables'!$E34,+IF(L$18='5.Variables'!$B$39,+'5.Variables'!$E58,+IF(L$18='5.Variables'!$B$62,+'5.Variables'!$E72,+IF(L$18='5.Variables'!$B$76,+'5.Variables'!$E86,+IF(L$18='5.Variables'!$B$90,+'5.Variables'!$E100,+IF(L$18='5.Variables'!$B$104,+'5.Variables'!$E114,0))))))</f>
        <v>0</v>
      </c>
      <c r="M118" s="725">
        <f>IF(M$18='5.Variables'!$B$16,+'5.Variables'!$E34,+IF(M$18='5.Variables'!$B$39,+'5.Variables'!$E58,+IF(M$18='5.Variables'!$B$62,+'5.Variables'!$E72,+IF(M$18='5.Variables'!$B$76,+'5.Variables'!$E86,+IF(M$18='5.Variables'!$B$90,+'5.Variables'!$E100,+IF(M$18='5.Variables'!$B$104,+'5.Variables'!$E114,0))))))</f>
        <v>0</v>
      </c>
      <c r="N118" s="725">
        <f>IF(N$18='5.Variables'!$B$16,+'5.Variables'!$E34,+IF(N$18='5.Variables'!$B$39,+'5.Variables'!$E58,+IF(N$18='5.Variables'!$B$62,+'5.Variables'!$E72,+IF(N$18='5.Variables'!$B$76,+'5.Variables'!$E86,+IF(N$18='5.Variables'!$B$90,+'5.Variables'!$E100,+IF(N$18='5.Variables'!$B$104,+'5.Variables'!$E114,0))))))</f>
        <v>1</v>
      </c>
      <c r="O118" s="725">
        <f>IF(O$18='5.Variables'!$B$16,+'5.Variables'!$E34,+IF(O$18='5.Variables'!$B$39,+'5.Variables'!$E58,+IF(O$18='5.Variables'!$B$62,+'5.Variables'!$E72,+IF(O$18='5.Variables'!$B$76,+'5.Variables'!$E86,+IF(O$18='5.Variables'!$B$90,+'5.Variables'!$E100,+IF(O$18='5.Variables'!$B$104,+'5.Variables'!$E114,0))))))</f>
        <v>31</v>
      </c>
      <c r="P118" s="725">
        <f>IF(P$18='5.Variables'!$B$16,+'5.Variables'!$E34,+IF(P$18='5.Variables'!$B$39,+'5.Variables'!$E58,+IF(P$18='5.Variables'!$B$62,+'5.Variables'!$E72,+IF(P$18='5.Variables'!$B$76,+'5.Variables'!$E86,+IF(P$18='5.Variables'!$B$90,+'5.Variables'!$E100,+IF(P$18='5.Variables'!$B$104,+'5.Variables'!$E114,0))))))</f>
        <v>0</v>
      </c>
      <c r="Q118" s="245"/>
      <c r="R118" s="558">
        <f t="shared" si="9"/>
        <v>17448690.960240249</v>
      </c>
      <c r="S118" s="265"/>
      <c r="T118" s="245"/>
      <c r="U118" s="245"/>
      <c r="V118" s="245"/>
      <c r="W118" s="245"/>
      <c r="X118" s="245"/>
      <c r="Y118" s="245"/>
      <c r="Z118" s="245"/>
      <c r="AA118" s="245"/>
      <c r="AB118" s="245"/>
      <c r="AC118" s="245"/>
      <c r="AD118" s="245"/>
      <c r="AE118" s="245"/>
      <c r="AF118" s="245"/>
      <c r="AG118" s="245"/>
      <c r="AH118" s="245"/>
      <c r="AI118" s="245"/>
      <c r="AJ118" s="245"/>
      <c r="AK118" s="245"/>
      <c r="AL118" s="245"/>
      <c r="AM118" s="245"/>
    </row>
    <row r="119" spans="1:39" x14ac:dyDescent="0.2">
      <c r="A119" s="503">
        <f t="shared" si="10"/>
        <v>100</v>
      </c>
      <c r="B119" s="262" t="str">
        <f>CONCATENATE('3. Consumption by Rate Class'!B124,"-",'3. Consumption by Rate Class'!C124)</f>
        <v>2013-April</v>
      </c>
      <c r="C119" s="697">
        <v>14561831.641099997</v>
      </c>
      <c r="D119" s="703"/>
      <c r="E119" s="707"/>
      <c r="F119" s="707"/>
      <c r="G119" s="703"/>
      <c r="H119" s="704"/>
      <c r="I119" s="704"/>
      <c r="J119" s="263">
        <f>SUM(C119:I119)</f>
        <v>14561831.641099997</v>
      </c>
      <c r="K119" s="725">
        <f>IF(K$18='5.Variables'!$B$16,+'5.Variables'!$F35,+IF(K$18='5.Variables'!$B$39,+'5.Variables'!$F58,+IF(K$18='5.Variables'!$B$62,+'5.Variables'!$F72,+IF(K$18='5.Variables'!$B$76,+'5.Variables'!$F86,+IF(K$18='5.Variables'!$B$90,+'5.Variables'!$F100,+IF(K$18='5.Variables'!$B$104,+'5.Variables'!$F114,0))))))</f>
        <v>285.5</v>
      </c>
      <c r="L119" s="725">
        <f>IF(L$18='5.Variables'!$B$16,+'5.Variables'!$F34,+IF(L$18='5.Variables'!$B$39,+'5.Variables'!$F58,+IF(L$18='5.Variables'!$B$62,+'5.Variables'!$F72,+IF(L$18='5.Variables'!$B$76,+'5.Variables'!$F86,+IF(L$18='5.Variables'!$B$90,+'5.Variables'!$F100,+IF(L$18='5.Variables'!$B$104,+'5.Variables'!$F114,0))))))</f>
        <v>0</v>
      </c>
      <c r="M119" s="725">
        <f>IF(M$18='5.Variables'!$B$16,+'5.Variables'!$F34,+IF(M$18='5.Variables'!$B$39,+'5.Variables'!$F58,+IF(M$18='5.Variables'!$B$62,+'5.Variables'!$F72,+IF(M$18='5.Variables'!$B$76,+'5.Variables'!$F86,+IF(M$18='5.Variables'!$B$90,+'5.Variables'!$F100,+IF(M$18='5.Variables'!$B$104,+'5.Variables'!$F114,0))))))</f>
        <v>0</v>
      </c>
      <c r="N119" s="725">
        <f>IF(N$18='5.Variables'!$B$16,+'5.Variables'!$F34,+IF(N$18='5.Variables'!$B$39,+'5.Variables'!$F58,+IF(N$18='5.Variables'!$B$62,+'5.Variables'!$F72,+IF(N$18='5.Variables'!$B$76,+'5.Variables'!$F86,+IF(N$18='5.Variables'!$B$90,+'5.Variables'!$F100,+IF(N$18='5.Variables'!$B$104,+'5.Variables'!$F114,0))))))</f>
        <v>0</v>
      </c>
      <c r="O119" s="725">
        <f>IF(O$18='5.Variables'!$B$16,+'5.Variables'!$F34,+IF(O$18='5.Variables'!$B$39,+'5.Variables'!$F58,+IF(O$18='5.Variables'!$B$62,+'5.Variables'!$F72,+IF(O$18='5.Variables'!$B$76,+'5.Variables'!$F86,+IF(O$18='5.Variables'!$B$90,+'5.Variables'!$F100,+IF(O$18='5.Variables'!$B$104,+'5.Variables'!$F114,0))))))</f>
        <v>30</v>
      </c>
      <c r="P119" s="725">
        <f>IF(P$18='5.Variables'!$B$16,+'5.Variables'!$F34,+IF(P$18='5.Variables'!$B$39,+'5.Variables'!$F58,+IF(P$18='5.Variables'!$B$62,+'5.Variables'!$F72,+IF(P$18='5.Variables'!$B$76,+'5.Variables'!$F86,+IF(P$18='5.Variables'!$B$90,+'5.Variables'!$F100,+IF(P$18='5.Variables'!$B$104,+'5.Variables'!$F114,0))))))</f>
        <v>0</v>
      </c>
      <c r="Q119" s="245"/>
      <c r="R119" s="558">
        <f t="shared" si="9"/>
        <v>15030008.401563657</v>
      </c>
      <c r="S119" s="265"/>
      <c r="T119" s="245"/>
      <c r="U119" s="245"/>
      <c r="V119" s="245"/>
      <c r="W119" s="245"/>
      <c r="X119" s="245"/>
      <c r="Y119" s="245"/>
      <c r="Z119" s="245"/>
      <c r="AA119" s="245"/>
      <c r="AB119" s="245"/>
      <c r="AC119" s="245"/>
      <c r="AD119" s="245"/>
      <c r="AE119" s="245"/>
      <c r="AF119" s="245"/>
      <c r="AG119" s="245"/>
      <c r="AH119" s="245"/>
      <c r="AI119" s="245"/>
      <c r="AJ119" s="245"/>
      <c r="AK119" s="245"/>
      <c r="AL119" s="245"/>
      <c r="AM119" s="245"/>
    </row>
    <row r="120" spans="1:39" x14ac:dyDescent="0.2">
      <c r="A120" s="503">
        <f t="shared" si="10"/>
        <v>101</v>
      </c>
      <c r="B120" s="262" t="str">
        <f>CONCATENATE('3. Consumption by Rate Class'!B125,"-",'3. Consumption by Rate Class'!C125)</f>
        <v>2013-May</v>
      </c>
      <c r="C120" s="697">
        <v>13925725.6516</v>
      </c>
      <c r="D120" s="703"/>
      <c r="E120" s="703"/>
      <c r="F120" s="703"/>
      <c r="G120" s="703"/>
      <c r="H120" s="704"/>
      <c r="I120" s="704"/>
      <c r="J120" s="263">
        <f t="shared" si="8"/>
        <v>13925725.6516</v>
      </c>
      <c r="K120" s="725">
        <f>IF(K$18='5.Variables'!$B$16,+'5.Variables'!$G35,+IF(K$18='5.Variables'!$B$39,+'5.Variables'!$G58,+IF(K$18='5.Variables'!$B$62,+'5.Variables'!$G72,+IF(K$18='5.Variables'!$B$76,+'5.Variables'!$G86,+IF(K$18='5.Variables'!$B$90,+'5.Variables'!$G100,+IF(K$18='5.Variables'!$B$104,+'5.Variables'!$G114,0))))))</f>
        <v>105.7</v>
      </c>
      <c r="L120" s="725">
        <f>IF(L$18='5.Variables'!$B$16,+'5.Variables'!$G34,+IF(L$18='5.Variables'!$B$39,+'5.Variables'!$G58,+IF(L$18='5.Variables'!$B$62,+'5.Variables'!$G72,+IF(L$18='5.Variables'!$B$76,+'5.Variables'!$G86,+IF(L$18='5.Variables'!$B$90,+'5.Variables'!$G100,+IF(L$18='5.Variables'!$B$104,+'5.Variables'!$G114,0))))))</f>
        <v>15.3</v>
      </c>
      <c r="M120" s="725">
        <f>IF(M$18='5.Variables'!$B$16,+'5.Variables'!$G34,+IF(M$18='5.Variables'!$B$39,+'5.Variables'!$G58,+IF(M$18='5.Variables'!$B$62,+'5.Variables'!$G72,+IF(M$18='5.Variables'!$B$76,+'5.Variables'!$G86,+IF(M$18='5.Variables'!$B$90,+'5.Variables'!$G100,+IF(M$18='5.Variables'!$B$104,+'5.Variables'!$G114,0))))))</f>
        <v>0</v>
      </c>
      <c r="N120" s="725">
        <f>IF(N$18='5.Variables'!$B$16,+'5.Variables'!$G34,+IF(N$18='5.Variables'!$B$39,+'5.Variables'!$G58,+IF(N$18='5.Variables'!$B$62,+'5.Variables'!$G72,+IF(N$18='5.Variables'!$B$76,+'5.Variables'!$G86,+IF(N$18='5.Variables'!$B$90,+'5.Variables'!$G100,+IF(N$18='5.Variables'!$B$104,+'5.Variables'!$G114,0))))))</f>
        <v>0</v>
      </c>
      <c r="O120" s="725">
        <f>IF(O$18='5.Variables'!$B$16,+'5.Variables'!$G34,+IF(O$18='5.Variables'!$B$39,+'5.Variables'!$G58,+IF(O$18='5.Variables'!$B$62,+'5.Variables'!$G72,+IF(O$18='5.Variables'!$B$76,+'5.Variables'!$G86,+IF(O$18='5.Variables'!$B$90,+'5.Variables'!$G100,+IF(O$18='5.Variables'!$B$104,+'5.Variables'!$G114,0))))))</f>
        <v>31</v>
      </c>
      <c r="P120" s="725">
        <f>IF(P$18='5.Variables'!$B$16,+'5.Variables'!$G34,+IF(P$18='5.Variables'!$B$39,+'5.Variables'!$G58,+IF(P$18='5.Variables'!$B$62,+'5.Variables'!$G72,+IF(P$18='5.Variables'!$B$76,+'5.Variables'!$G86,+IF(P$18='5.Variables'!$B$90,+'5.Variables'!$G100,+IF(P$18='5.Variables'!$B$104,+'5.Variables'!$G114,0))))))</f>
        <v>0</v>
      </c>
      <c r="Q120" s="245"/>
      <c r="R120" s="558">
        <f t="shared" si="9"/>
        <v>14367667.447845794</v>
      </c>
      <c r="S120" s="265"/>
      <c r="T120" s="245"/>
      <c r="U120" s="245"/>
      <c r="V120" s="245"/>
      <c r="W120" s="245"/>
      <c r="X120" s="245"/>
      <c r="Y120" s="245"/>
      <c r="Z120" s="245"/>
      <c r="AA120" s="245"/>
      <c r="AB120" s="245"/>
      <c r="AC120" s="245"/>
      <c r="AD120" s="245"/>
      <c r="AE120" s="245"/>
      <c r="AF120" s="245"/>
      <c r="AG120" s="245"/>
      <c r="AH120" s="245"/>
      <c r="AI120" s="245"/>
      <c r="AJ120" s="245"/>
      <c r="AK120" s="245"/>
      <c r="AL120" s="245"/>
      <c r="AM120" s="245"/>
    </row>
    <row r="121" spans="1:39" x14ac:dyDescent="0.2">
      <c r="A121" s="503">
        <f t="shared" si="10"/>
        <v>102</v>
      </c>
      <c r="B121" s="262" t="str">
        <f>CONCATENATE('3. Consumption by Rate Class'!B126,"-",'3. Consumption by Rate Class'!C126)</f>
        <v>2013-June</v>
      </c>
      <c r="C121" s="697">
        <v>14261991.7149</v>
      </c>
      <c r="D121" s="703"/>
      <c r="E121" s="703"/>
      <c r="F121" s="703"/>
      <c r="G121" s="703"/>
      <c r="H121" s="704"/>
      <c r="I121" s="704"/>
      <c r="J121" s="263">
        <f t="shared" si="8"/>
        <v>14261991.7149</v>
      </c>
      <c r="K121" s="725">
        <f>IF(K$18='5.Variables'!$B$16,+'5.Variables'!$H35,+IF(K$18='5.Variables'!$B$39,+'5.Variables'!$H58,+IF(K$18='5.Variables'!$B$62,+'5.Variables'!$H72,+IF(K$18='5.Variables'!$B$76,+'5.Variables'!$H86,+IF(K$18='5.Variables'!$B$90,+'5.Variables'!$H100,+IF(K$18='5.Variables'!$B$104,+'5.Variables'!$H114,0))))))</f>
        <v>54.1</v>
      </c>
      <c r="L121" s="725">
        <f>IF(L$18='5.Variables'!$B$16,+'5.Variables'!$H34,+IF(L$18='5.Variables'!$B$39,+'5.Variables'!$H58,+IF(L$18='5.Variables'!$B$62,+'5.Variables'!$H72,+IF(L$18='5.Variables'!$B$76,+'5.Variables'!$H86,+IF(L$18='5.Variables'!$B$90,+'5.Variables'!$H100,+IF(L$18='5.Variables'!$B$104,+'5.Variables'!$H114,0))))))</f>
        <v>39.4</v>
      </c>
      <c r="M121" s="725">
        <f>IF(M$18='5.Variables'!$B$16,+'5.Variables'!$H34,+IF(M$18='5.Variables'!$B$39,+'5.Variables'!$H58,+IF(M$18='5.Variables'!$B$62,+'5.Variables'!$H72,+IF(M$18='5.Variables'!$B$76,+'5.Variables'!$H86,+IF(M$18='5.Variables'!$B$90,+'5.Variables'!$H100,+IF(M$18='5.Variables'!$B$104,+'5.Variables'!$H114,0))))))</f>
        <v>0</v>
      </c>
      <c r="N121" s="725">
        <f>IF(N$18='5.Variables'!$B$16,+'5.Variables'!$H34,+IF(N$18='5.Variables'!$B$39,+'5.Variables'!$H58,+IF(N$18='5.Variables'!$B$62,+'5.Variables'!$H72,+IF(N$18='5.Variables'!$B$76,+'5.Variables'!$H86,+IF(N$18='5.Variables'!$B$90,+'5.Variables'!$H100,+IF(N$18='5.Variables'!$B$104,+'5.Variables'!$H114,0))))))</f>
        <v>0</v>
      </c>
      <c r="O121" s="725">
        <f>IF(O$18='5.Variables'!$B$16,+'5.Variables'!$H34,+IF(O$18='5.Variables'!$B$39,+'5.Variables'!$H58,+IF(O$18='5.Variables'!$B$62,+'5.Variables'!$H72,+IF(O$18='5.Variables'!$B$76,+'5.Variables'!$H86,+IF(O$18='5.Variables'!$B$90,+'5.Variables'!$H100,+IF(O$18='5.Variables'!$B$104,+'5.Variables'!$H114,0))))))</f>
        <v>30</v>
      </c>
      <c r="P121" s="725">
        <f>IF(P$18='5.Variables'!$B$16,+'5.Variables'!$H34,+IF(P$18='5.Variables'!$B$39,+'5.Variables'!$H58,+IF(P$18='5.Variables'!$B$62,+'5.Variables'!$H72,+IF(P$18='5.Variables'!$B$76,+'5.Variables'!$H86,+IF(P$18='5.Variables'!$B$90,+'5.Variables'!$H100,+IF(P$18='5.Variables'!$B$104,+'5.Variables'!$H114,0))))))</f>
        <v>0</v>
      </c>
      <c r="Q121" s="245"/>
      <c r="R121" s="558">
        <f t="shared" si="9"/>
        <v>14458540.640260475</v>
      </c>
      <c r="S121" s="265"/>
      <c r="T121" s="245"/>
      <c r="U121" s="245"/>
      <c r="V121" s="245"/>
      <c r="W121" s="245"/>
      <c r="X121" s="245"/>
      <c r="Y121" s="245"/>
      <c r="Z121" s="245"/>
      <c r="AA121" s="245"/>
      <c r="AB121" s="245"/>
      <c r="AC121" s="245"/>
      <c r="AD121" s="245"/>
      <c r="AE121" s="245"/>
      <c r="AF121" s="245"/>
      <c r="AG121" s="245"/>
      <c r="AH121" s="245"/>
      <c r="AI121" s="245"/>
      <c r="AJ121" s="245"/>
      <c r="AK121" s="245"/>
      <c r="AL121" s="245"/>
      <c r="AM121" s="245"/>
    </row>
    <row r="122" spans="1:39" x14ac:dyDescent="0.2">
      <c r="A122" s="503">
        <f t="shared" si="10"/>
        <v>103</v>
      </c>
      <c r="B122" s="262" t="str">
        <f>CONCATENATE('3. Consumption by Rate Class'!B127,"-",'3. Consumption by Rate Class'!C127)</f>
        <v>2013-July</v>
      </c>
      <c r="C122" s="699">
        <v>15840370.5626</v>
      </c>
      <c r="D122" s="703"/>
      <c r="E122" s="703"/>
      <c r="F122" s="703"/>
      <c r="G122" s="703"/>
      <c r="H122" s="704"/>
      <c r="I122" s="704"/>
      <c r="J122" s="263">
        <f t="shared" si="8"/>
        <v>15840370.5626</v>
      </c>
      <c r="K122" s="725">
        <f>IF(K$18='5.Variables'!$B$16,+'5.Variables'!$I35,+IF(K$18='5.Variables'!$B$39,+'5.Variables'!$I58,+IF(K$18='5.Variables'!$B$62,+'5.Variables'!$I72,+IF(K$18='5.Variables'!$B$76,+'5.Variables'!$I86,+IF(K$18='5.Variables'!$B$90,+'5.Variables'!$I100,+IF(K$18='5.Variables'!$B$104,+'5.Variables'!$I114,0))))))</f>
        <v>7.7</v>
      </c>
      <c r="L122" s="725">
        <f>IF(L$18='5.Variables'!$B$16,+'5.Variables'!$I34,+IF(L$18='5.Variables'!$B$39,+'5.Variables'!$I58,+IF(L$18='5.Variables'!$B$62,+'5.Variables'!$I72,+IF(L$18='5.Variables'!$B$76,+'5.Variables'!$I86,+IF(L$18='5.Variables'!$B$90,+'5.Variables'!$I100,+IF(L$18='5.Variables'!$B$104,+'5.Variables'!$I114,0))))))</f>
        <v>111.1</v>
      </c>
      <c r="M122" s="725">
        <f>IF(M$18='5.Variables'!$B$16,+'5.Variables'!$I34,+IF(M$18='5.Variables'!$B$39,+'5.Variables'!$I58,+IF(M$18='5.Variables'!$B$62,+'5.Variables'!$I72,+IF(M$18='5.Variables'!$B$76,+'5.Variables'!$I86,+IF(M$18='5.Variables'!$B$90,+'5.Variables'!$I100,+IF(M$18='5.Variables'!$B$104,+'5.Variables'!$I114,0))))))</f>
        <v>0</v>
      </c>
      <c r="N122" s="725">
        <f>IF(N$18='5.Variables'!$B$16,+'5.Variables'!$I34,+IF(N$18='5.Variables'!$B$39,+'5.Variables'!$I58,+IF(N$18='5.Variables'!$B$62,+'5.Variables'!$I72,+IF(N$18='5.Variables'!$B$76,+'5.Variables'!$I86,+IF(N$18='5.Variables'!$B$90,+'5.Variables'!$I100,+IF(N$18='5.Variables'!$B$104,+'5.Variables'!$I114,0))))))</f>
        <v>1</v>
      </c>
      <c r="O122" s="725">
        <f>IF(O$18='5.Variables'!$B$16,+'5.Variables'!$I34,+IF(O$18='5.Variables'!$B$39,+'5.Variables'!$I58,+IF(O$18='5.Variables'!$B$62,+'5.Variables'!$I72,+IF(O$18='5.Variables'!$B$76,+'5.Variables'!$I86,+IF(O$18='5.Variables'!$B$90,+'5.Variables'!$I100,+IF(O$18='5.Variables'!$B$104,+'5.Variables'!$I114,0))))))</f>
        <v>31</v>
      </c>
      <c r="P122" s="725">
        <f>IF(P$18='5.Variables'!$B$16,+'5.Variables'!$I34,+IF(P$18='5.Variables'!$B$39,+'5.Variables'!$I58,+IF(P$18='5.Variables'!$B$62,+'5.Variables'!$I72,+IF(P$18='5.Variables'!$B$76,+'5.Variables'!$I86,+IF(P$18='5.Variables'!$B$90,+'5.Variables'!$I100,+IF(P$18='5.Variables'!$B$104,+'5.Variables'!$I114,0))))))</f>
        <v>0</v>
      </c>
      <c r="Q122" s="245"/>
      <c r="R122" s="558">
        <f t="shared" si="9"/>
        <v>16364075.290562127</v>
      </c>
      <c r="S122" s="265"/>
      <c r="T122" s="245"/>
      <c r="U122" s="245"/>
      <c r="V122" s="245"/>
      <c r="W122" s="245"/>
      <c r="X122" s="245"/>
      <c r="Y122" s="245"/>
      <c r="Z122" s="245"/>
      <c r="AA122" s="245"/>
      <c r="AB122" s="245"/>
      <c r="AC122" s="245"/>
      <c r="AD122" s="245"/>
      <c r="AE122" s="245"/>
      <c r="AF122" s="245"/>
      <c r="AG122" s="245"/>
      <c r="AH122" s="245"/>
      <c r="AI122" s="245"/>
      <c r="AJ122" s="245"/>
      <c r="AK122" s="245"/>
      <c r="AL122" s="245"/>
      <c r="AM122" s="245"/>
    </row>
    <row r="123" spans="1:39" x14ac:dyDescent="0.2">
      <c r="A123" s="503">
        <f t="shared" si="10"/>
        <v>104</v>
      </c>
      <c r="B123" s="262" t="str">
        <f>CONCATENATE('3. Consumption by Rate Class'!B128,"-",'3. Consumption by Rate Class'!C128)</f>
        <v>2013-August</v>
      </c>
      <c r="C123" s="699">
        <v>15748089.349450001</v>
      </c>
      <c r="D123" s="703"/>
      <c r="E123" s="703"/>
      <c r="F123" s="703"/>
      <c r="G123" s="703"/>
      <c r="H123" s="704"/>
      <c r="I123" s="704"/>
      <c r="J123" s="263">
        <f t="shared" si="8"/>
        <v>15748089.349450001</v>
      </c>
      <c r="K123" s="725">
        <f>IF(K$18='5.Variables'!$B$16,+'5.Variables'!$J35,+IF(K$18='5.Variables'!$B$39,+'5.Variables'!$J58,+IF(K$18='5.Variables'!$B$62,+'5.Variables'!$J72,+IF(K$18='5.Variables'!$B$76,+'5.Variables'!$J86,+IF(K$18='5.Variables'!$B$90,+'5.Variables'!$J100,+IF(K$18='5.Variables'!$B$104,+'5.Variables'!$J114,0))))))</f>
        <v>13.4</v>
      </c>
      <c r="L123" s="725">
        <f>IF(L$18='5.Variables'!$B$16,+'5.Variables'!$J34,+IF(L$18='5.Variables'!$B$39,+'5.Variables'!$J58,+IF(L$18='5.Variables'!$B$62,+'5.Variables'!$J72,+IF(L$18='5.Variables'!$B$76,+'5.Variables'!$J86,+IF(L$18='5.Variables'!$B$90,+'5.Variables'!$J100,+IF(L$18='5.Variables'!$B$104,+'5.Variables'!$J114,0))))))</f>
        <v>57.2</v>
      </c>
      <c r="M123" s="725">
        <f>IF(M$18='5.Variables'!$B$16,+'5.Variables'!$J34,+IF(M$18='5.Variables'!$B$39,+'5.Variables'!$J58,+IF(M$18='5.Variables'!$B$62,+'5.Variables'!$J72,+IF(M$18='5.Variables'!$B$76,+'5.Variables'!$J86,+IF(M$18='5.Variables'!$B$90,+'5.Variables'!$J100,+IF(M$18='5.Variables'!$B$104,+'5.Variables'!$J114,0))))))</f>
        <v>0</v>
      </c>
      <c r="N123" s="725">
        <f>IF(N$18='5.Variables'!$B$16,+'5.Variables'!$J34,+IF(N$18='5.Variables'!$B$39,+'5.Variables'!$J58,+IF(N$18='5.Variables'!$B$62,+'5.Variables'!$J72,+IF(N$18='5.Variables'!$B$76,+'5.Variables'!$J86,+IF(N$18='5.Variables'!$B$90,+'5.Variables'!$J100,+IF(N$18='5.Variables'!$B$104,+'5.Variables'!$J114,0))))))</f>
        <v>0</v>
      </c>
      <c r="O123" s="725">
        <f>IF(O$18='5.Variables'!$B$16,+'5.Variables'!$J34,+IF(O$18='5.Variables'!$B$39,+'5.Variables'!$J58,+IF(O$18='5.Variables'!$B$62,+'5.Variables'!$J72,+IF(O$18='5.Variables'!$B$76,+'5.Variables'!$J86,+IF(O$18='5.Variables'!$B$90,+'5.Variables'!$J100,+IF(O$18='5.Variables'!$B$104,+'5.Variables'!$J114,0))))))</f>
        <v>31</v>
      </c>
      <c r="P123" s="725">
        <f>IF(P$18='5.Variables'!$B$16,+'5.Variables'!$J34,+IF(P$18='5.Variables'!$B$39,+'5.Variables'!$J58,+IF(P$18='5.Variables'!$B$62,+'5.Variables'!$J72,+IF(P$18='5.Variables'!$B$76,+'5.Variables'!$J86,+IF(P$18='5.Variables'!$B$90,+'5.Variables'!$J100,+IF(P$18='5.Variables'!$B$104,+'5.Variables'!$J114,0))))))</f>
        <v>0</v>
      </c>
      <c r="Q123" s="245"/>
      <c r="R123" s="558">
        <f t="shared" si="9"/>
        <v>14765061.411393255</v>
      </c>
      <c r="S123" s="265"/>
      <c r="T123" s="245"/>
      <c r="U123" s="245"/>
      <c r="V123" s="245"/>
      <c r="W123" s="245"/>
      <c r="X123" s="245"/>
      <c r="Y123" s="245"/>
      <c r="Z123" s="245"/>
      <c r="AA123" s="245"/>
      <c r="AB123" s="245"/>
      <c r="AC123" s="245"/>
      <c r="AD123" s="245"/>
      <c r="AE123" s="245"/>
      <c r="AF123" s="245"/>
      <c r="AG123" s="245"/>
      <c r="AH123" s="245"/>
      <c r="AI123" s="245"/>
      <c r="AJ123" s="245"/>
      <c r="AK123" s="245"/>
      <c r="AL123" s="245"/>
      <c r="AM123" s="245"/>
    </row>
    <row r="124" spans="1:39" x14ac:dyDescent="0.2">
      <c r="A124" s="503">
        <f t="shared" si="10"/>
        <v>105</v>
      </c>
      <c r="B124" s="262" t="str">
        <f>CONCATENATE('3. Consumption by Rate Class'!B129,"-",'3. Consumption by Rate Class'!C129)</f>
        <v>2013-September</v>
      </c>
      <c r="C124" s="699">
        <v>13142570.375399999</v>
      </c>
      <c r="D124" s="703"/>
      <c r="E124" s="703"/>
      <c r="F124" s="703"/>
      <c r="G124" s="703"/>
      <c r="H124" s="704"/>
      <c r="I124" s="704"/>
      <c r="J124" s="263">
        <f t="shared" si="8"/>
        <v>13142570.375399999</v>
      </c>
      <c r="K124" s="725">
        <f>IF(K$18='5.Variables'!$B$16,+'5.Variables'!$K35,+IF(K$18='5.Variables'!$B$39,+'5.Variables'!$K58,+IF(K$18='5.Variables'!$B$62,+'5.Variables'!$K72,+IF(K$18='5.Variables'!$B$76,+'5.Variables'!$K86,+IF(K$18='5.Variables'!$B$90,+'5.Variables'!$K100,+IF(K$18='5.Variables'!$B$104,+'5.Variables'!$K114,0))))))</f>
        <v>133.19999999999999</v>
      </c>
      <c r="L124" s="725">
        <f>IF(L$18='5.Variables'!$B$16,+'5.Variables'!$K34,+IF(L$18='5.Variables'!$B$39,+'5.Variables'!$K58,+IF(L$18='5.Variables'!$B$62,+'5.Variables'!$K72,+IF(L$18='5.Variables'!$B$76,+'5.Variables'!$K86,+IF(L$18='5.Variables'!$B$90,+'5.Variables'!$K100,+IF(L$18='5.Variables'!$B$104,+'5.Variables'!$K114,0))))))</f>
        <v>10.1</v>
      </c>
      <c r="M124" s="725">
        <f>IF(M$18='5.Variables'!$B$16,+'5.Variables'!$K34,+IF(M$18='5.Variables'!$B$39,+'5.Variables'!$K58,+IF(M$18='5.Variables'!$B$62,+'5.Variables'!$K72,+IF(M$18='5.Variables'!$B$76,+'5.Variables'!$K86,+IF(M$18='5.Variables'!$B$90,+'5.Variables'!$K100,+IF(M$18='5.Variables'!$B$104,+'5.Variables'!$K114,0))))))</f>
        <v>0</v>
      </c>
      <c r="N124" s="725">
        <f>IF(N$18='5.Variables'!$B$16,+'5.Variables'!$K34,+IF(N$18='5.Variables'!$B$39,+'5.Variables'!$K58,+IF(N$18='5.Variables'!$B$62,+'5.Variables'!$K72,+IF(N$18='5.Variables'!$B$76,+'5.Variables'!$K86,+IF(N$18='5.Variables'!$B$90,+'5.Variables'!$K100,+IF(N$18='5.Variables'!$B$104,+'5.Variables'!$K114,0))))))</f>
        <v>0</v>
      </c>
      <c r="O124" s="725">
        <f>IF(O$18='5.Variables'!$B$16,+'5.Variables'!$K34,+IF(O$18='5.Variables'!$B$39,+'5.Variables'!$K58,+IF(O$18='5.Variables'!$B$62,+'5.Variables'!$K72,+IF(O$18='5.Variables'!$B$76,+'5.Variables'!$K86,+IF(O$18='5.Variables'!$B$90,+'5.Variables'!$K100,+IF(O$18='5.Variables'!$B$104,+'5.Variables'!$K114,0))))))</f>
        <v>30</v>
      </c>
      <c r="P124" s="725">
        <f>IF(P$18='5.Variables'!$B$16,+'5.Variables'!$K34,+IF(P$18='5.Variables'!$B$39,+'5.Variables'!$K58,+IF(P$18='5.Variables'!$B$62,+'5.Variables'!$K72,+IF(P$18='5.Variables'!$B$76,+'5.Variables'!$K86,+IF(P$18='5.Variables'!$B$90,+'5.Variables'!$K100,+IF(P$18='5.Variables'!$B$104,+'5.Variables'!$K114,0))))))</f>
        <v>0</v>
      </c>
      <c r="Q124" s="245"/>
      <c r="R124" s="558">
        <f t="shared" si="9"/>
        <v>14275787.819688562</v>
      </c>
      <c r="S124" s="265"/>
      <c r="T124" s="245"/>
      <c r="U124" s="245"/>
      <c r="V124" s="245"/>
      <c r="W124" s="245"/>
      <c r="X124" s="245"/>
      <c r="Y124" s="245"/>
      <c r="Z124" s="245"/>
      <c r="AA124" s="245"/>
      <c r="AB124" s="245"/>
      <c r="AC124" s="245"/>
      <c r="AD124" s="245"/>
      <c r="AE124" s="245"/>
      <c r="AF124" s="245"/>
      <c r="AG124" s="245"/>
      <c r="AH124" s="245"/>
      <c r="AI124" s="245"/>
      <c r="AJ124" s="245"/>
      <c r="AK124" s="245"/>
      <c r="AL124" s="245"/>
      <c r="AM124" s="245"/>
    </row>
    <row r="125" spans="1:39" x14ac:dyDescent="0.2">
      <c r="A125" s="503">
        <f t="shared" si="10"/>
        <v>106</v>
      </c>
      <c r="B125" s="262" t="str">
        <f>CONCATENATE('3. Consumption by Rate Class'!B130,"-",'3. Consumption by Rate Class'!C130)</f>
        <v>2013-October</v>
      </c>
      <c r="C125" s="699">
        <v>14838362.260899998</v>
      </c>
      <c r="D125" s="703"/>
      <c r="E125" s="703"/>
      <c r="F125" s="703"/>
      <c r="G125" s="703"/>
      <c r="H125" s="704"/>
      <c r="I125" s="704"/>
      <c r="J125" s="263">
        <f t="shared" si="8"/>
        <v>14838362.260899998</v>
      </c>
      <c r="K125" s="725">
        <f>IF(K$18='5.Variables'!$B$16,+'5.Variables'!$L35,+IF(K$18='5.Variables'!$B$39,+'5.Variables'!$L58,+IF(K$18='5.Variables'!$B$62,+'5.Variables'!$L72,+IF(K$18='5.Variables'!$B$76,+'5.Variables'!$L86,+IF(K$18='5.Variables'!$B$90,+'5.Variables'!$L100,+IF(K$18='5.Variables'!$B$104,+'5.Variables'!$L114,0))))))</f>
        <v>235.8</v>
      </c>
      <c r="L125" s="725">
        <f>IF(L$18='5.Variables'!$B$16,+'5.Variables'!$L34,+IF(L$18='5.Variables'!$B$39,+'5.Variables'!$L58,+IF(L$18='5.Variables'!$B$62,+'5.Variables'!$L72,+IF(L$18='5.Variables'!$B$76,+'5.Variables'!$L86,+IF(L$18='5.Variables'!$B$90,+'5.Variables'!$L100,+IF(L$18='5.Variables'!$B$104,+'5.Variables'!$L114,0))))))</f>
        <v>0.7</v>
      </c>
      <c r="M125" s="725">
        <f>IF(M$18='5.Variables'!$B$16,+'5.Variables'!$L34,+IF(M$18='5.Variables'!$B$39,+'5.Variables'!$L58,+IF(M$18='5.Variables'!$B$62,+'5.Variables'!$L72,+IF(M$18='5.Variables'!$B$76,+'5.Variables'!$L86,+IF(M$18='5.Variables'!$B$90,+'5.Variables'!$L100,+IF(M$18='5.Variables'!$B$104,+'5.Variables'!$L114,0))))))</f>
        <v>0</v>
      </c>
      <c r="N125" s="725">
        <f>IF(N$18='5.Variables'!$B$16,+'5.Variables'!$L34,+IF(N$18='5.Variables'!$B$39,+'5.Variables'!$L58,+IF(N$18='5.Variables'!$B$62,+'5.Variables'!$L72,+IF(N$18='5.Variables'!$B$76,+'5.Variables'!$L86,+IF(N$18='5.Variables'!$B$90,+'5.Variables'!$L100,+IF(N$18='5.Variables'!$B$104,+'5.Variables'!$L114,0))))))</f>
        <v>0</v>
      </c>
      <c r="O125" s="725">
        <f>IF(O$18='5.Variables'!$B$16,+'5.Variables'!$L34,+IF(O$18='5.Variables'!$B$39,+'5.Variables'!$L58,+IF(O$18='5.Variables'!$B$62,+'5.Variables'!$L72,+IF(O$18='5.Variables'!$B$76,+'5.Variables'!$L86,+IF(O$18='5.Variables'!$B$90,+'5.Variables'!$L100,+IF(O$18='5.Variables'!$B$104,+'5.Variables'!$L114,0))))))</f>
        <v>31</v>
      </c>
      <c r="P125" s="725">
        <f>IF(P$18='5.Variables'!$B$16,+'5.Variables'!$L34,+IF(P$18='5.Variables'!$B$39,+'5.Variables'!$L58,+IF(P$18='5.Variables'!$B$62,+'5.Variables'!$L72,+IF(P$18='5.Variables'!$B$76,+'5.Variables'!$L86,+IF(P$18='5.Variables'!$B$90,+'5.Variables'!$L100,+IF(P$18='5.Variables'!$B$104,+'5.Variables'!$L114,0))))))</f>
        <v>0</v>
      </c>
      <c r="Q125" s="245"/>
      <c r="R125" s="558">
        <f t="shared" si="9"/>
        <v>14869318.991862759</v>
      </c>
      <c r="S125" s="265"/>
      <c r="T125" s="245"/>
      <c r="U125" s="245"/>
      <c r="V125" s="245"/>
      <c r="W125" s="245"/>
      <c r="X125" s="245"/>
      <c r="Y125" s="245"/>
      <c r="Z125" s="245"/>
      <c r="AA125" s="245"/>
      <c r="AB125" s="245"/>
      <c r="AC125" s="245"/>
      <c r="AD125" s="245"/>
      <c r="AE125" s="245"/>
      <c r="AF125" s="245"/>
      <c r="AG125" s="245"/>
      <c r="AH125" s="245"/>
      <c r="AI125" s="245"/>
      <c r="AJ125" s="245"/>
      <c r="AK125" s="245"/>
      <c r="AL125" s="245"/>
      <c r="AM125" s="245"/>
    </row>
    <row r="126" spans="1:39" x14ac:dyDescent="0.2">
      <c r="A126" s="503">
        <f t="shared" si="10"/>
        <v>107</v>
      </c>
      <c r="B126" s="262" t="str">
        <f>CONCATENATE('3. Consumption by Rate Class'!B131,"-",'3. Consumption by Rate Class'!C131)</f>
        <v>2013-November</v>
      </c>
      <c r="C126" s="699">
        <v>16708052.818849999</v>
      </c>
      <c r="D126" s="703"/>
      <c r="E126" s="703"/>
      <c r="F126" s="703"/>
      <c r="G126" s="703"/>
      <c r="H126" s="704"/>
      <c r="I126" s="704"/>
      <c r="J126" s="263">
        <f t="shared" si="8"/>
        <v>16708052.818849999</v>
      </c>
      <c r="K126" s="725">
        <f>IF(K$18='5.Variables'!$B$16,+'5.Variables'!$M35,+IF(K$18='5.Variables'!$B$39,+'5.Variables'!$M58,+IF(K$18='5.Variables'!$B$62,+'5.Variables'!$M72,+IF(K$18='5.Variables'!$B$76,+'5.Variables'!$M86,+IF(K$18='5.Variables'!$B$90,+'5.Variables'!$M100,+IF(K$18='5.Variables'!$B$104,+'5.Variables'!$M114,0))))))</f>
        <v>560.79999999999995</v>
      </c>
      <c r="L126" s="725">
        <f>IF(L$18='5.Variables'!$B$16,+'5.Variables'!$M34,+IF(L$18='5.Variables'!$B$39,+'5.Variables'!$M58,+IF(L$18='5.Variables'!$B$62,+'5.Variables'!$M72,+IF(L$18='5.Variables'!$B$76,+'5.Variables'!$M86,+IF(L$18='5.Variables'!$B$90,+'5.Variables'!$M100,+IF(L$18='5.Variables'!$B$104,+'5.Variables'!$M114,0))))))</f>
        <v>0</v>
      </c>
      <c r="M126" s="725">
        <f>IF(M$18='5.Variables'!$B$16,+'5.Variables'!$M34,+IF(M$18='5.Variables'!$B$39,+'5.Variables'!$M58,+IF(M$18='5.Variables'!$B$62,+'5.Variables'!$M72,+IF(M$18='5.Variables'!$B$76,+'5.Variables'!$M86,+IF(M$18='5.Variables'!$B$90,+'5.Variables'!$M100,+IF(M$18='5.Variables'!$B$104,+'5.Variables'!$M114,0))))))</f>
        <v>0</v>
      </c>
      <c r="N126" s="725">
        <f>IF(N$18='5.Variables'!$B$16,+'5.Variables'!$M34,+IF(N$18='5.Variables'!$B$39,+'5.Variables'!$M58,+IF(N$18='5.Variables'!$B$62,+'5.Variables'!$M72,+IF(N$18='5.Variables'!$B$76,+'5.Variables'!$M86,+IF(N$18='5.Variables'!$B$90,+'5.Variables'!$M100,+IF(N$18='5.Variables'!$B$104,+'5.Variables'!$M114,0))))))</f>
        <v>0</v>
      </c>
      <c r="O126" s="725">
        <f>IF(O$18='5.Variables'!$B$16,+'5.Variables'!$M34,+IF(O$18='5.Variables'!$B$39,+'5.Variables'!$M58,+IF(O$18='5.Variables'!$B$62,+'5.Variables'!$M72,+IF(O$18='5.Variables'!$B$76,+'5.Variables'!$M86,+IF(O$18='5.Variables'!$B$90,+'5.Variables'!$M100,+IF(O$18='5.Variables'!$B$104,+'5.Variables'!$M114,0))))))</f>
        <v>30</v>
      </c>
      <c r="P126" s="725">
        <f>IF(P$18='5.Variables'!$B$16,+'5.Variables'!$M34,+IF(P$18='5.Variables'!$B$39,+'5.Variables'!$M58,+IF(P$18='5.Variables'!$B$62,+'5.Variables'!$M72,+IF(P$18='5.Variables'!$B$76,+'5.Variables'!$M86,+IF(P$18='5.Variables'!$B$90,+'5.Variables'!$M100,+IF(P$18='5.Variables'!$B$104,+'5.Variables'!$M114,0))))))</f>
        <v>0</v>
      </c>
      <c r="Q126" s="245"/>
      <c r="R126" s="558">
        <f t="shared" si="9"/>
        <v>16829366.290117182</v>
      </c>
      <c r="S126" s="265"/>
      <c r="T126" s="245"/>
      <c r="U126" s="245"/>
      <c r="V126" s="245"/>
      <c r="W126" s="245"/>
      <c r="X126" s="245"/>
      <c r="Y126" s="245"/>
      <c r="Z126" s="245"/>
      <c r="AA126" s="245"/>
      <c r="AB126" s="245"/>
      <c r="AC126" s="245"/>
      <c r="AD126" s="245"/>
      <c r="AE126" s="245"/>
      <c r="AF126" s="245"/>
      <c r="AG126" s="245"/>
      <c r="AH126" s="245"/>
      <c r="AI126" s="245"/>
      <c r="AJ126" s="245"/>
      <c r="AK126" s="245"/>
      <c r="AL126" s="245"/>
      <c r="AM126" s="245"/>
    </row>
    <row r="127" spans="1:39" x14ac:dyDescent="0.2">
      <c r="A127" s="503">
        <f t="shared" si="10"/>
        <v>108</v>
      </c>
      <c r="B127" s="522" t="str">
        <f>CONCATENATE('3. Consumption by Rate Class'!B132,"-",'3. Consumption by Rate Class'!C132)</f>
        <v>2013-December</v>
      </c>
      <c r="C127" s="698">
        <v>22597983.941599999</v>
      </c>
      <c r="D127" s="705"/>
      <c r="E127" s="705"/>
      <c r="F127" s="705"/>
      <c r="G127" s="705"/>
      <c r="H127" s="706"/>
      <c r="I127" s="706"/>
      <c r="J127" s="263">
        <f t="shared" si="8"/>
        <v>22597983.941599999</v>
      </c>
      <c r="K127" s="725">
        <f>IF(K$18='5.Variables'!$B$16,+'5.Variables'!$N35,+IF(K$18='5.Variables'!$B$39,+'5.Variables'!$N58,+IF(K$18='5.Variables'!$B$62,+'5.Variables'!$N72,+IF(K$18='5.Variables'!$B$76,+'5.Variables'!$N86,+IF(K$18='5.Variables'!$B$90,+'5.Variables'!$N100,+IF(K$18='5.Variables'!$B$104,+'5.Variables'!$N114,0))))))</f>
        <v>858.2</v>
      </c>
      <c r="L127" s="725">
        <f>IF(L$18='5.Variables'!$B$16,+'5.Variables'!$N34,+IF(L$18='5.Variables'!$B$39,+'5.Variables'!$N58,+IF(L$18='5.Variables'!$B$62,+'5.Variables'!$N72,+IF(L$18='5.Variables'!$B$76,+'5.Variables'!$N86,+IF(L$18='5.Variables'!$B$90,+'5.Variables'!$N100,+IF(L$18='5.Variables'!$B$104,+'5.Variables'!$N114,0))))))</f>
        <v>0</v>
      </c>
      <c r="M127" s="725">
        <f>IF(M$18='5.Variables'!$B$16,+'5.Variables'!$N34,+IF(M$18='5.Variables'!$B$39,+'5.Variables'!$N58,+IF(M$18='5.Variables'!$B$62,+'5.Variables'!$N72,+IF(M$18='5.Variables'!$B$76,+'5.Variables'!$N86,+IF(M$18='5.Variables'!$B$90,+'5.Variables'!$N100,+IF(M$18='5.Variables'!$B$104,+'5.Variables'!$N114,0))))))</f>
        <v>1</v>
      </c>
      <c r="N127" s="725">
        <f>IF(N$18='5.Variables'!$B$16,+'5.Variables'!$N34,+IF(N$18='5.Variables'!$B$39,+'5.Variables'!$N58,+IF(N$18='5.Variables'!$B$62,+'5.Variables'!$N72,+IF(N$18='5.Variables'!$B$76,+'5.Variables'!$N86,+IF(N$18='5.Variables'!$B$90,+'5.Variables'!$N100,+IF(N$18='5.Variables'!$B$104,+'5.Variables'!$N114,0))))))</f>
        <v>1</v>
      </c>
      <c r="O127" s="725">
        <f>IF(O$18='5.Variables'!$B$16,+'5.Variables'!$N34,+IF(O$18='5.Variables'!$B$39,+'5.Variables'!$N58,+IF(O$18='5.Variables'!$B$62,+'5.Variables'!$N72,+IF(O$18='5.Variables'!$B$76,+'5.Variables'!$N86,+IF(O$18='5.Variables'!$B$90,+'5.Variables'!$N100,+IF(O$18='5.Variables'!$B$104,+'5.Variables'!$N114,0))))))</f>
        <v>31</v>
      </c>
      <c r="P127" s="725">
        <f>IF(P$18='5.Variables'!$B$16,+'5.Variables'!$N34,+IF(P$18='5.Variables'!$B$39,+'5.Variables'!$N58,+IF(P$18='5.Variables'!$B$62,+'5.Variables'!$N72,+IF(P$18='5.Variables'!$B$76,+'5.Variables'!$N86,+IF(P$18='5.Variables'!$B$90,+'5.Variables'!$N100,+IF(P$18='5.Variables'!$B$104,+'5.Variables'!$N114,0))))))</f>
        <v>0</v>
      </c>
      <c r="Q127" s="245"/>
      <c r="R127" s="558">
        <f t="shared" si="9"/>
        <v>20871907.038839128</v>
      </c>
      <c r="S127" s="265">
        <f>SUM(R116:R127)</f>
        <v>199265600.47060758</v>
      </c>
      <c r="T127" s="245"/>
      <c r="U127" s="245"/>
      <c r="V127" s="245"/>
      <c r="W127" s="245"/>
      <c r="X127" s="245"/>
      <c r="Y127" s="245"/>
      <c r="Z127" s="245"/>
      <c r="AA127" s="245"/>
      <c r="AB127" s="245"/>
      <c r="AC127" s="245"/>
      <c r="AD127" s="245"/>
      <c r="AE127" s="245"/>
      <c r="AF127" s="245"/>
      <c r="AG127" s="245"/>
      <c r="AH127" s="245"/>
      <c r="AI127" s="245"/>
      <c r="AJ127" s="245"/>
      <c r="AK127" s="245"/>
      <c r="AL127" s="245"/>
      <c r="AM127" s="245"/>
    </row>
    <row r="128" spans="1:39" x14ac:dyDescent="0.2">
      <c r="A128" s="503">
        <f t="shared" si="10"/>
        <v>109</v>
      </c>
      <c r="B128" s="262" t="str">
        <f>CONCATENATE('3. Consumption by Rate Class'!B133,"-",'3. Consumption by Rate Class'!C133)</f>
        <v>2014-January</v>
      </c>
      <c r="C128" s="699">
        <v>20000992.900000002</v>
      </c>
      <c r="D128" s="703"/>
      <c r="E128" s="703"/>
      <c r="F128" s="703"/>
      <c r="G128" s="703"/>
      <c r="H128" s="704"/>
      <c r="I128" s="704"/>
      <c r="J128" s="263">
        <f t="shared" si="8"/>
        <v>20000992.900000002</v>
      </c>
      <c r="K128" s="725">
        <f>IF(K$18='5.Variables'!$B$16,+'5.Variables'!$C36,+IF(K$18='5.Variables'!$B$39,+'5.Variables'!$C59,+IF(K$18='5.Variables'!$B$62,+'5.Variables'!$C73,+IF(K$18='5.Variables'!$B$76,+'5.Variables'!$C87,+IF(K$18='5.Variables'!$B$90,+'5.Variables'!$C101,+IF(K$18='5.Variables'!$B$104,+'5.Variables'!$C115,0))))))</f>
        <v>918.30000000000007</v>
      </c>
      <c r="L128" s="725">
        <f>IF(L$18='5.Variables'!$B$16,+'5.Variables'!$C35,+IF(L$18='5.Variables'!$B$39,+'5.Variables'!$C59,+IF(L$18='5.Variables'!$B$62,+'5.Variables'!$C73,+IF(L$18='5.Variables'!$B$76,+'5.Variables'!$C87,+IF(L$18='5.Variables'!$B$90,+'5.Variables'!$C101,+IF(L$18='5.Variables'!$B$104,+'5.Variables'!$C115,0))))))</f>
        <v>0</v>
      </c>
      <c r="M128" s="725">
        <f>IF(M$18='5.Variables'!$B$16,+'5.Variables'!$C35,+IF(M$18='5.Variables'!$B$39,+'5.Variables'!$C59,+IF(M$18='5.Variables'!$B$62,+'5.Variables'!$C73,+IF(M$18='5.Variables'!$B$76,+'5.Variables'!$C87,+IF(M$18='5.Variables'!$B$90,+'5.Variables'!$C101,+IF(M$18='5.Variables'!$B$104,+'5.Variables'!$C115,0))))))</f>
        <v>1</v>
      </c>
      <c r="N128" s="725">
        <f>IF(N$18='5.Variables'!$B$16,+'5.Variables'!$C35,+IF(N$18='5.Variables'!$B$39,+'5.Variables'!$C59,+IF(N$18='5.Variables'!$B$62,+'5.Variables'!$C73,+IF(N$18='5.Variables'!$B$76,+'5.Variables'!$C87,+IF(N$18='5.Variables'!$B$90,+'5.Variables'!$C101,+IF(N$18='5.Variables'!$B$104,+'5.Variables'!$C115,0))))))</f>
        <v>1</v>
      </c>
      <c r="O128" s="725">
        <f>IF(O$18='5.Variables'!$B$16,+'5.Variables'!$C35,+IF(O$18='5.Variables'!$B$39,+'5.Variables'!$C59,+IF(O$18='5.Variables'!$B$62,+'5.Variables'!$C73,+IF(O$18='5.Variables'!$B$76,+'5.Variables'!$C87,+IF(O$18='5.Variables'!$B$90,+'5.Variables'!$C101,+IF(O$18='5.Variables'!$B$104,+'5.Variables'!$C115,0))))))</f>
        <v>31</v>
      </c>
      <c r="P128" s="725">
        <f>IF(P$18='5.Variables'!$B$16,+'5.Variables'!$C35,+IF(P$18='5.Variables'!$B$39,+'5.Variables'!$C59,+IF(P$18='5.Variables'!$B$62,+'5.Variables'!$C73,+IF(P$18='5.Variables'!$B$76,+'5.Variables'!$C87,+IF(P$18='5.Variables'!$B$90,+'5.Variables'!$C101,+IF(P$18='5.Variables'!$B$104,+'5.Variables'!$C115,0))))))</f>
        <v>0</v>
      </c>
      <c r="Q128" s="245"/>
      <c r="R128" s="558">
        <f t="shared" si="9"/>
        <v>21264720.003249105</v>
      </c>
      <c r="S128" s="265"/>
      <c r="T128" s="245"/>
      <c r="U128" s="245"/>
      <c r="V128" s="245"/>
      <c r="W128" s="245"/>
      <c r="X128" s="245"/>
      <c r="Y128" s="245"/>
      <c r="Z128" s="245"/>
      <c r="AA128" s="245"/>
      <c r="AB128" s="245"/>
      <c r="AC128" s="245"/>
      <c r="AD128" s="245"/>
      <c r="AE128" s="245"/>
      <c r="AF128" s="245"/>
      <c r="AG128" s="245"/>
      <c r="AH128" s="245"/>
      <c r="AI128" s="245"/>
      <c r="AJ128" s="245"/>
      <c r="AK128" s="245"/>
      <c r="AL128" s="245"/>
      <c r="AM128" s="245"/>
    </row>
    <row r="129" spans="1:39" x14ac:dyDescent="0.2">
      <c r="A129" s="503">
        <f t="shared" si="10"/>
        <v>110</v>
      </c>
      <c r="B129" s="262" t="str">
        <f>CONCATENATE('3. Consumption by Rate Class'!B134,"-",'3. Consumption by Rate Class'!C134)</f>
        <v>2014-February</v>
      </c>
      <c r="C129" s="699">
        <v>19226108.919999998</v>
      </c>
      <c r="D129" s="703"/>
      <c r="E129" s="703"/>
      <c r="F129" s="703"/>
      <c r="G129" s="703"/>
      <c r="H129" s="704"/>
      <c r="I129" s="704"/>
      <c r="J129" s="263">
        <f t="shared" si="8"/>
        <v>19226108.919999998</v>
      </c>
      <c r="K129" s="725">
        <f>IF(K$18='5.Variables'!$B$16,+'5.Variables'!$D36,+IF(K$18='5.Variables'!$B$39,+'5.Variables'!$D59,+IF(K$18='5.Variables'!$B$62,+'5.Variables'!$D73,+IF(K$18='5.Variables'!$B$76,+'5.Variables'!$D87,+IF(K$18='5.Variables'!$B$90,+'5.Variables'!$D101,+IF(K$18='5.Variables'!$B$104,+'5.Variables'!$D115,0))))))</f>
        <v>793.2</v>
      </c>
      <c r="L129" s="725">
        <f>IF(L$18='5.Variables'!$B$16,+'5.Variables'!$D35,+IF(L$18='5.Variables'!$B$39,+'5.Variables'!$D59,+IF(L$18='5.Variables'!$B$62,+'5.Variables'!$D73,+IF(L$18='5.Variables'!$B$76,+'5.Variables'!$D87,+IF(L$18='5.Variables'!$B$90,+'5.Variables'!$D101,+IF(L$18='5.Variables'!$B$104,+'5.Variables'!$D115,0))))))</f>
        <v>0</v>
      </c>
      <c r="M129" s="725">
        <f>IF(M$18='5.Variables'!$B$16,+'5.Variables'!$D35,+IF(M$18='5.Variables'!$B$39,+'5.Variables'!$D59,+IF(M$18='5.Variables'!$B$62,+'5.Variables'!$D73,+IF(M$18='5.Variables'!$B$76,+'5.Variables'!$D87,+IF(M$18='5.Variables'!$B$90,+'5.Variables'!$D101,+IF(M$18='5.Variables'!$B$104,+'5.Variables'!$D115,0))))))</f>
        <v>1</v>
      </c>
      <c r="N129" s="725">
        <f>IF(N$18='5.Variables'!$B$16,+'5.Variables'!$D35,+IF(N$18='5.Variables'!$B$39,+'5.Variables'!$D59,+IF(N$18='5.Variables'!$B$62,+'5.Variables'!$D73,+IF(N$18='5.Variables'!$B$76,+'5.Variables'!$D87,+IF(N$18='5.Variables'!$B$90,+'5.Variables'!$D101,+IF(N$18='5.Variables'!$B$104,+'5.Variables'!$D115,0))))))</f>
        <v>0</v>
      </c>
      <c r="O129" s="725">
        <f>IF(O$18='5.Variables'!$B$16,+'5.Variables'!$D35,+IF(O$18='5.Variables'!$B$39,+'5.Variables'!$D59,+IF(O$18='5.Variables'!$B$62,+'5.Variables'!$D73,+IF(O$18='5.Variables'!$B$76,+'5.Variables'!$D87,+IF(O$18='5.Variables'!$B$90,+'5.Variables'!$D101,+IF(O$18='5.Variables'!$B$104,+'5.Variables'!$D115,0))))))</f>
        <v>28</v>
      </c>
      <c r="P129" s="725">
        <f>IF(P$18='5.Variables'!$B$16,+'5.Variables'!$D35,+IF(P$18='5.Variables'!$B$39,+'5.Variables'!$D59,+IF(P$18='5.Variables'!$B$62,+'5.Variables'!$D73,+IF(P$18='5.Variables'!$B$76,+'5.Variables'!$D87,+IF(P$18='5.Variables'!$B$90,+'5.Variables'!$D101,+IF(P$18='5.Variables'!$B$104,+'5.Variables'!$D115,0))))))</f>
        <v>0</v>
      </c>
      <c r="Q129" s="245"/>
      <c r="R129" s="558">
        <f t="shared" si="9"/>
        <v>19655756.261625361</v>
      </c>
      <c r="S129" s="265"/>
      <c r="T129" s="245"/>
      <c r="U129" s="245"/>
      <c r="V129" s="245"/>
      <c r="W129" s="245"/>
      <c r="X129" s="245"/>
      <c r="Y129" s="245"/>
      <c r="Z129" s="245"/>
      <c r="AA129" s="245"/>
      <c r="AB129" s="245"/>
      <c r="AC129" s="245"/>
      <c r="AD129" s="245"/>
      <c r="AE129" s="245"/>
      <c r="AF129" s="245"/>
      <c r="AG129" s="245"/>
      <c r="AH129" s="245"/>
      <c r="AI129" s="245"/>
      <c r="AJ129" s="245"/>
      <c r="AK129" s="245"/>
      <c r="AL129" s="245"/>
      <c r="AM129" s="245"/>
    </row>
    <row r="130" spans="1:39" x14ac:dyDescent="0.2">
      <c r="A130" s="503">
        <f t="shared" si="10"/>
        <v>111</v>
      </c>
      <c r="B130" s="262" t="str">
        <f>CONCATENATE('3. Consumption by Rate Class'!B135,"-",'3. Consumption by Rate Class'!C135)</f>
        <v>2014-March</v>
      </c>
      <c r="C130" s="699">
        <v>17456699.59</v>
      </c>
      <c r="D130" s="703"/>
      <c r="E130" s="703"/>
      <c r="F130" s="703"/>
      <c r="G130" s="703"/>
      <c r="H130" s="704"/>
      <c r="I130" s="704"/>
      <c r="J130" s="263">
        <f t="shared" si="8"/>
        <v>17456699.59</v>
      </c>
      <c r="K130" s="725">
        <f>IF(K$18='5.Variables'!$B$16,+'5.Variables'!$E36,+IF(K$18='5.Variables'!$B$39,+'5.Variables'!$E59,+IF(K$18='5.Variables'!$B$62,+'5.Variables'!$E73,+IF(K$18='5.Variables'!$B$76,+'5.Variables'!$E87,+IF(K$18='5.Variables'!$B$90,+'5.Variables'!$E101,+IF(K$18='5.Variables'!$B$104,+'5.Variables'!$E115,0))))))</f>
        <v>783.6</v>
      </c>
      <c r="L130" s="725">
        <f>IF(L$18='5.Variables'!$B$16,+'5.Variables'!$E35,+IF(L$18='5.Variables'!$B$39,+'5.Variables'!$E59,+IF(L$18='5.Variables'!$B$62,+'5.Variables'!$E73,+IF(L$18='5.Variables'!$B$76,+'5.Variables'!$E87,+IF(L$18='5.Variables'!$B$90,+'5.Variables'!$E101,+IF(L$18='5.Variables'!$B$104,+'5.Variables'!$E115,0))))))</f>
        <v>0</v>
      </c>
      <c r="M130" s="725">
        <f>IF(M$18='5.Variables'!$B$16,+'5.Variables'!$E35,+IF(M$18='5.Variables'!$B$39,+'5.Variables'!$E59,+IF(M$18='5.Variables'!$B$62,+'5.Variables'!$E73,+IF(M$18='5.Variables'!$B$76,+'5.Variables'!$E87,+IF(M$18='5.Variables'!$B$90,+'5.Variables'!$E101,+IF(M$18='5.Variables'!$B$104,+'5.Variables'!$E115,0))))))</f>
        <v>0</v>
      </c>
      <c r="N130" s="725">
        <f>IF(N$18='5.Variables'!$B$16,+'5.Variables'!$E35,+IF(N$18='5.Variables'!$B$39,+'5.Variables'!$E59,+IF(N$18='5.Variables'!$B$62,+'5.Variables'!$E73,+IF(N$18='5.Variables'!$B$76,+'5.Variables'!$E87,+IF(N$18='5.Variables'!$B$90,+'5.Variables'!$E101,+IF(N$18='5.Variables'!$B$104,+'5.Variables'!$E115,0))))))</f>
        <v>1</v>
      </c>
      <c r="O130" s="725">
        <f>IF(O$18='5.Variables'!$B$16,+'5.Variables'!$E35,+IF(O$18='5.Variables'!$B$39,+'5.Variables'!$E59,+IF(O$18='5.Variables'!$B$62,+'5.Variables'!$E73,+IF(O$18='5.Variables'!$B$76,+'5.Variables'!$E87,+IF(O$18='5.Variables'!$B$90,+'5.Variables'!$E101,+IF(O$18='5.Variables'!$B$104,+'5.Variables'!$E115,0))))))</f>
        <v>31</v>
      </c>
      <c r="P130" s="725">
        <f>IF(P$18='5.Variables'!$B$16,+'5.Variables'!$E35,+IF(P$18='5.Variables'!$B$39,+'5.Variables'!$E59,+IF(P$18='5.Variables'!$B$62,+'5.Variables'!$E73,+IF(P$18='5.Variables'!$B$76,+'5.Variables'!$E87,+IF(P$18='5.Variables'!$B$90,+'5.Variables'!$E101,+IF(P$18='5.Variables'!$B$104,+'5.Variables'!$E115,0))))))</f>
        <v>0</v>
      </c>
      <c r="Q130" s="245"/>
      <c r="R130" s="558">
        <f t="shared" si="9"/>
        <v>18782032.802829858</v>
      </c>
      <c r="S130" s="265"/>
      <c r="T130" s="245"/>
      <c r="U130" s="245"/>
      <c r="V130" s="245"/>
      <c r="W130" s="245"/>
      <c r="X130" s="245"/>
      <c r="Y130" s="245"/>
      <c r="Z130" s="245"/>
      <c r="AA130" s="245"/>
      <c r="AB130" s="245"/>
      <c r="AC130" s="245"/>
      <c r="AD130" s="245"/>
      <c r="AE130" s="245"/>
      <c r="AF130" s="245"/>
      <c r="AG130" s="245"/>
      <c r="AH130" s="245"/>
      <c r="AI130" s="245"/>
      <c r="AJ130" s="245"/>
      <c r="AK130" s="245"/>
      <c r="AL130" s="245"/>
      <c r="AM130" s="245"/>
    </row>
    <row r="131" spans="1:39" x14ac:dyDescent="0.2">
      <c r="A131" s="503">
        <f t="shared" si="10"/>
        <v>112</v>
      </c>
      <c r="B131" s="262" t="str">
        <f>CONCATENATE('3. Consumption by Rate Class'!B136,"-",'3. Consumption by Rate Class'!C136)</f>
        <v>2014-April</v>
      </c>
      <c r="C131" s="699">
        <v>15348468.49</v>
      </c>
      <c r="D131" s="703"/>
      <c r="E131" s="703"/>
      <c r="F131" s="703"/>
      <c r="G131" s="703"/>
      <c r="H131" s="704"/>
      <c r="I131" s="704"/>
      <c r="J131" s="263">
        <f t="shared" si="8"/>
        <v>15348468.49</v>
      </c>
      <c r="K131" s="725">
        <f>IF(K$18='5.Variables'!$B$16,+'5.Variables'!$F36,+IF(K$18='5.Variables'!$B$39,+'5.Variables'!$F59,+IF(K$18='5.Variables'!$B$62,+'5.Variables'!$F73,+IF(K$18='5.Variables'!$B$76,+'5.Variables'!$F87,+IF(K$18='5.Variables'!$B$90,+'5.Variables'!$F101,+IF(K$18='5.Variables'!$B$104,+'5.Variables'!$F115,0))))))</f>
        <v>384.20000000000005</v>
      </c>
      <c r="L131" s="725">
        <f>IF(L$18='5.Variables'!$B$16,+'5.Variables'!$F35,+IF(L$18='5.Variables'!$B$39,+'5.Variables'!$F59,+IF(L$18='5.Variables'!$B$62,+'5.Variables'!$F73,+IF(L$18='5.Variables'!$B$76,+'5.Variables'!$F87,+IF(L$18='5.Variables'!$B$90,+'5.Variables'!$F101,+IF(L$18='5.Variables'!$B$104,+'5.Variables'!$F115,0))))))</f>
        <v>0</v>
      </c>
      <c r="M131" s="725">
        <f>IF(M$18='5.Variables'!$B$16,+'5.Variables'!$F35,+IF(M$18='5.Variables'!$B$39,+'5.Variables'!$F59,+IF(M$18='5.Variables'!$B$62,+'5.Variables'!$F73,+IF(M$18='5.Variables'!$B$76,+'5.Variables'!$F87,+IF(M$18='5.Variables'!$B$90,+'5.Variables'!$F101,+IF(M$18='5.Variables'!$B$104,+'5.Variables'!$F115,0))))))</f>
        <v>0</v>
      </c>
      <c r="N131" s="725">
        <f>IF(N$18='5.Variables'!$B$16,+'5.Variables'!$F35,+IF(N$18='5.Variables'!$B$39,+'5.Variables'!$F59,+IF(N$18='5.Variables'!$B$62,+'5.Variables'!$F73,+IF(N$18='5.Variables'!$B$76,+'5.Variables'!$F87,+IF(N$18='5.Variables'!$B$90,+'5.Variables'!$F101,+IF(N$18='5.Variables'!$B$104,+'5.Variables'!$F115,0))))))</f>
        <v>0</v>
      </c>
      <c r="O131" s="725">
        <f>IF(O$18='5.Variables'!$B$16,+'5.Variables'!$F35,+IF(O$18='5.Variables'!$B$39,+'5.Variables'!$F59,+IF(O$18='5.Variables'!$B$62,+'5.Variables'!$F73,+IF(O$18='5.Variables'!$B$76,+'5.Variables'!$F87,+IF(O$18='5.Variables'!$B$90,+'5.Variables'!$F101,+IF(O$18='5.Variables'!$B$104,+'5.Variables'!$F115,0))))))</f>
        <v>30</v>
      </c>
      <c r="P131" s="725">
        <f>IF(P$18='5.Variables'!$B$16,+'5.Variables'!$F35,+IF(P$18='5.Variables'!$B$39,+'5.Variables'!$F59,+IF(P$18='5.Variables'!$B$62,+'5.Variables'!$F73,+IF(P$18='5.Variables'!$B$76,+'5.Variables'!$F87,+IF(P$18='5.Variables'!$B$90,+'5.Variables'!$F101,+IF(P$18='5.Variables'!$B$104,+'5.Variables'!$F115,0))))))</f>
        <v>0</v>
      </c>
      <c r="Q131" s="245"/>
      <c r="R131" s="558">
        <f t="shared" si="9"/>
        <v>15675110.557757746</v>
      </c>
      <c r="S131" s="265"/>
      <c r="T131" s="245"/>
      <c r="U131" s="245"/>
      <c r="V131" s="245"/>
      <c r="W131" s="245"/>
      <c r="X131" s="245"/>
      <c r="Y131" s="245"/>
      <c r="Z131" s="245"/>
      <c r="AA131" s="245"/>
      <c r="AB131" s="245"/>
      <c r="AC131" s="245"/>
      <c r="AD131" s="245"/>
      <c r="AE131" s="245"/>
      <c r="AF131" s="245"/>
      <c r="AG131" s="245"/>
      <c r="AH131" s="245"/>
      <c r="AI131" s="245"/>
      <c r="AJ131" s="245"/>
      <c r="AK131" s="245"/>
      <c r="AL131" s="245"/>
      <c r="AM131" s="245"/>
    </row>
    <row r="132" spans="1:39" x14ac:dyDescent="0.2">
      <c r="A132" s="503">
        <f t="shared" si="10"/>
        <v>113</v>
      </c>
      <c r="B132" s="262" t="str">
        <f>CONCATENATE('3. Consumption by Rate Class'!B137,"-",'3. Consumption by Rate Class'!C137)</f>
        <v>2014-May</v>
      </c>
      <c r="C132" s="699">
        <v>14153569.25</v>
      </c>
      <c r="D132" s="703"/>
      <c r="E132" s="703"/>
      <c r="F132" s="703"/>
      <c r="G132" s="703"/>
      <c r="H132" s="704"/>
      <c r="I132" s="704"/>
      <c r="J132" s="263">
        <f t="shared" si="8"/>
        <v>14153569.25</v>
      </c>
      <c r="K132" s="725">
        <f>IF(K$18='5.Variables'!$B$16,+'5.Variables'!$G36,+IF(K$18='5.Variables'!$B$39,+'5.Variables'!$G59,+IF(K$18='5.Variables'!$B$62,+'5.Variables'!$G73,+IF(K$18='5.Variables'!$B$76,+'5.Variables'!$G87,+IF(K$18='5.Variables'!$B$90,+'5.Variables'!$G101,+IF(K$18='5.Variables'!$B$104,+'5.Variables'!$G115,0))))))</f>
        <v>127.3</v>
      </c>
      <c r="L132" s="725">
        <f>IF(L$18='5.Variables'!$B$16,+'5.Variables'!$G35,+IF(L$18='5.Variables'!$B$39,+'5.Variables'!$G59,+IF(L$18='5.Variables'!$B$62,+'5.Variables'!$G73,+IF(L$18='5.Variables'!$B$76,+'5.Variables'!$G87,+IF(L$18='5.Variables'!$B$90,+'5.Variables'!$G101,+IF(L$18='5.Variables'!$B$104,+'5.Variables'!$G115,0))))))</f>
        <v>8.8000000000000007</v>
      </c>
      <c r="M132" s="725">
        <f>IF(M$18='5.Variables'!$B$16,+'5.Variables'!$G35,+IF(M$18='5.Variables'!$B$39,+'5.Variables'!$G59,+IF(M$18='5.Variables'!$B$62,+'5.Variables'!$G73,+IF(M$18='5.Variables'!$B$76,+'5.Variables'!$G87,+IF(M$18='5.Variables'!$B$90,+'5.Variables'!$G101,+IF(M$18='5.Variables'!$B$104,+'5.Variables'!$G115,0))))))</f>
        <v>0</v>
      </c>
      <c r="N132" s="725">
        <f>IF(N$18='5.Variables'!$B$16,+'5.Variables'!$G35,+IF(N$18='5.Variables'!$B$39,+'5.Variables'!$G59,+IF(N$18='5.Variables'!$B$62,+'5.Variables'!$G73,+IF(N$18='5.Variables'!$B$76,+'5.Variables'!$G87,+IF(N$18='5.Variables'!$B$90,+'5.Variables'!$G101,+IF(N$18='5.Variables'!$B$104,+'5.Variables'!$G115,0))))))</f>
        <v>0</v>
      </c>
      <c r="O132" s="725">
        <f>IF(O$18='5.Variables'!$B$16,+'5.Variables'!$G35,+IF(O$18='5.Variables'!$B$39,+'5.Variables'!$G59,+IF(O$18='5.Variables'!$B$62,+'5.Variables'!$G73,+IF(O$18='5.Variables'!$B$76,+'5.Variables'!$G87,+IF(O$18='5.Variables'!$B$90,+'5.Variables'!$G101,+IF(O$18='5.Variables'!$B$104,+'5.Variables'!$G115,0))))))</f>
        <v>31</v>
      </c>
      <c r="P132" s="725">
        <f>IF(P$18='5.Variables'!$B$16,+'5.Variables'!$G35,+IF(P$18='5.Variables'!$B$39,+'5.Variables'!$G59,+IF(P$18='5.Variables'!$B$62,+'5.Variables'!$G73,+IF(P$18='5.Variables'!$B$76,+'5.Variables'!$G87,+IF(P$18='5.Variables'!$B$90,+'5.Variables'!$G101,+IF(P$18='5.Variables'!$B$104,+'5.Variables'!$G115,0))))))</f>
        <v>0</v>
      </c>
      <c r="Q132" s="245"/>
      <c r="R132" s="558">
        <f t="shared" si="9"/>
        <v>14353610.270052232</v>
      </c>
      <c r="S132" s="265"/>
      <c r="T132" s="245"/>
      <c r="U132" s="245"/>
      <c r="V132" s="245"/>
      <c r="W132" s="245"/>
      <c r="X132" s="245"/>
      <c r="Y132" s="245"/>
      <c r="Z132" s="245"/>
      <c r="AA132" s="245"/>
      <c r="AB132" s="245"/>
      <c r="AC132" s="245"/>
      <c r="AD132" s="245"/>
      <c r="AE132" s="245"/>
      <c r="AF132" s="245"/>
      <c r="AG132" s="245"/>
      <c r="AH132" s="245"/>
      <c r="AI132" s="245"/>
      <c r="AJ132" s="245"/>
      <c r="AK132" s="245"/>
      <c r="AL132" s="245"/>
      <c r="AM132" s="245"/>
    </row>
    <row r="133" spans="1:39" x14ac:dyDescent="0.2">
      <c r="A133" s="503">
        <f t="shared" si="10"/>
        <v>114</v>
      </c>
      <c r="B133" s="262" t="str">
        <f>CONCATENATE('3. Consumption by Rate Class'!B138,"-",'3. Consumption by Rate Class'!C138)</f>
        <v>2014-June</v>
      </c>
      <c r="C133" s="699">
        <v>15797161.310000001</v>
      </c>
      <c r="D133" s="703"/>
      <c r="E133" s="703"/>
      <c r="F133" s="703"/>
      <c r="G133" s="703"/>
      <c r="H133" s="704"/>
      <c r="I133" s="704"/>
      <c r="J133" s="263">
        <f t="shared" si="8"/>
        <v>15797161.310000001</v>
      </c>
      <c r="K133" s="725">
        <f>IF(K$18='5.Variables'!$B$16,+'5.Variables'!$H36,+IF(K$18='5.Variables'!$B$39,+'5.Variables'!$H59,+IF(K$18='5.Variables'!$B$62,+'5.Variables'!$H73,+IF(K$18='5.Variables'!$B$76,+'5.Variables'!$H87,+IF(K$18='5.Variables'!$B$90,+'5.Variables'!$H101,+IF(K$18='5.Variables'!$B$104,+'5.Variables'!$H115,0))))))</f>
        <v>20.299999999999997</v>
      </c>
      <c r="L133" s="725">
        <f>IF(L$18='5.Variables'!$B$16,+'5.Variables'!$H35,+IF(L$18='5.Variables'!$B$39,+'5.Variables'!$H59,+IF(L$18='5.Variables'!$B$62,+'5.Variables'!$H73,+IF(L$18='5.Variables'!$B$76,+'5.Variables'!$H87,+IF(L$18='5.Variables'!$B$90,+'5.Variables'!$H101,+IF(L$18='5.Variables'!$B$104,+'5.Variables'!$H115,0))))))</f>
        <v>54.9</v>
      </c>
      <c r="M133" s="725">
        <f>IF(M$18='5.Variables'!$B$16,+'5.Variables'!$H35,+IF(M$18='5.Variables'!$B$39,+'5.Variables'!$H59,+IF(M$18='5.Variables'!$B$62,+'5.Variables'!$H73,+IF(M$18='5.Variables'!$B$76,+'5.Variables'!$H87,+IF(M$18='5.Variables'!$B$90,+'5.Variables'!$H101,+IF(M$18='5.Variables'!$B$104,+'5.Variables'!$H115,0))))))</f>
        <v>0</v>
      </c>
      <c r="N133" s="725">
        <f>IF(N$18='5.Variables'!$B$16,+'5.Variables'!$H35,+IF(N$18='5.Variables'!$B$39,+'5.Variables'!$H59,+IF(N$18='5.Variables'!$B$62,+'5.Variables'!$H73,+IF(N$18='5.Variables'!$B$76,+'5.Variables'!$H87,+IF(N$18='5.Variables'!$B$90,+'5.Variables'!$H101,+IF(N$18='5.Variables'!$B$104,+'5.Variables'!$H115,0))))))</f>
        <v>0</v>
      </c>
      <c r="O133" s="725">
        <f>IF(O$18='5.Variables'!$B$16,+'5.Variables'!$H35,+IF(O$18='5.Variables'!$B$39,+'5.Variables'!$H59,+IF(O$18='5.Variables'!$B$62,+'5.Variables'!$H73,+IF(O$18='5.Variables'!$B$76,+'5.Variables'!$H87,+IF(O$18='5.Variables'!$B$90,+'5.Variables'!$H101,+IF(O$18='5.Variables'!$B$104,+'5.Variables'!$H115,0))))))</f>
        <v>30</v>
      </c>
      <c r="P133" s="725">
        <f>IF(P$18='5.Variables'!$B$16,+'5.Variables'!$H35,+IF(P$18='5.Variables'!$B$39,+'5.Variables'!$H59,+IF(P$18='5.Variables'!$B$62,+'5.Variables'!$H73,+IF(P$18='5.Variables'!$B$76,+'5.Variables'!$H87,+IF(P$18='5.Variables'!$B$90,+'5.Variables'!$H101,+IF(P$18='5.Variables'!$B$104,+'5.Variables'!$H115,0))))))</f>
        <v>0</v>
      </c>
      <c r="Q133" s="245"/>
      <c r="R133" s="558">
        <f t="shared" si="9"/>
        <v>14607798.89234593</v>
      </c>
      <c r="S133" s="265"/>
      <c r="T133" s="245"/>
      <c r="U133" s="245"/>
      <c r="V133" s="245"/>
      <c r="W133" s="245"/>
      <c r="X133" s="245"/>
      <c r="Y133" s="245"/>
      <c r="Z133" s="245"/>
      <c r="AA133" s="245"/>
      <c r="AB133" s="245"/>
      <c r="AC133" s="245"/>
      <c r="AD133" s="245"/>
      <c r="AE133" s="245"/>
      <c r="AF133" s="245"/>
      <c r="AG133" s="245"/>
      <c r="AH133" s="245"/>
      <c r="AI133" s="245"/>
      <c r="AJ133" s="245"/>
      <c r="AK133" s="245"/>
      <c r="AL133" s="245"/>
      <c r="AM133" s="245"/>
    </row>
    <row r="134" spans="1:39" x14ac:dyDescent="0.2">
      <c r="A134" s="503">
        <f t="shared" si="10"/>
        <v>115</v>
      </c>
      <c r="B134" s="262" t="str">
        <f>CONCATENATE('3. Consumption by Rate Class'!B139,"-",'3. Consumption by Rate Class'!C139)</f>
        <v>2014-July</v>
      </c>
      <c r="C134" s="699">
        <v>14657239.130000001</v>
      </c>
      <c r="D134" s="703"/>
      <c r="E134" s="703"/>
      <c r="F134" s="703"/>
      <c r="G134" s="703"/>
      <c r="H134" s="704"/>
      <c r="I134" s="704"/>
      <c r="J134" s="263">
        <f t="shared" si="8"/>
        <v>14657239.130000001</v>
      </c>
      <c r="K134" s="725">
        <f>IF(K$18='5.Variables'!$B$16,+'5.Variables'!$I35,+IF(K$18='5.Variables'!$B$39,+'5.Variables'!$I59,+IF(K$18='5.Variables'!$B$62,+'5.Variables'!$I73,+IF(K$18='5.Variables'!$B$76,+'5.Variables'!$I87,+IF(K$18='5.Variables'!$B$90,+'5.Variables'!$I101,+IF(K$18='5.Variables'!$B$104,+'5.Variables'!$I115,0))))))</f>
        <v>7.7</v>
      </c>
      <c r="L134" s="725">
        <f>IF(L$18='5.Variables'!$B$16,+'5.Variables'!$I35,+IF(L$18='5.Variables'!$B$39,+'5.Variables'!$I59,+IF(L$18='5.Variables'!$B$62,+'5.Variables'!$I73,+IF(L$18='5.Variables'!$B$76,+'5.Variables'!$I87,+IF(L$18='5.Variables'!$B$90,+'5.Variables'!$I101,+IF(L$18='5.Variables'!$B$104,+'5.Variables'!$I115,0))))))</f>
        <v>62.800000000000011</v>
      </c>
      <c r="M134" s="725">
        <f>IF(M$18='5.Variables'!$B$16,+'5.Variables'!$I35,+IF(M$18='5.Variables'!$B$39,+'5.Variables'!$I59,+IF(M$18='5.Variables'!$B$62,+'5.Variables'!$I73,+IF(M$18='5.Variables'!$B$76,+'5.Variables'!$I87,+IF(M$18='5.Variables'!$B$90,+'5.Variables'!$I101,+IF(M$18='5.Variables'!$B$104,+'5.Variables'!$I115,0))))))</f>
        <v>0</v>
      </c>
      <c r="N134" s="725">
        <f>IF(N$18='5.Variables'!$B$16,+'5.Variables'!$I35,+IF(N$18='5.Variables'!$B$39,+'5.Variables'!$I59,+IF(N$18='5.Variables'!$B$62,+'5.Variables'!$I73,+IF(N$18='5.Variables'!$B$76,+'5.Variables'!$I87,+IF(N$18='5.Variables'!$B$90,+'5.Variables'!$I101,+IF(N$18='5.Variables'!$B$104,+'5.Variables'!$I115,0))))))</f>
        <v>1</v>
      </c>
      <c r="O134" s="725">
        <f>IF(O$18='5.Variables'!$B$16,+'5.Variables'!$I35,+IF(O$18='5.Variables'!$B$39,+'5.Variables'!$I59,+IF(O$18='5.Variables'!$B$62,+'5.Variables'!$I73,+IF(O$18='5.Variables'!$B$76,+'5.Variables'!$I87,+IF(O$18='5.Variables'!$B$90,+'5.Variables'!$I101,+IF(O$18='5.Variables'!$B$104,+'5.Variables'!$I115,0))))))</f>
        <v>31</v>
      </c>
      <c r="P134" s="725">
        <f>IF(P$18='5.Variables'!$B$16,+'5.Variables'!$I35,+IF(P$18='5.Variables'!$B$39,+'5.Variables'!$I59,+IF(P$18='5.Variables'!$B$62,+'5.Variables'!$I73,+IF(P$18='5.Variables'!$B$76,+'5.Variables'!$I87,+IF(P$18='5.Variables'!$B$90,+'5.Variables'!$I101,+IF(P$18='5.Variables'!$B$104,+'5.Variables'!$I115,0))))))</f>
        <v>0</v>
      </c>
      <c r="Q134" s="245"/>
      <c r="R134" s="558">
        <f t="shared" si="9"/>
        <v>15210563.177611575</v>
      </c>
      <c r="S134" s="265"/>
      <c r="T134" s="245"/>
      <c r="U134" s="245"/>
      <c r="V134" s="245"/>
      <c r="W134" s="245"/>
      <c r="X134" s="245"/>
      <c r="Y134" s="245"/>
      <c r="Z134" s="245"/>
      <c r="AA134" s="245"/>
      <c r="AB134" s="245"/>
      <c r="AC134" s="245"/>
      <c r="AD134" s="245"/>
      <c r="AE134" s="245"/>
      <c r="AF134" s="245"/>
      <c r="AG134" s="245"/>
      <c r="AH134" s="245"/>
      <c r="AI134" s="245"/>
      <c r="AJ134" s="245"/>
      <c r="AK134" s="245"/>
      <c r="AL134" s="245"/>
      <c r="AM134" s="245"/>
    </row>
    <row r="135" spans="1:39" x14ac:dyDescent="0.2">
      <c r="A135" s="503">
        <f t="shared" si="10"/>
        <v>116</v>
      </c>
      <c r="B135" s="262" t="str">
        <f>CONCATENATE('3. Consumption by Rate Class'!B140,"-",'3. Consumption by Rate Class'!C140)</f>
        <v>2014-August</v>
      </c>
      <c r="C135" s="699">
        <v>14519949.390000001</v>
      </c>
      <c r="D135" s="703"/>
      <c r="E135" s="703"/>
      <c r="F135" s="703"/>
      <c r="G135" s="703"/>
      <c r="H135" s="704"/>
      <c r="I135" s="704"/>
      <c r="J135" s="263">
        <f t="shared" si="8"/>
        <v>14519949.390000001</v>
      </c>
      <c r="K135" s="725">
        <f>IF(K$18='5.Variables'!$B$16,+'5.Variables'!$J36,+IF(K$18='5.Variables'!$B$39,+'5.Variables'!$J59,+IF(K$18='5.Variables'!$B$62,+'5.Variables'!$J73,+IF(K$18='5.Variables'!$B$76,+'5.Variables'!$J87,+IF(K$18='5.Variables'!$B$90,+'5.Variables'!$J101,+IF(K$18='5.Variables'!$B$104,+'5.Variables'!$J115,0))))))</f>
        <v>21.400000000000002</v>
      </c>
      <c r="L135" s="725">
        <f>IF(L$18='5.Variables'!$B$16,+'5.Variables'!$J35,+IF(L$18='5.Variables'!$B$39,+'5.Variables'!$J59,+IF(L$18='5.Variables'!$B$62,+'5.Variables'!$J73,+IF(L$18='5.Variables'!$B$76,+'5.Variables'!$J87,+IF(L$18='5.Variables'!$B$90,+'5.Variables'!$J101,+IF(L$18='5.Variables'!$B$104,+'5.Variables'!$J115,0))))))</f>
        <v>55.800000000000004</v>
      </c>
      <c r="M135" s="725">
        <f>IF(M$18='5.Variables'!$B$16,+'5.Variables'!$J35,+IF(M$18='5.Variables'!$B$39,+'5.Variables'!$J59,+IF(M$18='5.Variables'!$B$62,+'5.Variables'!$J73,+IF(M$18='5.Variables'!$B$76,+'5.Variables'!$J87,+IF(M$18='5.Variables'!$B$90,+'5.Variables'!$J101,+IF(M$18='5.Variables'!$B$104,+'5.Variables'!$J115,0))))))</f>
        <v>0</v>
      </c>
      <c r="N135" s="725">
        <f>IF(N$18='5.Variables'!$B$16,+'5.Variables'!$J35,+IF(N$18='5.Variables'!$B$39,+'5.Variables'!$J59,+IF(N$18='5.Variables'!$B$62,+'5.Variables'!$J73,+IF(N$18='5.Variables'!$B$76,+'5.Variables'!$J87,+IF(N$18='5.Variables'!$B$90,+'5.Variables'!$J101,+IF(N$18='5.Variables'!$B$104,+'5.Variables'!$J115,0))))))</f>
        <v>0</v>
      </c>
      <c r="O135" s="725">
        <f>IF(O$18='5.Variables'!$B$16,+'5.Variables'!$J35,+IF(O$18='5.Variables'!$B$39,+'5.Variables'!$J59,+IF(O$18='5.Variables'!$B$62,+'5.Variables'!$J73,+IF(O$18='5.Variables'!$B$76,+'5.Variables'!$J87,+IF(O$18='5.Variables'!$B$90,+'5.Variables'!$J101,+IF(O$18='5.Variables'!$B$104,+'5.Variables'!$J115,0))))))</f>
        <v>31</v>
      </c>
      <c r="P135" s="725">
        <f>IF(P$18='5.Variables'!$B$16,+'5.Variables'!$J35,+IF(P$18='5.Variables'!$B$39,+'5.Variables'!$J59,+IF(P$18='5.Variables'!$B$62,+'5.Variables'!$J73,+IF(P$18='5.Variables'!$B$76,+'5.Variables'!$J87,+IF(P$18='5.Variables'!$B$90,+'5.Variables'!$J101,+IF(P$18='5.Variables'!$B$104,+'5.Variables'!$J115,0))))))</f>
        <v>0</v>
      </c>
      <c r="Q135" s="245"/>
      <c r="R135" s="558">
        <f t="shared" si="9"/>
        <v>14783914.193080213</v>
      </c>
      <c r="S135" s="265"/>
      <c r="T135" s="245"/>
      <c r="U135" s="245"/>
      <c r="V135" s="245"/>
      <c r="W135" s="245"/>
      <c r="X135" s="245"/>
      <c r="Y135" s="245"/>
      <c r="Z135" s="245"/>
      <c r="AA135" s="245"/>
      <c r="AB135" s="245"/>
      <c r="AC135" s="245"/>
      <c r="AD135" s="245"/>
      <c r="AE135" s="245"/>
      <c r="AF135" s="245"/>
      <c r="AG135" s="245"/>
      <c r="AH135" s="245"/>
      <c r="AI135" s="245"/>
      <c r="AJ135" s="245"/>
      <c r="AK135" s="245"/>
      <c r="AL135" s="245"/>
      <c r="AM135" s="245"/>
    </row>
    <row r="136" spans="1:39" x14ac:dyDescent="0.2">
      <c r="A136" s="503">
        <f t="shared" si="10"/>
        <v>117</v>
      </c>
      <c r="B136" s="262" t="str">
        <f>CONCATENATE('3. Consumption by Rate Class'!B141,"-",'3. Consumption by Rate Class'!C141)</f>
        <v>2014-September</v>
      </c>
      <c r="C136" s="699">
        <v>11739127.049999999</v>
      </c>
      <c r="D136" s="703"/>
      <c r="E136" s="703"/>
      <c r="F136" s="703"/>
      <c r="G136" s="703"/>
      <c r="H136" s="704"/>
      <c r="I136" s="704"/>
      <c r="J136" s="263">
        <f t="shared" si="8"/>
        <v>11739127.049999999</v>
      </c>
      <c r="K136" s="725">
        <f>IF(K$18='5.Variables'!$B$16,+'5.Variables'!$K36,+IF(K$18='5.Variables'!$B$39,+'5.Variables'!$K59,+IF(K$18='5.Variables'!$B$62,+'5.Variables'!$K73,+IF(K$18='5.Variables'!$B$76,+'5.Variables'!$K87,+IF(K$18='5.Variables'!$B$90,+'5.Variables'!$K101,+IF(K$18='5.Variables'!$B$104,+'5.Variables'!$K115,0))))))</f>
        <v>110.3</v>
      </c>
      <c r="L136" s="725">
        <f>IF(L$18='5.Variables'!$B$16,+'5.Variables'!$K35,+IF(L$18='5.Variables'!$B$39,+'5.Variables'!$K59,+IF(L$18='5.Variables'!$B$62,+'5.Variables'!$K73,+IF(L$18='5.Variables'!$B$76,+'5.Variables'!$K87,+IF(L$18='5.Variables'!$B$90,+'5.Variables'!$K101,+IF(L$18='5.Variables'!$B$104,+'5.Variables'!$K115,0))))))</f>
        <v>21.600000000000005</v>
      </c>
      <c r="M136" s="725">
        <f>IF(M$18='5.Variables'!$B$16,+'5.Variables'!$K35,+IF(M$18='5.Variables'!$B$39,+'5.Variables'!$K59,+IF(M$18='5.Variables'!$B$62,+'5.Variables'!$K73,+IF(M$18='5.Variables'!$B$76,+'5.Variables'!$K87,+IF(M$18='5.Variables'!$B$90,+'5.Variables'!$K101,+IF(M$18='5.Variables'!$B$104,+'5.Variables'!$K115,0))))))</f>
        <v>0</v>
      </c>
      <c r="N136" s="725">
        <f>IF(N$18='5.Variables'!$B$16,+'5.Variables'!$K35,+IF(N$18='5.Variables'!$B$39,+'5.Variables'!$K59,+IF(N$18='5.Variables'!$B$62,+'5.Variables'!$K73,+IF(N$18='5.Variables'!$B$76,+'5.Variables'!$K87,+IF(N$18='5.Variables'!$B$90,+'5.Variables'!$K101,+IF(N$18='5.Variables'!$B$104,+'5.Variables'!$K115,0))))))</f>
        <v>0</v>
      </c>
      <c r="O136" s="725">
        <f>IF(O$18='5.Variables'!$B$16,+'5.Variables'!$K35,+IF(O$18='5.Variables'!$B$39,+'5.Variables'!$K59,+IF(O$18='5.Variables'!$B$62,+'5.Variables'!$K73,+IF(O$18='5.Variables'!$B$76,+'5.Variables'!$K87,+IF(O$18='5.Variables'!$B$90,+'5.Variables'!$K101,+IF(O$18='5.Variables'!$B$104,+'5.Variables'!$K115,0))))))</f>
        <v>30</v>
      </c>
      <c r="P136" s="725">
        <f>IF(P$18='5.Variables'!$B$16,+'5.Variables'!$K35,+IF(P$18='5.Variables'!$B$39,+'5.Variables'!$K59,+IF(P$18='5.Variables'!$B$62,+'5.Variables'!$K73,+IF(P$18='5.Variables'!$B$76,+'5.Variables'!$K87,+IF(P$18='5.Variables'!$B$90,+'5.Variables'!$K101,+IF(P$18='5.Variables'!$B$104,+'5.Variables'!$K115,0))))))</f>
        <v>0</v>
      </c>
      <c r="Q136" s="245"/>
      <c r="R136" s="558">
        <f t="shared" si="9"/>
        <v>14400759.403047157</v>
      </c>
      <c r="S136" s="265"/>
      <c r="T136" s="245"/>
      <c r="U136" s="245"/>
      <c r="V136" s="245"/>
      <c r="W136" s="245"/>
      <c r="X136" s="245"/>
      <c r="Y136" s="245"/>
      <c r="Z136" s="245"/>
      <c r="AA136" s="245"/>
      <c r="AB136" s="245"/>
      <c r="AC136" s="245"/>
      <c r="AD136" s="245"/>
      <c r="AE136" s="245"/>
      <c r="AF136" s="245"/>
      <c r="AG136" s="245"/>
      <c r="AH136" s="245"/>
      <c r="AI136" s="245"/>
      <c r="AJ136" s="245"/>
      <c r="AK136" s="245"/>
      <c r="AL136" s="245"/>
      <c r="AM136" s="245"/>
    </row>
    <row r="137" spans="1:39" x14ac:dyDescent="0.2">
      <c r="A137" s="503">
        <f t="shared" si="10"/>
        <v>118</v>
      </c>
      <c r="B137" s="262" t="str">
        <f>CONCATENATE('3. Consumption by Rate Class'!B142,"-",'3. Consumption by Rate Class'!C142)</f>
        <v>2014-October</v>
      </c>
      <c r="C137" s="699">
        <v>14153187.039999999</v>
      </c>
      <c r="D137" s="703"/>
      <c r="E137" s="703"/>
      <c r="F137" s="703"/>
      <c r="G137" s="703"/>
      <c r="H137" s="704"/>
      <c r="I137" s="704"/>
      <c r="J137" s="263">
        <f t="shared" si="8"/>
        <v>14153187.039999999</v>
      </c>
      <c r="K137" s="725">
        <f>IF(K$18='5.Variables'!$B$16,+'5.Variables'!$L36,+IF(K$18='5.Variables'!$B$39,+'5.Variables'!$L59,+IF(K$18='5.Variables'!$B$62,+'5.Variables'!$L73,+IF(K$18='5.Variables'!$B$76,+'5.Variables'!$L87,+IF(K$18='5.Variables'!$B$90,+'5.Variables'!$L101,+IF(K$18='5.Variables'!$B$104,+'5.Variables'!$L115,0))))))</f>
        <v>257.90000000000003</v>
      </c>
      <c r="L137" s="725">
        <f>IF(L$18='5.Variables'!$B$16,+'5.Variables'!$L35,+IF(L$18='5.Variables'!$B$39,+'5.Variables'!$L59,+IF(L$18='5.Variables'!$B$62,+'5.Variables'!$L73,+IF(L$18='5.Variables'!$B$76,+'5.Variables'!$L87,+IF(L$18='5.Variables'!$B$90,+'5.Variables'!$L101,+IF(L$18='5.Variables'!$B$104,+'5.Variables'!$L115,0))))))</f>
        <v>3.1</v>
      </c>
      <c r="M137" s="725">
        <f>IF(M$18='5.Variables'!$B$16,+'5.Variables'!$L35,+IF(M$18='5.Variables'!$B$39,+'5.Variables'!$L59,+IF(M$18='5.Variables'!$B$62,+'5.Variables'!$L73,+IF(M$18='5.Variables'!$B$76,+'5.Variables'!$L87,+IF(M$18='5.Variables'!$B$90,+'5.Variables'!$L101,+IF(M$18='5.Variables'!$B$104,+'5.Variables'!$L115,0))))))</f>
        <v>0</v>
      </c>
      <c r="N137" s="725">
        <f>IF(N$18='5.Variables'!$B$16,+'5.Variables'!$L35,+IF(N$18='5.Variables'!$B$39,+'5.Variables'!$L59,+IF(N$18='5.Variables'!$B$62,+'5.Variables'!$L73,+IF(N$18='5.Variables'!$B$76,+'5.Variables'!$L87,+IF(N$18='5.Variables'!$B$90,+'5.Variables'!$L101,+IF(N$18='5.Variables'!$B$104,+'5.Variables'!$L115,0))))))</f>
        <v>0</v>
      </c>
      <c r="O137" s="725">
        <f>IF(O$18='5.Variables'!$B$16,+'5.Variables'!$L35,+IF(O$18='5.Variables'!$B$39,+'5.Variables'!$L59,+IF(O$18='5.Variables'!$B$62,+'5.Variables'!$L73,+IF(O$18='5.Variables'!$B$76,+'5.Variables'!$L87,+IF(O$18='5.Variables'!$B$90,+'5.Variables'!$L101,+IF(O$18='5.Variables'!$B$104,+'5.Variables'!$L115,0))))))</f>
        <v>31</v>
      </c>
      <c r="P137" s="725">
        <f>IF(P$18='5.Variables'!$B$16,+'5.Variables'!$L35,+IF(P$18='5.Variables'!$B$39,+'5.Variables'!$L59,+IF(P$18='5.Variables'!$B$62,+'5.Variables'!$L73,+IF(P$18='5.Variables'!$B$76,+'5.Variables'!$L87,+IF(P$18='5.Variables'!$B$90,+'5.Variables'!$L101,+IF(P$18='5.Variables'!$B$104,+'5.Variables'!$L115,0))))))</f>
        <v>0</v>
      </c>
      <c r="Q137" s="245"/>
      <c r="R137" s="558">
        <f t="shared" si="9"/>
        <v>15071081.730215374</v>
      </c>
      <c r="S137" s="265"/>
      <c r="T137" s="245"/>
      <c r="U137" s="245"/>
      <c r="V137" s="245"/>
      <c r="W137" s="245"/>
      <c r="X137" s="245"/>
      <c r="Y137" s="245"/>
      <c r="Z137" s="245"/>
      <c r="AA137" s="245"/>
      <c r="AB137" s="245"/>
      <c r="AC137" s="245"/>
      <c r="AD137" s="245"/>
      <c r="AE137" s="245"/>
      <c r="AF137" s="245"/>
      <c r="AG137" s="245"/>
      <c r="AH137" s="245"/>
      <c r="AI137" s="245"/>
      <c r="AJ137" s="245"/>
      <c r="AK137" s="245"/>
      <c r="AL137" s="245"/>
      <c r="AM137" s="245"/>
    </row>
    <row r="138" spans="1:39" x14ac:dyDescent="0.2">
      <c r="A138" s="503">
        <f t="shared" si="10"/>
        <v>119</v>
      </c>
      <c r="B138" s="262" t="str">
        <f>CONCATENATE('3. Consumption by Rate Class'!B143,"-",'3. Consumption by Rate Class'!C143)</f>
        <v>2014-November</v>
      </c>
      <c r="C138" s="699">
        <v>16001153.539999999</v>
      </c>
      <c r="D138" s="703"/>
      <c r="E138" s="703"/>
      <c r="F138" s="703"/>
      <c r="G138" s="703"/>
      <c r="H138" s="704"/>
      <c r="I138" s="704"/>
      <c r="J138" s="263">
        <f t="shared" si="8"/>
        <v>16001153.539999999</v>
      </c>
      <c r="K138" s="725">
        <f>IF(K$18='5.Variables'!$B$16,+'5.Variables'!$M36,+IF(K$18='5.Variables'!$B$39,+'5.Variables'!$M59,+IF(K$18='5.Variables'!$B$62,+'5.Variables'!$M73,+IF(K$18='5.Variables'!$B$76,+'5.Variables'!$M87,+IF(K$18='5.Variables'!$B$90,+'5.Variables'!$M101,+IF(K$18='5.Variables'!$B$104,+'5.Variables'!$M115,0))))))</f>
        <v>510.6</v>
      </c>
      <c r="L138" s="725">
        <f>IF(L$18='5.Variables'!$B$16,+'5.Variables'!$M35,+IF(L$18='5.Variables'!$B$39,+'5.Variables'!$M59,+IF(L$18='5.Variables'!$B$62,+'5.Variables'!$M73,+IF(L$18='5.Variables'!$B$76,+'5.Variables'!$M87,+IF(L$18='5.Variables'!$B$90,+'5.Variables'!$M101,+IF(L$18='5.Variables'!$B$104,+'5.Variables'!$M115,0))))))</f>
        <v>0</v>
      </c>
      <c r="M138" s="725">
        <f>IF(M$18='5.Variables'!$B$16,+'5.Variables'!$M35,+IF(M$18='5.Variables'!$B$39,+'5.Variables'!$M59,+IF(M$18='5.Variables'!$B$62,+'5.Variables'!$M73,+IF(M$18='5.Variables'!$B$76,+'5.Variables'!$M87,+IF(M$18='5.Variables'!$B$90,+'5.Variables'!$M101,+IF(M$18='5.Variables'!$B$104,+'5.Variables'!$M115,0))))))</f>
        <v>0</v>
      </c>
      <c r="N138" s="725">
        <f>IF(N$18='5.Variables'!$B$16,+'5.Variables'!$M35,+IF(N$18='5.Variables'!$B$39,+'5.Variables'!$M59,+IF(N$18='5.Variables'!$B$62,+'5.Variables'!$M73,+IF(N$18='5.Variables'!$B$76,+'5.Variables'!$M87,+IF(N$18='5.Variables'!$B$90,+'5.Variables'!$M101,+IF(N$18='5.Variables'!$B$104,+'5.Variables'!$M115,0))))))</f>
        <v>0</v>
      </c>
      <c r="O138" s="725">
        <f>IF(O$18='5.Variables'!$B$16,+'5.Variables'!$M35,+IF(O$18='5.Variables'!$B$39,+'5.Variables'!$M59,+IF(O$18='5.Variables'!$B$62,+'5.Variables'!$M73,+IF(O$18='5.Variables'!$B$76,+'5.Variables'!$M87,+IF(O$18='5.Variables'!$B$90,+'5.Variables'!$M101,+IF(O$18='5.Variables'!$B$104,+'5.Variables'!$M115,0))))))</f>
        <v>30</v>
      </c>
      <c r="P138" s="725">
        <f>IF(P$18='5.Variables'!$B$16,+'5.Variables'!$M35,+IF(P$18='5.Variables'!$B$39,+'5.Variables'!$M59,+IF(P$18='5.Variables'!$B$62,+'5.Variables'!$M73,+IF(P$18='5.Variables'!$B$76,+'5.Variables'!$M87,+IF(P$18='5.Variables'!$B$90,+'5.Variables'!$M101,+IF(P$18='5.Variables'!$B$104,+'5.Variables'!$M115,0))))))</f>
        <v>0</v>
      </c>
      <c r="Q138" s="245"/>
      <c r="R138" s="558">
        <f t="shared" si="9"/>
        <v>16501259.621009348</v>
      </c>
      <c r="S138" s="265"/>
      <c r="T138" s="245"/>
      <c r="U138" s="245"/>
      <c r="V138" s="245"/>
      <c r="W138" s="245"/>
      <c r="X138" s="245"/>
      <c r="Y138" s="245"/>
      <c r="Z138" s="245"/>
      <c r="AA138" s="245"/>
      <c r="AB138" s="245"/>
      <c r="AC138" s="245"/>
      <c r="AD138" s="245"/>
      <c r="AE138" s="245"/>
      <c r="AF138" s="245"/>
      <c r="AG138" s="245"/>
      <c r="AH138" s="245"/>
      <c r="AI138" s="245"/>
      <c r="AJ138" s="245"/>
      <c r="AK138" s="245"/>
      <c r="AL138" s="245"/>
      <c r="AM138" s="245"/>
    </row>
    <row r="139" spans="1:39" x14ac:dyDescent="0.2">
      <c r="A139" s="503">
        <f t="shared" si="10"/>
        <v>120</v>
      </c>
      <c r="B139" s="522" t="str">
        <f>CONCATENATE('3. Consumption by Rate Class'!B144,"-",'3. Consumption by Rate Class'!C144)</f>
        <v>2014-December</v>
      </c>
      <c r="C139" s="698">
        <v>18583491.75</v>
      </c>
      <c r="D139" s="705"/>
      <c r="E139" s="705"/>
      <c r="F139" s="705"/>
      <c r="G139" s="705"/>
      <c r="H139" s="706"/>
      <c r="I139" s="706"/>
      <c r="J139" s="263">
        <f t="shared" si="8"/>
        <v>18583491.75</v>
      </c>
      <c r="K139" s="725">
        <f>IF(K$18='5.Variables'!$B$16,+'5.Variables'!$N36,+IF(K$18='5.Variables'!$B$39,+'5.Variables'!$N59,+IF(K$18='5.Variables'!$B$62,+'5.Variables'!$N73,+IF(K$18='5.Variables'!$B$76,+'5.Variables'!$N87,+IF(K$18='5.Variables'!$B$90,+'5.Variables'!$N101,+IF(K$18='5.Variables'!$B$104,+'5.Variables'!$N115,0))))))</f>
        <v>696.39999999999986</v>
      </c>
      <c r="L139" s="725">
        <f>IF(L$18='5.Variables'!$B$16,+'5.Variables'!$N35,+IF(L$18='5.Variables'!$B$39,+'5.Variables'!$N59,+IF(L$18='5.Variables'!$B$62,+'5.Variables'!$N73,+IF(L$18='5.Variables'!$B$76,+'5.Variables'!$N87,+IF(L$18='5.Variables'!$B$90,+'5.Variables'!$N101,+IF(L$18='5.Variables'!$B$104,+'5.Variables'!$N115,0))))))</f>
        <v>0</v>
      </c>
      <c r="M139" s="725">
        <f>IF(M$18='5.Variables'!$B$16,+'5.Variables'!$N35,+IF(M$18='5.Variables'!$B$39,+'5.Variables'!$N59,+IF(M$18='5.Variables'!$B$62,+'5.Variables'!$N73,+IF(M$18='5.Variables'!$B$76,+'5.Variables'!$N87,+IF(M$18='5.Variables'!$B$90,+'5.Variables'!$N101,+IF(M$18='5.Variables'!$B$104,+'5.Variables'!$N115,0))))))</f>
        <v>1</v>
      </c>
      <c r="N139" s="725">
        <f>IF(N$18='5.Variables'!$B$16,+'5.Variables'!$N35,+IF(N$18='5.Variables'!$B$39,+'5.Variables'!$N59,+IF(N$18='5.Variables'!$B$62,+'5.Variables'!$N73,+IF(N$18='5.Variables'!$B$76,+'5.Variables'!$N87,+IF(N$18='5.Variables'!$B$90,+'5.Variables'!$N101,+IF(N$18='5.Variables'!$B$104,+'5.Variables'!$N115,0))))))</f>
        <v>1</v>
      </c>
      <c r="O139" s="725">
        <f>IF(O$18='5.Variables'!$B$16,+'5.Variables'!$N35,+IF(O$18='5.Variables'!$B$39,+'5.Variables'!$N59,+IF(O$18='5.Variables'!$B$62,+'5.Variables'!$N73,+IF(O$18='5.Variables'!$B$76,+'5.Variables'!$N87,+IF(O$18='5.Variables'!$B$90,+'5.Variables'!$N101,+IF(O$18='5.Variables'!$B$104,+'5.Variables'!$N115,0))))))</f>
        <v>31</v>
      </c>
      <c r="P139" s="725">
        <f>IF(P$18='5.Variables'!$B$16,+'5.Variables'!$N35,+IF(P$18='5.Variables'!$B$39,+'5.Variables'!$N59,+IF(P$18='5.Variables'!$B$62,+'5.Variables'!$N73,+IF(P$18='5.Variables'!$B$76,+'5.Variables'!$N87,+IF(P$18='5.Variables'!$B$90,+'5.Variables'!$N101,+IF(P$18='5.Variables'!$B$104,+'5.Variables'!$N115,0))))))</f>
        <v>0</v>
      </c>
      <c r="Q139" s="245"/>
      <c r="R139" s="558">
        <f t="shared" si="9"/>
        <v>19814383.949961685</v>
      </c>
      <c r="S139" s="265">
        <f>SUM(R128:R139)</f>
        <v>200120990.86278558</v>
      </c>
      <c r="T139" s="245"/>
      <c r="U139" s="245"/>
      <c r="V139" s="245"/>
      <c r="W139" s="245"/>
      <c r="X139" s="245"/>
      <c r="Y139" s="245"/>
      <c r="Z139" s="245"/>
      <c r="AA139" s="245"/>
      <c r="AB139" s="245"/>
      <c r="AC139" s="245"/>
      <c r="AD139" s="245"/>
      <c r="AE139" s="245"/>
      <c r="AF139" s="245"/>
      <c r="AG139" s="245"/>
      <c r="AH139" s="245"/>
      <c r="AI139" s="245"/>
      <c r="AJ139" s="245"/>
      <c r="AK139" s="245"/>
      <c r="AL139" s="245"/>
      <c r="AM139" s="245"/>
    </row>
    <row r="140" spans="1:39" x14ac:dyDescent="0.2">
      <c r="A140" s="503">
        <f t="shared" si="10"/>
        <v>121</v>
      </c>
      <c r="B140" s="262" t="str">
        <f>CONCATENATE('3. Consumption by Rate Class'!B145,"-",'3. Consumption by Rate Class'!C145)</f>
        <v>2015-January</v>
      </c>
      <c r="C140" s="699"/>
      <c r="D140" s="703"/>
      <c r="E140" s="703"/>
      <c r="F140" s="703"/>
      <c r="G140" s="703"/>
      <c r="H140" s="704"/>
      <c r="I140" s="704"/>
      <c r="J140" s="263"/>
      <c r="K140" s="744">
        <f>IF(K$19=$B$169,+AVERAGE(K20,K32,K44,K56,K68,K80,K92,K104,K116,K128),+IF(K$19=$B$170,+(EXP((LN(+'4. Customer Growth'!$W$42)/12))*$K139),IF($K$19=$B$171,+$A140*$C$176+$D$176,0)))</f>
        <v>845.20999999999981</v>
      </c>
      <c r="L140" s="744">
        <f>IF(L$19=$B$169,+AVERAGE(L20,L32,L44,L56,L68,L80,L92,L104,L116,L128),+IF(L$19=$B$170,+(EXP((LN(+'4. Customer Growth'!$W$42)/12))*$K139),IF($L$19=$B$171,+$A140*$C$177+$D$177,0)))</f>
        <v>0</v>
      </c>
      <c r="M140" s="744">
        <f>IF(M$19=$B$169,+AVERAGE(M20,M32,M44,M56,M68,M80,M92,M104,M116,M128),+IF(M$19=$B$170,+(EXP((LN(+'4. Customer Growth'!$W$42)/12))*$K139),IF($M$19=$B$171,+$A140*$C$178+$D$178,0)))</f>
        <v>1</v>
      </c>
      <c r="N140" s="744">
        <f>IF(N$19=$B$169,+AVERAGE(N20,N32,N44,N56,N68,N80,N92,N104,N116,N128),+IF(N$19=$B$170,+(EXP((LN(+'4. Customer Growth'!$W$42)/12))*$K139),IF($N$19=$B$171,+$A140*$C$179+$D$179,0)))</f>
        <v>1</v>
      </c>
      <c r="O140" s="744">
        <f>IF(O$19=$B$169,+AVERAGE(O20,O32,O44,O56,O68,O80,O92,O104,O116,O128),+IF(O$19=$B$170,+(EXP((LN(+'4. Customer Growth'!$W$42)/12))*$O139),IF($O$19=$B$171,+$A140*$C$180+$D$180,0)))</f>
        <v>31</v>
      </c>
      <c r="P140" s="744">
        <f>IF(P$19=$B$169,+AVERAGE(P20,P32,P44,P56,P68,P80,P92,P104,P116,P128),+IF(P$19=$B$170,+(EXP((LN(+'4. Customer Growth'!$W$42)/12))*$P139),IF($P$19=$B$171,+$A140*$C$181+$D$181,0)))</f>
        <v>0</v>
      </c>
      <c r="Q140" s="245"/>
      <c r="R140" s="558">
        <f t="shared" si="9"/>
        <v>20787004.536215406</v>
      </c>
      <c r="S140" s="265"/>
      <c r="T140" s="245"/>
      <c r="U140" s="245"/>
      <c r="V140" s="245"/>
      <c r="W140" s="245"/>
      <c r="X140" s="245"/>
      <c r="Y140" s="245"/>
      <c r="Z140" s="245"/>
      <c r="AA140" s="245"/>
      <c r="AB140" s="245"/>
      <c r="AC140" s="245"/>
      <c r="AD140" s="245"/>
      <c r="AE140" s="245"/>
      <c r="AF140" s="245"/>
      <c r="AG140" s="245"/>
      <c r="AH140" s="245"/>
      <c r="AI140" s="245"/>
      <c r="AJ140" s="245"/>
      <c r="AK140" s="245"/>
      <c r="AL140" s="245"/>
      <c r="AM140" s="245"/>
    </row>
    <row r="141" spans="1:39" x14ac:dyDescent="0.2">
      <c r="A141" s="503">
        <f t="shared" si="10"/>
        <v>122</v>
      </c>
      <c r="B141" s="262" t="str">
        <f>CONCATENATE('3. Consumption by Rate Class'!B146,"-",'3. Consumption by Rate Class'!C146)</f>
        <v>2015-February</v>
      </c>
      <c r="C141" s="699"/>
      <c r="D141" s="703"/>
      <c r="E141" s="703"/>
      <c r="F141" s="703"/>
      <c r="G141" s="703"/>
      <c r="H141" s="704"/>
      <c r="I141" s="704"/>
      <c r="J141" s="263"/>
      <c r="K141" s="744">
        <f>IF(K$19=$B$169,+AVERAGE(K21,K33,K45,K57,K69,K81,K93,K105,K117,K129),+IF(K$19=$B$170,+(EXP((LN(+'4. Customer Growth'!$W$42)/12))*$K140),IF($K$19=$B$171,+$A141*$C$176+$D$176,0)))</f>
        <v>730.78</v>
      </c>
      <c r="L141" s="744">
        <f>IF(L$19=$B$169,+AVERAGE(L21,L33,L45,L57,L69,L81,L93,L105,L117,L129),+IF(L$19=$B$170,+(EXP((LN(+'4. Customer Growth'!$W$42)/12))*$K140),IF($L$19=$B$171,+$A141*$C$177+$D$177,0)))</f>
        <v>0</v>
      </c>
      <c r="M141" s="744">
        <f>IF(M$19=$B$169,+AVERAGE(M21,M33,M45,M57,M69,M81,M93,M105,M117,M129),+IF(M$19=$B$170,+(EXP((LN(+'4. Customer Growth'!$W$42)/12))*$K140),IF($M$19=$B$171,+$A141*$C$178+$D$178,0)))</f>
        <v>1</v>
      </c>
      <c r="N141" s="744">
        <f>IF(N$19=$B$169,+AVERAGE(N21,N33,N45,N57,N69,N81,N93,N105,N117,N129),+IF(N$19=$B$170,+(EXP((LN(+'4. Customer Growth'!$W$42)/12))*$K140),IF($N$19=$B$171,+$A141*$C$179+$D$179,0)))</f>
        <v>0</v>
      </c>
      <c r="O141" s="744">
        <f>IF(O$19=$B$169,+AVERAGE(O21,O33,O45,O57,O69,O81,O93,O105,O117,O129),+IF(O$19=$B$170,+(EXP((LN(+'4. Customer Growth'!$W$42)/12))*$O140),IF($O$19=$B$171,+$A141*$C$180+$D$180,0)))</f>
        <v>28.2</v>
      </c>
      <c r="P141" s="744">
        <f>IF(P$19=$B$169,+AVERAGE(P21,P33,P45,P57,P69,P81,P93,P105,P117,P129),+IF(P$19=$B$170,+(EXP((LN(+'4. Customer Growth'!$W$42)/12))*$P140),IF($P$19=$B$171,+$A141*$C$181+$D$181,0)))</f>
        <v>0</v>
      </c>
      <c r="Q141" s="245"/>
      <c r="R141" s="558">
        <f t="shared" si="9"/>
        <v>19277266.141318709</v>
      </c>
      <c r="S141" s="265"/>
      <c r="T141" s="245"/>
      <c r="U141" s="245"/>
      <c r="V141" s="245"/>
      <c r="W141" s="245"/>
      <c r="X141" s="245"/>
      <c r="Y141" s="245"/>
      <c r="Z141" s="245"/>
      <c r="AA141" s="245"/>
      <c r="AB141" s="245"/>
      <c r="AC141" s="245"/>
      <c r="AD141" s="245"/>
      <c r="AE141" s="245"/>
      <c r="AF141" s="245"/>
      <c r="AG141" s="245"/>
      <c r="AH141" s="245"/>
      <c r="AI141" s="245"/>
      <c r="AJ141" s="245"/>
      <c r="AK141" s="245"/>
      <c r="AL141" s="245"/>
      <c r="AM141" s="245"/>
    </row>
    <row r="142" spans="1:39" x14ac:dyDescent="0.2">
      <c r="A142" s="503">
        <f t="shared" si="10"/>
        <v>123</v>
      </c>
      <c r="B142" s="262" t="str">
        <f>CONCATENATE('3. Consumption by Rate Class'!B147,"-",'3. Consumption by Rate Class'!C147)</f>
        <v>2015-March</v>
      </c>
      <c r="C142" s="699"/>
      <c r="D142" s="703"/>
      <c r="E142" s="703"/>
      <c r="F142" s="703"/>
      <c r="G142" s="703"/>
      <c r="H142" s="704"/>
      <c r="I142" s="704"/>
      <c r="J142" s="263"/>
      <c r="K142" s="744">
        <f>IF(K$19=$B$169,+AVERAGE(K22,K34,K46,K58,K70,K82,K94,K106,K118,K130),+IF(K$19=$B$170,+(EXP((LN(+'4. Customer Growth'!$W$42)/12))*$K141),IF($K$19=$B$171,+$A142*$C$176+$D$176,0)))</f>
        <v>615.04000000000008</v>
      </c>
      <c r="L142" s="744">
        <f>IF(L$19=$B$169,+AVERAGE(L22,L34,L46,L58,L70,L82,L94,L106,L118,L130),+IF(L$19=$B$170,+(EXP((LN(+'4. Customer Growth'!$W$42)/12))*$K141),IF($L$19=$B$171,+$A142*$C$177+$D$177,0)))</f>
        <v>0</v>
      </c>
      <c r="M142" s="744">
        <f>IF(M$19=$B$169,+AVERAGE(M22,M34,M46,M58,M70,M82,M94,M106,M118,M130),+IF(M$19=$B$170,+(EXP((LN(+'4. Customer Growth'!$W$42)/12))*$K141),IF($M$19=$B$171,+$A142*$C$178+$D$178,0)))</f>
        <v>0</v>
      </c>
      <c r="N142" s="744">
        <f>IF(N$19=$B$169,+AVERAGE(N22,N34,N46,N58,N70,N82,N94,N106,N118,N130),+IF(N$19=$B$170,+(EXP((LN(+'4. Customer Growth'!$W$42)/12))*$K141),IF($N$19=$B$171,+$A142*$C$179+$D$179,0)))</f>
        <v>1</v>
      </c>
      <c r="O142" s="744">
        <f>IF(O$19=$B$169,+AVERAGE(O22,O34,O46,O58,O70,O82,O94,O106,O118,O130),+IF(O$19=$B$170,+(EXP((LN(+'4. Customer Growth'!$W$42)/12))*$O141),IF($O$19=$B$171,+$A142*$C$180+$D$180,0)))</f>
        <v>31</v>
      </c>
      <c r="P142" s="744">
        <f>IF(P$19=$B$169,+AVERAGE(P22,P34,P46,P58,P70,P82,P94,P106,P118,P130),+IF(P$19=$B$170,+(EXP((LN(+'4. Customer Growth'!$W$42)/12))*$P141),IF($P$19=$B$171,+$A142*$C$181+$D$181,0)))</f>
        <v>0</v>
      </c>
      <c r="Q142" s="245"/>
      <c r="R142" s="558">
        <f t="shared" si="9"/>
        <v>17680326.425443072</v>
      </c>
      <c r="S142" s="265"/>
      <c r="T142" s="245"/>
      <c r="U142" s="245"/>
      <c r="V142" s="245"/>
      <c r="W142" s="245"/>
      <c r="X142" s="245"/>
      <c r="Y142" s="245"/>
      <c r="Z142" s="245"/>
      <c r="AA142" s="245"/>
      <c r="AB142" s="245"/>
      <c r="AC142" s="245"/>
      <c r="AD142" s="245"/>
      <c r="AE142" s="245"/>
      <c r="AF142" s="245"/>
      <c r="AG142" s="245"/>
      <c r="AH142" s="245"/>
      <c r="AI142" s="245"/>
      <c r="AJ142" s="245"/>
      <c r="AK142" s="245"/>
      <c r="AL142" s="245"/>
      <c r="AM142" s="245"/>
    </row>
    <row r="143" spans="1:39" x14ac:dyDescent="0.2">
      <c r="A143" s="503">
        <f t="shared" si="10"/>
        <v>124</v>
      </c>
      <c r="B143" s="262" t="str">
        <f>CONCATENATE('3. Consumption by Rate Class'!B148,"-",'3. Consumption by Rate Class'!C148)</f>
        <v>2015-April</v>
      </c>
      <c r="C143" s="699"/>
      <c r="D143" s="703"/>
      <c r="E143" s="703"/>
      <c r="F143" s="703"/>
      <c r="G143" s="703"/>
      <c r="H143" s="704"/>
      <c r="I143" s="704"/>
      <c r="J143" s="263"/>
      <c r="K143" s="744">
        <f>IF(K$19=$B$169,+AVERAGE(K23,K35,K47,K59,K71,K83,K95,K107,K119,K131),+IF(K$19=$B$170,+(EXP((LN(+'4. Customer Growth'!$W$42)/12))*$K142),IF($K$19=$B$171,+$A143*$C$176+$D$176,0)))</f>
        <v>327.99000000000007</v>
      </c>
      <c r="L143" s="744">
        <f>IF(L$19=$B$169,+AVERAGE(L23,L35,L47,L59,L71,L83,L95,L107,L119,L131),+IF(L$19=$B$170,+(EXP((LN(+'4. Customer Growth'!$W$42)/12))*$K142),IF($L$19=$B$171,+$A143*$C$177+$D$177,0)))</f>
        <v>0.73</v>
      </c>
      <c r="M143" s="744">
        <f>IF(M$19=$B$169,+AVERAGE(M23,M35,M47,M59,M71,M83,M95,M107,M119,M131),+IF(M$19=$B$170,+(EXP((LN(+'4. Customer Growth'!$W$42)/12))*$K142),IF($M$19=$B$171,+$A143*$C$178+$D$178,0)))</f>
        <v>0</v>
      </c>
      <c r="N143" s="744">
        <f>IF(N$19=$B$169,+AVERAGE(N23,N35,N47,N59,N71,N83,N95,N107,N119,N131),+IF(N$19=$B$170,+(EXP((LN(+'4. Customer Growth'!$W$42)/12))*$K142),IF($N$19=$B$171,+$A143*$C$179+$D$179,0)))</f>
        <v>0</v>
      </c>
      <c r="O143" s="744">
        <f>IF(O$19=$B$169,+AVERAGE(O23,O35,O47,O59,O71,O83,O95,O107,O119,O131),+IF(O$19=$B$170,+(EXP((LN(+'4. Customer Growth'!$W$42)/12))*$O142),IF($O$19=$B$171,+$A143*$C$180+$D$180,0)))</f>
        <v>30</v>
      </c>
      <c r="P143" s="744">
        <f>IF(P$19=$B$169,+AVERAGE(P23,P35,P47,P59,P71,P83,P95,P107,P119,P131),+IF(P$19=$B$170,+(EXP((LN(+'4. Customer Growth'!$W$42)/12))*$P142),IF($P$19=$B$171,+$A143*$C$181+$D$181,0)))</f>
        <v>0</v>
      </c>
      <c r="Q143" s="245"/>
      <c r="R143" s="558">
        <f t="shared" si="9"/>
        <v>15325156.626214171</v>
      </c>
      <c r="S143" s="265"/>
      <c r="T143" s="245"/>
      <c r="U143" s="245"/>
      <c r="V143" s="245"/>
      <c r="W143" s="245"/>
      <c r="X143" s="245"/>
      <c r="Y143" s="245"/>
      <c r="Z143" s="245"/>
      <c r="AA143" s="245"/>
      <c r="AB143" s="245"/>
      <c r="AC143" s="245"/>
      <c r="AD143" s="245"/>
      <c r="AE143" s="245"/>
      <c r="AF143" s="245"/>
      <c r="AG143" s="245"/>
      <c r="AH143" s="245"/>
      <c r="AI143" s="245"/>
      <c r="AJ143" s="245"/>
      <c r="AK143" s="245"/>
      <c r="AL143" s="245"/>
      <c r="AM143" s="245"/>
    </row>
    <row r="144" spans="1:39" x14ac:dyDescent="0.2">
      <c r="A144" s="503">
        <f t="shared" si="10"/>
        <v>125</v>
      </c>
      <c r="B144" s="262" t="str">
        <f>CONCATENATE('3. Consumption by Rate Class'!B149,"-",'3. Consumption by Rate Class'!C149)</f>
        <v>2015-May</v>
      </c>
      <c r="C144" s="699"/>
      <c r="D144" s="703"/>
      <c r="E144" s="703"/>
      <c r="F144" s="703"/>
      <c r="G144" s="703"/>
      <c r="H144" s="704"/>
      <c r="I144" s="704"/>
      <c r="J144" s="263"/>
      <c r="K144" s="744">
        <f>IF(K$19=$B$169,+AVERAGE(K24,K36,K48,K60,K72,K84,K96,K108,K120,K132),+IF(K$19=$B$170,+(EXP((LN(+'4. Customer Growth'!$W$42)/12))*$K143),IF($K$19=$B$171,+$A144*$C$176+$D$176,0)))</f>
        <v>144.16</v>
      </c>
      <c r="L144" s="744">
        <f>IF(L$19=$B$169,+AVERAGE(L24,L36,L48,L60,L72,L84,L96,L108,L120,L132),+IF(L$19=$B$170,+(EXP((LN(+'4. Customer Growth'!$W$42)/12))*$K143),IF($L$19=$B$171,+$A144*$C$177+$D$177,0)))</f>
        <v>13.930000000000001</v>
      </c>
      <c r="M144" s="744">
        <f>IF(M$19=$B$169,+AVERAGE(M24,M36,M48,M60,M72,M84,M96,M108,M120,M132),+IF(M$19=$B$170,+(EXP((LN(+'4. Customer Growth'!$W$42)/12))*$K143),IF($M$19=$B$171,+$A144*$C$178+$D$178,0)))</f>
        <v>0</v>
      </c>
      <c r="N144" s="744">
        <f>IF(N$19=$B$169,+AVERAGE(N24,N36,N48,N60,N72,N84,N96,N108,N120,N132),+IF(N$19=$B$170,+(EXP((LN(+'4. Customer Growth'!$W$42)/12))*$K143),IF($N$19=$B$171,+$A144*$C$179+$D$179,0)))</f>
        <v>0</v>
      </c>
      <c r="O144" s="744">
        <f>IF(O$19=$B$169,+AVERAGE(O24,O36,O48,O60,O72,O84,O96,O108,O120,O132),+IF(O$19=$B$170,+(EXP((LN(+'4. Customer Growth'!$W$42)/12))*$O143),IF($O$19=$B$171,+$A144*$C$180+$D$180,0)))</f>
        <v>31</v>
      </c>
      <c r="P144" s="744">
        <f>IF(P$19=$B$169,+AVERAGE(P24,P36,P48,P60,P72,P84,P96,P108,P120,P132),+IF(P$19=$B$170,+(EXP((LN(+'4. Customer Growth'!$W$42)/12))*$P143),IF($P$19=$B$171,+$A144*$C$181+$D$181,0)))</f>
        <v>0</v>
      </c>
      <c r="Q144" s="245"/>
      <c r="R144" s="558">
        <f t="shared" si="9"/>
        <v>14586322.934552673</v>
      </c>
      <c r="S144" s="265"/>
      <c r="T144" s="245"/>
      <c r="U144" s="245"/>
      <c r="V144" s="245"/>
      <c r="W144" s="245"/>
      <c r="X144" s="245"/>
      <c r="Y144" s="245"/>
      <c r="Z144" s="245"/>
      <c r="AA144" s="245"/>
      <c r="AB144" s="245"/>
      <c r="AC144" s="245"/>
      <c r="AD144" s="245"/>
      <c r="AE144" s="245"/>
      <c r="AF144" s="245"/>
      <c r="AG144" s="245"/>
      <c r="AH144" s="245"/>
      <c r="AI144" s="245"/>
      <c r="AJ144" s="245"/>
      <c r="AK144" s="245"/>
      <c r="AL144" s="245"/>
      <c r="AM144" s="245"/>
    </row>
    <row r="145" spans="1:39" x14ac:dyDescent="0.2">
      <c r="A145" s="503">
        <f t="shared" si="10"/>
        <v>126</v>
      </c>
      <c r="B145" s="262" t="str">
        <f>CONCATENATE('3. Consumption by Rate Class'!B150,"-",'3. Consumption by Rate Class'!C150)</f>
        <v>2015-June</v>
      </c>
      <c r="C145" s="699"/>
      <c r="D145" s="703"/>
      <c r="E145" s="703"/>
      <c r="F145" s="703"/>
      <c r="G145" s="703"/>
      <c r="H145" s="704"/>
      <c r="I145" s="704"/>
      <c r="J145" s="263"/>
      <c r="K145" s="744">
        <f>IF(K$19=$B$169,+AVERAGE(K25,K37,K49,K61,K73,K85,K97,K109,K121,K133),+IF(K$19=$B$170,+(EXP((LN(+'4. Customer Growth'!$W$42)/12))*$K144),IF($K$19=$B$171,+$A145*$C$176+$D$176,0)))</f>
        <v>31.26</v>
      </c>
      <c r="L145" s="744">
        <f>IF(L$19=$B$169,+AVERAGE(L25,L37,L49,L61,L73,L85,L97,L109,L121,L133),+IF(L$19=$B$170,+(EXP((LN(+'4. Customer Growth'!$W$42)/12))*$K144),IF($L$19=$B$171,+$A145*$C$177+$D$177,0)))</f>
        <v>58.929999999999993</v>
      </c>
      <c r="M145" s="744">
        <f>IF(M$19=$B$169,+AVERAGE(M25,M37,M49,M61,M73,M85,M97,M109,M121,M133),+IF(M$19=$B$170,+(EXP((LN(+'4. Customer Growth'!$W$42)/12))*$K144),IF($M$19=$B$171,+$A145*$C$178+$D$178,0)))</f>
        <v>0</v>
      </c>
      <c r="N145" s="744">
        <f>IF(N$19=$B$169,+AVERAGE(N25,N37,N49,N61,N73,N85,N97,N109,N121,N133),+IF(N$19=$B$170,+(EXP((LN(+'4. Customer Growth'!$W$42)/12))*$K144),IF($N$19=$B$171,+$A145*$C$179+$D$179,0)))</f>
        <v>0</v>
      </c>
      <c r="O145" s="744">
        <f>IF(O$19=$B$169,+AVERAGE(O25,O37,O49,O61,O73,O85,O97,O109,O121,O133),+IF(O$19=$B$170,+(EXP((LN(+'4. Customer Growth'!$W$42)/12))*$O144),IF($O$19=$B$171,+$A145*$C$180+$D$180,0)))</f>
        <v>30</v>
      </c>
      <c r="P145" s="744">
        <f>IF(P$19=$B$169,+AVERAGE(P25,P37,P49,P61,P73,P85,P97,P109,P121,P133),+IF(P$19=$B$170,+(EXP((LN(+'4. Customer Growth'!$W$42)/12))*$P144),IF($P$19=$B$171,+$A145*$C$181+$D$181,0)))</f>
        <v>0</v>
      </c>
      <c r="Q145" s="245"/>
      <c r="R145" s="558">
        <f t="shared" si="9"/>
        <v>14775678.757042361</v>
      </c>
      <c r="S145" s="265"/>
      <c r="T145" s="245"/>
      <c r="U145" s="245"/>
      <c r="V145" s="245"/>
      <c r="W145" s="245"/>
      <c r="X145" s="276"/>
      <c r="Y145" s="245"/>
      <c r="Z145" s="245"/>
      <c r="AA145" s="245"/>
      <c r="AB145" s="245"/>
      <c r="AC145" s="245"/>
      <c r="AD145" s="245"/>
      <c r="AE145" s="245"/>
      <c r="AF145" s="245"/>
      <c r="AG145" s="245"/>
      <c r="AH145" s="245"/>
      <c r="AI145" s="245"/>
      <c r="AJ145" s="245"/>
      <c r="AK145" s="245"/>
      <c r="AL145" s="245"/>
      <c r="AM145" s="245"/>
    </row>
    <row r="146" spans="1:39" x14ac:dyDescent="0.2">
      <c r="A146" s="503">
        <f t="shared" si="10"/>
        <v>127</v>
      </c>
      <c r="B146" s="262" t="str">
        <f>CONCATENATE('3. Consumption by Rate Class'!B151,"-",'3. Consumption by Rate Class'!C151)</f>
        <v>2015-July</v>
      </c>
      <c r="C146" s="699"/>
      <c r="D146" s="703"/>
      <c r="E146" s="703"/>
      <c r="F146" s="703"/>
      <c r="G146" s="703"/>
      <c r="H146" s="704"/>
      <c r="I146" s="704"/>
      <c r="J146" s="263"/>
      <c r="K146" s="744">
        <f>IF(K$19=$B$169,+AVERAGE(K26,K38,K50,K62,K74,K86,K98,K110,K122,K134),+IF(K$19=$B$170,+(EXP((LN(+'4. Customer Growth'!$W$42)/12))*$K145),IF($K$19=$B$171,+$A146*$C$176+$D$176,0)))</f>
        <v>4.83</v>
      </c>
      <c r="L146" s="744">
        <f>IF(L$19=$B$169,+AVERAGE(L26,L38,L50,L62,L74,L86,L98,L110,L122,L134),+IF(L$19=$B$170,+(EXP((LN(+'4. Customer Growth'!$W$42)/12))*$K145),IF($L$19=$B$171,+$A146*$C$177+$D$177,0)))</f>
        <v>105.05</v>
      </c>
      <c r="M146" s="744">
        <f>IF(M$19=$B$169,+AVERAGE(M26,M38,M50,M62,M74,M86,M98,M110,M122,M134),+IF(M$19=$B$170,+(EXP((LN(+'4. Customer Growth'!$W$42)/12))*$K145),IF($M$19=$B$171,+$A146*$C$178+$D$178,0)))</f>
        <v>0</v>
      </c>
      <c r="N146" s="744">
        <f>IF(N$19=$B$169,+AVERAGE(N26,N38,N50,N62,N74,N86,N98,N110,N122,N134),+IF(N$19=$B$170,+(EXP((LN(+'4. Customer Growth'!$W$42)/12))*$K145),IF($N$19=$B$171,+$A146*$C$179+$D$179,0)))</f>
        <v>1</v>
      </c>
      <c r="O146" s="744">
        <f>IF(O$19=$B$169,+AVERAGE(O26,O38,O50,O62,O74,O86,O98,O110,O122,O134),+IF(O$19=$B$170,+(EXP((LN(+'4. Customer Growth'!$W$42)/12))*$O145),IF($O$19=$B$171,+$A146*$C$180+$D$180,0)))</f>
        <v>31</v>
      </c>
      <c r="P146" s="744">
        <f>IF(P$19=$B$169,+AVERAGE(P26,P38,P50,P62,P74,P86,P98,P110,P122,P134),+IF(P$19=$B$170,+(EXP((LN(+'4. Customer Growth'!$W$42)/12))*$P145),IF($P$19=$B$171,+$A146*$C$181+$D$181,0)))</f>
        <v>0</v>
      </c>
      <c r="Q146" s="245"/>
      <c r="R146" s="558">
        <f t="shared" si="9"/>
        <v>16200829.458815571</v>
      </c>
      <c r="S146" s="265"/>
      <c r="T146" s="245"/>
      <c r="U146" s="245"/>
      <c r="V146" s="245"/>
      <c r="W146" s="245"/>
      <c r="X146" s="245"/>
      <c r="Y146" s="245"/>
      <c r="Z146" s="245"/>
      <c r="AA146" s="245"/>
      <c r="AB146" s="245"/>
      <c r="AC146" s="245"/>
      <c r="AD146" s="245"/>
      <c r="AE146" s="245"/>
      <c r="AF146" s="245"/>
      <c r="AG146" s="245"/>
      <c r="AH146" s="245"/>
      <c r="AI146" s="245"/>
      <c r="AJ146" s="245"/>
      <c r="AK146" s="245"/>
      <c r="AL146" s="245"/>
      <c r="AM146" s="245"/>
    </row>
    <row r="147" spans="1:39" x14ac:dyDescent="0.2">
      <c r="A147" s="503">
        <f t="shared" si="10"/>
        <v>128</v>
      </c>
      <c r="B147" s="262" t="str">
        <f>CONCATENATE('3. Consumption by Rate Class'!B152,"-",'3. Consumption by Rate Class'!C152)</f>
        <v>2015-August</v>
      </c>
      <c r="C147" s="699"/>
      <c r="D147" s="703"/>
      <c r="E147" s="703"/>
      <c r="F147" s="703"/>
      <c r="G147" s="703"/>
      <c r="H147" s="704"/>
      <c r="I147" s="704"/>
      <c r="J147" s="263"/>
      <c r="K147" s="744">
        <f>IF(K$19=$B$169,+AVERAGE(K27,K39,K51,K63,K75,K87,K99,K111,K123,K135),+IF(K$19=$B$170,+(EXP((LN(+'4. Customer Growth'!$W$42)/12))*$K146),IF($K$19=$B$171,+$A147*$C$176+$D$176,0)))</f>
        <v>14.74</v>
      </c>
      <c r="L147" s="744">
        <f>IF(L$19=$B$169,+AVERAGE(L27,L39,L51,L63,L75,L87,L99,L111,L123,L135),+IF(L$19=$B$170,+(EXP((LN(+'4. Customer Growth'!$W$42)/12))*$K146),IF($L$19=$B$171,+$A147*$C$177+$D$177,0)))</f>
        <v>78.03</v>
      </c>
      <c r="M147" s="744">
        <f>IF(M$19=$B$169,+AVERAGE(M27,M39,M51,M63,M75,M87,M99,M111,M123,M135),+IF(M$19=$B$170,+(EXP((LN(+'4. Customer Growth'!$W$42)/12))*$K146),IF($M$19=$B$171,+$A147*$C$178+$D$178,0)))</f>
        <v>0</v>
      </c>
      <c r="N147" s="744">
        <f>IF(N$19=$B$169,+AVERAGE(N27,N39,N51,N63,N75,N87,N99,N111,N123,N135),+IF(N$19=$B$170,+(EXP((LN(+'4. Customer Growth'!$W$42)/12))*$K146),IF($N$19=$B$171,+$A147*$C$179+$D$179,0)))</f>
        <v>0</v>
      </c>
      <c r="O147" s="744">
        <f>IF(O$19=$B$169,+AVERAGE(O27,O39,O51,O63,O75,O87,O99,O111,O123,O135),+IF(O$19=$B$170,+(EXP((LN(+'4. Customer Growth'!$W$42)/12))*$O146),IF($O$19=$B$171,+$A147*$C$180+$D$180,0)))</f>
        <v>31</v>
      </c>
      <c r="P147" s="744">
        <f>IF(P$19=$B$169,+AVERAGE(P27,P39,P51,P63,P75,P87,P99,P111,P123,P135),+IF(P$19=$B$170,+(EXP((LN(+'4. Customer Growth'!$W$42)/12))*$P146),IF($P$19=$B$171,+$A147*$C$181+$D$181,0)))</f>
        <v>0</v>
      </c>
      <c r="Q147" s="245"/>
      <c r="R147" s="558">
        <f t="shared" si="9"/>
        <v>15271286.662330933</v>
      </c>
      <c r="S147" s="265"/>
      <c r="T147" s="245"/>
      <c r="U147" s="245"/>
      <c r="V147" s="245"/>
      <c r="W147" s="245"/>
      <c r="X147" s="245"/>
      <c r="Y147" s="245"/>
      <c r="Z147" s="245"/>
      <c r="AA147" s="245"/>
      <c r="AB147" s="245"/>
      <c r="AC147" s="245"/>
      <c r="AD147" s="245"/>
      <c r="AE147" s="245"/>
      <c r="AF147" s="245"/>
      <c r="AG147" s="245"/>
      <c r="AH147" s="245"/>
      <c r="AI147" s="245"/>
      <c r="AJ147" s="245"/>
      <c r="AK147" s="245"/>
      <c r="AL147" s="245"/>
      <c r="AM147" s="245"/>
    </row>
    <row r="148" spans="1:39" x14ac:dyDescent="0.2">
      <c r="A148" s="503">
        <f t="shared" si="10"/>
        <v>129</v>
      </c>
      <c r="B148" s="262" t="str">
        <f>CONCATENATE('3. Consumption by Rate Class'!B153,"-",'3. Consumption by Rate Class'!C153)</f>
        <v>2015-September</v>
      </c>
      <c r="C148" s="699"/>
      <c r="D148" s="703"/>
      <c r="E148" s="703"/>
      <c r="F148" s="703"/>
      <c r="G148" s="703"/>
      <c r="H148" s="704"/>
      <c r="I148" s="704"/>
      <c r="J148" s="263"/>
      <c r="K148" s="744">
        <f>IF(K$19=$B$169,+AVERAGE(K28,K40,K52,K64,K76,K88,K100,K112,K124,K136),+IF(K$19=$B$170,+(EXP((LN(+'4. Customer Growth'!$W$42)/12))*$K147),IF($K$19=$B$171,+$A148*$C$176+$D$176,0)))</f>
        <v>99.63</v>
      </c>
      <c r="L148" s="744">
        <f>IF(L$19=$B$169,+AVERAGE(L28,L40,L52,L64,L76,L88,L100,L112,L124,L136),+IF(L$19=$B$170,+(EXP((LN(+'4. Customer Growth'!$W$42)/12))*$K147),IF($L$19=$B$171,+$A148*$C$177+$D$177,0)))</f>
        <v>20.549999999999997</v>
      </c>
      <c r="M148" s="744">
        <f>IF(M$19=$B$169,+AVERAGE(M28,M40,M52,M64,M76,M88,M100,M112,M124,M136),+IF(M$19=$B$170,+(EXP((LN(+'4. Customer Growth'!$W$42)/12))*$K147),IF($M$19=$B$171,+$A148*$C$178+$D$178,0)))</f>
        <v>0</v>
      </c>
      <c r="N148" s="744">
        <f>IF(N$19=$B$169,+AVERAGE(N28,N40,N52,N64,N76,N88,N100,N112,N124,N136),+IF(N$19=$B$170,+(EXP((LN(+'4. Customer Growth'!$W$42)/12))*$K147),IF($N$19=$B$171,+$A148*$C$179+$D$179,0)))</f>
        <v>0</v>
      </c>
      <c r="O148" s="744">
        <f>IF(O$19=$B$169,+AVERAGE(O28,O40,O52,O64,O76,O88,O100,O112,O124,O136),+IF(O$19=$B$170,+(EXP((LN(+'4. Customer Growth'!$W$42)/12))*$O147),IF($O$19=$B$171,+$A148*$C$180+$D$180,0)))</f>
        <v>30</v>
      </c>
      <c r="P148" s="744">
        <f>IF(P$19=$B$169,+AVERAGE(P28,P40,P52,P64,P76,P88,P100,P112,P124,P136),+IF(P$19=$B$170,+(EXP((LN(+'4. Customer Growth'!$W$42)/12))*$P147),IF($P$19=$B$171,+$A148*$C$181+$D$181,0)))</f>
        <v>0</v>
      </c>
      <c r="Q148" s="245"/>
      <c r="R148" s="558">
        <f t="shared" si="9"/>
        <v>14305944.045606649</v>
      </c>
      <c r="S148" s="265"/>
      <c r="T148" s="245"/>
      <c r="U148" s="245"/>
      <c r="V148" s="245"/>
      <c r="W148" s="245"/>
      <c r="X148" s="245"/>
      <c r="Y148" s="245"/>
      <c r="Z148" s="245"/>
      <c r="AA148" s="245"/>
      <c r="AB148" s="245"/>
      <c r="AC148" s="245"/>
      <c r="AD148" s="245"/>
      <c r="AE148" s="245"/>
      <c r="AF148" s="245"/>
      <c r="AG148" s="245"/>
      <c r="AH148" s="245"/>
      <c r="AI148" s="245"/>
      <c r="AJ148" s="245"/>
      <c r="AK148" s="245"/>
      <c r="AL148" s="245"/>
      <c r="AM148" s="245"/>
    </row>
    <row r="149" spans="1:39" x14ac:dyDescent="0.2">
      <c r="A149" s="503">
        <f t="shared" si="10"/>
        <v>130</v>
      </c>
      <c r="B149" s="262" t="str">
        <f>CONCATENATE('3. Consumption by Rate Class'!B154,"-",'3. Consumption by Rate Class'!C154)</f>
        <v>2015-October</v>
      </c>
      <c r="C149" s="699"/>
      <c r="D149" s="703"/>
      <c r="E149" s="703"/>
      <c r="F149" s="703"/>
      <c r="G149" s="703"/>
      <c r="H149" s="704"/>
      <c r="I149" s="704"/>
      <c r="J149" s="263"/>
      <c r="K149" s="744">
        <f>IF(K$19=$B$169,+AVERAGE(K29,K41,K53,K65,K77,K89,K101,K113,K125,K137),+IF(K$19=$B$170,+(EXP((LN(+'4. Customer Growth'!$W$42)/12))*$K148),IF($K$19=$B$171,+$A149*$C$176+$D$176,0)))</f>
        <v>281.71000000000004</v>
      </c>
      <c r="L149" s="744">
        <f>IF(L$19=$B$169,+AVERAGE(L29,L41,L53,L65,L77,L89,L101,L113,L125,L137),+IF(L$19=$B$170,+(EXP((LN(+'4. Customer Growth'!$W$42)/12))*$K148),IF($L$19=$B$171,+$A149*$C$177+$D$177,0)))</f>
        <v>1.35</v>
      </c>
      <c r="M149" s="744">
        <f>IF(M$19=$B$169,+AVERAGE(M29,M41,M53,M65,M77,M89,M101,M113,M125,M137),+IF(M$19=$B$170,+(EXP((LN(+'4. Customer Growth'!$W$42)/12))*$K148),IF($M$19=$B$171,+$A149*$C$178+$D$178,0)))</f>
        <v>0</v>
      </c>
      <c r="N149" s="744">
        <f>IF(N$19=$B$169,+AVERAGE(N29,N41,N53,N65,N77,N89,N101,N113,N125,N137),+IF(N$19=$B$170,+(EXP((LN(+'4. Customer Growth'!$W$42)/12))*$K148),IF($N$19=$B$171,+$A149*$C$179+$D$179,0)))</f>
        <v>0</v>
      </c>
      <c r="O149" s="744">
        <f>IF(O$19=$B$169,+AVERAGE(O29,O41,O53,O65,O77,O89,O101,O113,O125,O137),+IF(O$19=$B$170,+(EXP((LN(+'4. Customer Growth'!$W$42)/12))*$O148),IF($O$19=$B$171,+$A149*$C$180+$D$180,0)))</f>
        <v>31</v>
      </c>
      <c r="P149" s="744">
        <f>IF(P$19=$B$169,+AVERAGE(P29,P41,P53,P65,P77,P89,P101,P113,P125,P137),+IF(P$19=$B$170,+(EXP((LN(+'4. Customer Growth'!$W$42)/12))*$P148),IF($P$19=$B$171,+$A149*$C$181+$D$181,0)))</f>
        <v>0</v>
      </c>
      <c r="Q149" s="245"/>
      <c r="R149" s="558">
        <f t="shared" ref="R149:R163" si="11">$V$34+(K149*$V$35)+(L149*$V$36)+(M149*$V$37)+(N149*$V$38)+(O149*$V$39)</f>
        <v>15184909.721275851</v>
      </c>
      <c r="S149" s="265"/>
      <c r="T149" s="245"/>
      <c r="U149" s="245"/>
      <c r="V149" s="245"/>
      <c r="W149" s="245"/>
      <c r="X149" s="245"/>
      <c r="Y149" s="245"/>
      <c r="Z149" s="245"/>
      <c r="AA149" s="245"/>
      <c r="AB149" s="245"/>
      <c r="AC149" s="245"/>
      <c r="AD149" s="245"/>
      <c r="AE149" s="245"/>
      <c r="AF149" s="245"/>
      <c r="AG149" s="245"/>
      <c r="AH149" s="245"/>
      <c r="AI149" s="245"/>
      <c r="AJ149" s="245"/>
      <c r="AK149" s="245"/>
      <c r="AL149" s="245"/>
      <c r="AM149" s="245"/>
    </row>
    <row r="150" spans="1:39" x14ac:dyDescent="0.2">
      <c r="A150" s="503">
        <f t="shared" ref="A150:A163" si="12">+A149+1</f>
        <v>131</v>
      </c>
      <c r="B150" s="262" t="str">
        <f>CONCATENATE('3. Consumption by Rate Class'!B155,"-",'3. Consumption by Rate Class'!C155)</f>
        <v>2015-November</v>
      </c>
      <c r="C150" s="699"/>
      <c r="D150" s="703"/>
      <c r="E150" s="703"/>
      <c r="F150" s="703"/>
      <c r="G150" s="703"/>
      <c r="H150" s="704"/>
      <c r="I150" s="704"/>
      <c r="J150" s="263"/>
      <c r="K150" s="744">
        <f>IF(K$19=$B$169,+AVERAGE(K30,K42,K54,K66,K78,K90,K102,K114,K126,K138),+IF(K$19=$B$170,+(EXP((LN(+'4. Customer Growth'!$W$42)/12))*$K149),IF($K$19=$B$171,+$A150*$C$176+$D$176,0)))</f>
        <v>483.63</v>
      </c>
      <c r="L150" s="744">
        <f>IF(L$19=$B$169,+AVERAGE(L30,L42,L54,L66,L78,L90,L102,L114,L126,L138),+IF(L$19=$B$170,+(EXP((LN(+'4. Customer Growth'!$W$42)/12))*$K149),IF($L$19=$B$171,+$A150*$C$177+$D$177,0)))</f>
        <v>0</v>
      </c>
      <c r="M150" s="744">
        <f>IF(M$19=$B$169,+AVERAGE(M30,M42,M54,M66,M78,M90,M102,M114,M126,M138),+IF(M$19=$B$170,+(EXP((LN(+'4. Customer Growth'!$W$42)/12))*$K149),IF($M$19=$B$171,+$A150*$C$178+$D$178,0)))</f>
        <v>0</v>
      </c>
      <c r="N150" s="744">
        <f>IF(N$19=$B$169,+AVERAGE(N30,N42,N54,N66,N78,N90,N102,N114,N126,N138),+IF(N$19=$B$170,+(EXP((LN(+'4. Customer Growth'!$W$42)/12))*$K149),IF($N$19=$B$171,+$A150*$C$179+$D$179,0)))</f>
        <v>0</v>
      </c>
      <c r="O150" s="744">
        <f>IF(O$19=$B$169,+AVERAGE(O30,O42,O54,O66,O78,O90,O102,O114,O126,O138),+IF(O$19=$B$170,+(EXP((LN(+'4. Customer Growth'!$W$42)/12))*$O149),IF($O$19=$B$171,+$A150*$C$180+$D$180,0)))</f>
        <v>30</v>
      </c>
      <c r="P150" s="744">
        <f>IF(P$19=$B$169,+AVERAGE(P30,P42,P54,P66,P78,P90,P102,P114,P126,P138),+IF(P$19=$B$170,+(EXP((LN(+'4. Customer Growth'!$W$42)/12))*$P149),IF($P$19=$B$171,+$A150*$C$181+$D$181,0)))</f>
        <v>0</v>
      </c>
      <c r="Q150" s="245"/>
      <c r="R150" s="558">
        <f t="shared" si="11"/>
        <v>16324983.986231692</v>
      </c>
      <c r="S150" s="265"/>
      <c r="T150" s="245"/>
      <c r="U150" s="245"/>
      <c r="V150" s="245"/>
      <c r="W150" s="245"/>
      <c r="X150" s="245"/>
      <c r="Y150" s="245"/>
      <c r="Z150" s="245"/>
      <c r="AA150" s="245"/>
      <c r="AB150" s="245"/>
      <c r="AC150" s="245"/>
      <c r="AD150" s="245"/>
      <c r="AE150" s="245"/>
      <c r="AF150" s="245"/>
      <c r="AG150" s="245"/>
      <c r="AH150" s="245"/>
      <c r="AI150" s="245"/>
      <c r="AJ150" s="245"/>
      <c r="AK150" s="245"/>
      <c r="AL150" s="245"/>
      <c r="AM150" s="245"/>
    </row>
    <row r="151" spans="1:39" x14ac:dyDescent="0.2">
      <c r="A151" s="503">
        <f t="shared" si="12"/>
        <v>132</v>
      </c>
      <c r="B151" s="522" t="str">
        <f>CONCATENATE('3. Consumption by Rate Class'!B156,"-",'3. Consumption by Rate Class'!C156)</f>
        <v>2015-December</v>
      </c>
      <c r="C151" s="698"/>
      <c r="D151" s="705"/>
      <c r="E151" s="705"/>
      <c r="F151" s="705"/>
      <c r="G151" s="705"/>
      <c r="H151" s="706"/>
      <c r="I151" s="706"/>
      <c r="J151" s="263"/>
      <c r="K151" s="744">
        <f>IF(K$19=$B$169,+AVERAGE(K31,K43,K55,K67,K79,K91,K103,K115,K127,K139),+IF(K$19=$B$170,+(EXP((LN(+'4. Customer Growth'!$W$42)/12))*$K150),IF($K$19=$B$171,+$A151*$C$176+$D$176,0)))</f>
        <v>693.87999999999988</v>
      </c>
      <c r="L151" s="744">
        <f>IF(L$19=$B$169,+AVERAGE(L31,L43,L55,L67,L79,L91,L103,L115,L127,L139),+IF(L$19=$B$170,+(EXP((LN(+'4. Customer Growth'!$W$42)/12))*$K150),IF($L$19=$B$171,+$A151*$C$177+$D$177,0)))</f>
        <v>0</v>
      </c>
      <c r="M151" s="744">
        <f>IF(M$19=$B$169,+AVERAGE(M31,M43,M55,M67,M79,M91,M103,M115,M127,M139),+IF(M$19=$B$170,+(EXP((LN(+'4. Customer Growth'!$W$42)/12))*$K150),IF($M$19=$B$171,+$A151*$C$178+$D$178,0)))</f>
        <v>1</v>
      </c>
      <c r="N151" s="744">
        <f>IF(N$19=$B$169,+AVERAGE(N31,N43,N55,N67,N79,N91,N103,N115,N127,N139),+IF(N$19=$B$170,+(EXP((LN(+'4. Customer Growth'!$W$42)/12))*$K150),IF($N$19=$B$171,+$A151*$C$179+$D$179,0)))</f>
        <v>1</v>
      </c>
      <c r="O151" s="744">
        <f>IF(O$19=$B$169,+AVERAGE(O31,O43,O55,O67,O79,O91,O103,O115,O127,O139),+IF(O$19=$B$170,+(EXP((LN(+'4. Customer Growth'!$W$42)/12))*$O150),IF($O$19=$B$171,+$A151*$C$180+$D$180,0)))</f>
        <v>31</v>
      </c>
      <c r="P151" s="744">
        <f>IF(P$19=$B$169,+AVERAGE(P31,P43,P55,P67,P79,P91,P103,P115,P127,P139),+IF(P$19=$B$170,+(EXP((LN(+'4. Customer Growth'!$W$42)/12))*$P150),IF($P$19=$B$171,+$A151*$C$181+$D$181,0)))</f>
        <v>0</v>
      </c>
      <c r="Q151" s="245"/>
      <c r="R151" s="558">
        <f t="shared" si="11"/>
        <v>19797913.256612048</v>
      </c>
      <c r="S151" s="265">
        <f>SUM(R140:R151)</f>
        <v>199517622.55165917</v>
      </c>
      <c r="T151" s="245"/>
      <c r="U151" s="245"/>
      <c r="V151" s="245"/>
      <c r="W151" s="245"/>
      <c r="X151" s="245"/>
      <c r="Y151" s="245"/>
      <c r="Z151" s="245"/>
      <c r="AA151" s="245"/>
      <c r="AB151" s="245"/>
      <c r="AC151" s="245"/>
      <c r="AD151" s="245"/>
      <c r="AE151" s="245"/>
      <c r="AF151" s="245"/>
      <c r="AG151" s="245"/>
      <c r="AH151" s="245"/>
      <c r="AI151" s="245"/>
      <c r="AJ151" s="245"/>
      <c r="AK151" s="245"/>
      <c r="AL151" s="245"/>
      <c r="AM151" s="245"/>
    </row>
    <row r="152" spans="1:39" x14ac:dyDescent="0.2">
      <c r="A152" s="503">
        <f t="shared" si="12"/>
        <v>133</v>
      </c>
      <c r="B152" s="262" t="str">
        <f>CONCATENATE('3. Consumption by Rate Class'!B157,"-",'3. Consumption by Rate Class'!C157)</f>
        <v>2016-January</v>
      </c>
      <c r="C152" s="715"/>
      <c r="D152" s="275"/>
      <c r="E152" s="275"/>
      <c r="F152" s="275"/>
      <c r="G152" s="275"/>
      <c r="H152" s="275"/>
      <c r="I152" s="275"/>
      <c r="J152" s="246"/>
      <c r="K152" s="744">
        <f>IF(K$19=$B$169,+AVERAGE(K32,K44,K56,K68,K80,K92,K104,K116,K128,K140),+IF(K$19=$B$170,+(EXP((LN(+'4. Customer Growth'!$W$43)/12))*$K151),IF($K$19=$B$171,+$A152*$C$176+$D$176,0)))</f>
        <v>837.66099999999983</v>
      </c>
      <c r="L152" s="744">
        <f>IF(L$19=$B$169,+AVERAGE(L32,L44,L56,L68,L80,L92,L104,L116,L128,L140),+IF(L$19=$B$170,+(EXP((LN(+'4. Customer Growth'!$W$43)/12))*$K151),IF($L$19=$B$171,+$A152*$C$177+$D$177,0)))</f>
        <v>0</v>
      </c>
      <c r="M152" s="744">
        <f>IF(M$19=$B$169,+AVERAGE(M32,M44,M56,M68,M80,M92,M104,M116,M128,M140),+IF(M$19=$B$170,+(EXP((LN(+'4. Customer Growth'!$W$43)/12))*$K151),IF($M$19=$B$171,+$A152*$C$178+$D$178,0)))</f>
        <v>1</v>
      </c>
      <c r="N152" s="744">
        <f>IF(N$19=$B$169,+AVERAGE(N32,N44,N56,N68,N80,N92,N104,N116,N128,N140),+IF(N$19=$B$170,+(EXP((LN(+'4. Customer Growth'!$W$43)/12))*$K151),IF($N$19=$B$171,+$A152*$C$179+$D$179,0)))</f>
        <v>1</v>
      </c>
      <c r="O152" s="744">
        <f>IF(O$19=$B$169,+AVERAGE(O32,O44,O56,O68,O80,O92,O104,O116,O128,O140),+IF(O$19=$B$170,+(EXP((LN(+'4. Customer Growth'!$W$43)/12))*$O151),IF($O$19=$B$171,+$A152*$C$180+$D$180,0)))</f>
        <v>31</v>
      </c>
      <c r="P152" s="744">
        <f>IF(P$19=$B$169,+AVERAGE(P32,P44,P56,P68,P80,P92,P104,P116,P128,P140),+IF(P$19=$B$170,+(EXP((LN(+'4. Customer Growth'!$W$43)/12))*$P151),IF($P$19=$B$171,+$A152*$C$181+$D$181,0)))</f>
        <v>0</v>
      </c>
      <c r="Q152" s="245"/>
      <c r="R152" s="558">
        <f t="shared" si="11"/>
        <v>20737664.352050167</v>
      </c>
      <c r="S152" s="265"/>
      <c r="T152" s="245"/>
      <c r="U152" s="245"/>
      <c r="V152" s="245"/>
      <c r="W152" s="245"/>
      <c r="X152" s="245"/>
      <c r="Y152" s="245"/>
      <c r="Z152" s="245"/>
      <c r="AA152" s="245"/>
      <c r="AB152" s="245"/>
      <c r="AC152" s="245"/>
      <c r="AD152" s="245"/>
      <c r="AE152" s="245"/>
      <c r="AF152" s="245"/>
      <c r="AG152" s="245"/>
      <c r="AH152" s="245"/>
      <c r="AI152" s="245"/>
      <c r="AJ152" s="245"/>
      <c r="AK152" s="245"/>
      <c r="AL152" s="245"/>
      <c r="AM152" s="245"/>
    </row>
    <row r="153" spans="1:39" x14ac:dyDescent="0.2">
      <c r="A153" s="503">
        <f t="shared" si="12"/>
        <v>134</v>
      </c>
      <c r="B153" s="262" t="str">
        <f>CONCATENATE('3. Consumption by Rate Class'!B158,"-",'3. Consumption by Rate Class'!C158)</f>
        <v>2016-February</v>
      </c>
      <c r="C153" s="715"/>
      <c r="D153" s="275"/>
      <c r="E153" s="275"/>
      <c r="F153" s="275"/>
      <c r="G153" s="275"/>
      <c r="H153" s="275"/>
      <c r="I153" s="275"/>
      <c r="J153" s="246"/>
      <c r="K153" s="744">
        <f>IF(K$19=$B$169,+AVERAGE(K33,K45,K57,K69,K81,K93,K105,K117,K129,K141),+IF(K$19=$B$170,+(EXP((LN(+'4. Customer Growth'!$W$43)/12))*$K152),IF($K$19=$B$171,+$A153*$C$176+$D$176,0)))</f>
        <v>733.798</v>
      </c>
      <c r="L153" s="744">
        <f>IF(L$19=$B$169,+AVERAGE(L33,L45,L57,L69,L81,L93,L105,L117,L129,L141),+IF(L$19=$B$170,+(EXP((LN(+'4. Customer Growth'!$W$43)/12))*$K152),IF($L$19=$B$171,+$A153*$C$177+$D$177,0)))</f>
        <v>0</v>
      </c>
      <c r="M153" s="744">
        <f>IF(M$19=$B$169,+AVERAGE(M33,M45,M57,M69,M81,M93,M105,M117,M129,M141),+IF(M$19=$B$170,+(EXP((LN(+'4. Customer Growth'!$W$43)/12))*$K152),IF($M$19=$B$171,+$A153*$C$178+$D$178,0)))</f>
        <v>1</v>
      </c>
      <c r="N153" s="744">
        <f>IF(N$19=$B$169,+AVERAGE(N33,N45,N57,N69,N81,N93,N105,N117,N129,N141),+IF(N$19=$B$170,+(EXP((LN(+'4. Customer Growth'!$W$43)/12))*$K152),IF($N$19=$B$171,+$A153*$C$179+$D$179,0)))</f>
        <v>0</v>
      </c>
      <c r="O153" s="744">
        <f>IF(O$19=$B$169,+AVERAGE(O33,O45,O57,O69,O81,O93,O105,O117,O129,O141),+IF(O$19=$B$170,+(EXP((LN(+'4. Customer Growth'!$W$43)/12))*$O152),IF($O$19=$B$171,+$A153*$C$180+$D$180,0)))</f>
        <v>28.22</v>
      </c>
      <c r="P153" s="744">
        <f>IF(P$19=$B$169,+AVERAGE(P33,P45,P57,P69,P81,P93,P105,P117,P129,P141),+IF(P$19=$B$170,+(EXP((LN(+'4. Customer Growth'!$W$43)/12))*$P152),IF($P$19=$B$171,+$A153*$C$181+$D$181,0)))</f>
        <v>0</v>
      </c>
      <c r="Q153" s="245"/>
      <c r="R153" s="558">
        <f t="shared" si="11"/>
        <v>19299940.391358528</v>
      </c>
      <c r="S153" s="265"/>
      <c r="T153" s="245"/>
      <c r="U153" s="245"/>
      <c r="V153" s="245"/>
      <c r="W153" s="245"/>
      <c r="X153" s="245"/>
      <c r="Y153" s="245"/>
      <c r="Z153" s="245"/>
      <c r="AA153" s="245"/>
      <c r="AB153" s="245"/>
      <c r="AC153" s="245"/>
      <c r="AD153" s="245"/>
      <c r="AE153" s="245"/>
      <c r="AF153" s="245"/>
      <c r="AG153" s="245"/>
      <c r="AH153" s="245"/>
      <c r="AI153" s="245"/>
      <c r="AJ153" s="245"/>
      <c r="AK153" s="245"/>
      <c r="AL153" s="245"/>
      <c r="AM153" s="245"/>
    </row>
    <row r="154" spans="1:39" x14ac:dyDescent="0.2">
      <c r="A154" s="503">
        <f t="shared" si="12"/>
        <v>135</v>
      </c>
      <c r="B154" s="262" t="str">
        <f>CONCATENATE('3. Consumption by Rate Class'!B159,"-",'3. Consumption by Rate Class'!C159)</f>
        <v>2016-March</v>
      </c>
      <c r="C154" s="715"/>
      <c r="D154" s="275"/>
      <c r="E154" s="275"/>
      <c r="F154" s="275"/>
      <c r="G154" s="275"/>
      <c r="H154" s="275"/>
      <c r="I154" s="275"/>
      <c r="J154" s="246"/>
      <c r="K154" s="744">
        <f>IF(K$19=$B$169,+AVERAGE(K34,K46,K58,K70,K82,K94,K106,K118,K130,K142),+IF(K$19=$B$170,+(EXP((LN(+'4. Customer Growth'!$W$43)/12))*$K153),IF($K$19=$B$171,+$A154*$C$176+$D$176,0)))</f>
        <v>609.66399999999999</v>
      </c>
      <c r="L154" s="744">
        <f>IF(L$19=$B$169,+AVERAGE(L34,L46,L58,L70,L82,L94,L106,L118,L130,L142),+IF(L$19=$B$170,+(EXP((LN(+'4. Customer Growth'!$W$43)/12))*$K153),IF($L$19=$B$171,+$A154*$C$177+$D$177,0)))</f>
        <v>0</v>
      </c>
      <c r="M154" s="744">
        <f>IF(M$19=$B$169,+AVERAGE(M34,M46,M58,M70,M82,M94,M106,M118,M130,M142),+IF(M$19=$B$170,+(EXP((LN(+'4. Customer Growth'!$W$43)/12))*$K153),IF($M$19=$B$171,+$A154*$C$178+$D$178,0)))</f>
        <v>0</v>
      </c>
      <c r="N154" s="744">
        <f>IF(N$19=$B$169,+AVERAGE(N34,N46,N58,N70,N82,N94,N106,N118,N130,N142),+IF(N$19=$B$170,+(EXP((LN(+'4. Customer Growth'!$W$43)/12))*$K153),IF($N$19=$B$171,+$A154*$C$179+$D$179,0)))</f>
        <v>1</v>
      </c>
      <c r="O154" s="744">
        <f>IF(O$19=$B$169,+AVERAGE(O34,O46,O58,O70,O82,O94,O106,O118,O130,O142),+IF(O$19=$B$170,+(EXP((LN(+'4. Customer Growth'!$W$43)/12))*$O153),IF($O$19=$B$171,+$A154*$C$180+$D$180,0)))</f>
        <v>31</v>
      </c>
      <c r="P154" s="744">
        <f>IF(P$19=$B$169,+AVERAGE(P34,P46,P58,P70,P82,P94,P106,P118,P130,P142),+IF(P$19=$B$170,+(EXP((LN(+'4. Customer Growth'!$W$43)/12))*$P153),IF($P$19=$B$171,+$A154*$C$181+$D$181,0)))</f>
        <v>0</v>
      </c>
      <c r="Q154" s="245"/>
      <c r="R154" s="558">
        <f t="shared" si="11"/>
        <v>17645188.94629718</v>
      </c>
      <c r="S154" s="265"/>
      <c r="T154" s="245"/>
      <c r="U154" s="245"/>
      <c r="V154" s="245"/>
      <c r="W154" s="245"/>
      <c r="X154" s="245"/>
      <c r="Y154" s="245"/>
      <c r="Z154" s="245"/>
      <c r="AA154" s="245"/>
      <c r="AB154" s="245"/>
      <c r="AC154" s="245"/>
      <c r="AD154" s="245"/>
      <c r="AE154" s="245"/>
      <c r="AF154" s="245"/>
      <c r="AG154" s="245"/>
      <c r="AH154" s="245"/>
      <c r="AI154" s="245"/>
      <c r="AJ154" s="245"/>
      <c r="AK154" s="245"/>
      <c r="AL154" s="245"/>
      <c r="AM154" s="245"/>
    </row>
    <row r="155" spans="1:39" x14ac:dyDescent="0.2">
      <c r="A155" s="503">
        <f t="shared" si="12"/>
        <v>136</v>
      </c>
      <c r="B155" s="262" t="str">
        <f>CONCATENATE('3. Consumption by Rate Class'!B160,"-",'3. Consumption by Rate Class'!C160)</f>
        <v>2016-April</v>
      </c>
      <c r="C155" s="715"/>
      <c r="D155" s="275"/>
      <c r="E155" s="275"/>
      <c r="F155" s="275"/>
      <c r="G155" s="275"/>
      <c r="H155" s="275"/>
      <c r="I155" s="275"/>
      <c r="J155" s="246"/>
      <c r="K155" s="744">
        <f>IF(K$19=$B$169,+AVERAGE(K35,K47,K59,K71,K83,K95,K107,K119,K131,K143),+IF(K$19=$B$170,+(EXP((LN(+'4. Customer Growth'!$W$43)/12))*$K154),IF($K$19=$B$171,+$A155*$C$176+$D$176,0)))</f>
        <v>328.30900000000008</v>
      </c>
      <c r="L155" s="744">
        <f>IF(L$19=$B$169,+AVERAGE(L35,L47,L59,L71,L83,L95,L107,L119,L131,L143),+IF(L$19=$B$170,+(EXP((LN(+'4. Customer Growth'!$W$43)/12))*$K154),IF($L$19=$B$171,+$A155*$C$177+$D$177,0)))</f>
        <v>0.80299999999999994</v>
      </c>
      <c r="M155" s="744">
        <f>IF(M$19=$B$169,+AVERAGE(M35,M47,M59,M71,M83,M95,M107,M119,M131,M143),+IF(M$19=$B$170,+(EXP((LN(+'4. Customer Growth'!$W$43)/12))*$K154),IF($M$19=$B$171,+$A155*$C$178+$D$178,0)))</f>
        <v>0</v>
      </c>
      <c r="N155" s="744">
        <f>IF(N$19=$B$169,+AVERAGE(N35,N47,N59,N71,N83,N95,N107,N119,N131,N143),+IF(N$19=$B$170,+(EXP((LN(+'4. Customer Growth'!$W$43)/12))*$K154),IF($N$19=$B$171,+$A155*$C$179+$D$179,0)))</f>
        <v>0</v>
      </c>
      <c r="O155" s="744">
        <f>IF(O$19=$B$169,+AVERAGE(O35,O47,O59,O71,O83,O95,O107,O119,O131,O143),+IF(O$19=$B$170,+(EXP((LN(+'4. Customer Growth'!$W$43)/12))*$O154),IF($O$19=$B$171,+$A155*$C$180+$D$180,0)))</f>
        <v>30</v>
      </c>
      <c r="P155" s="744">
        <f>IF(P$19=$B$169,+AVERAGE(P35,P47,P59,P71,P83,P95,P107,P119,P131,P143),+IF(P$19=$B$170,+(EXP((LN(+'4. Customer Growth'!$W$43)/12))*$P154),IF($P$19=$B$171,+$A155*$C$181+$D$181,0)))</f>
        <v>0</v>
      </c>
      <c r="Q155" s="245"/>
      <c r="R155" s="558">
        <f t="shared" si="11"/>
        <v>15328985.010241099</v>
      </c>
      <c r="S155" s="265"/>
      <c r="T155" s="245"/>
      <c r="U155" s="245"/>
      <c r="V155" s="245"/>
      <c r="W155" s="245"/>
      <c r="X155" s="245"/>
      <c r="Y155" s="245"/>
      <c r="Z155" s="245"/>
      <c r="AA155" s="245"/>
      <c r="AB155" s="245"/>
      <c r="AC155" s="245"/>
      <c r="AD155" s="245"/>
      <c r="AE155" s="245"/>
      <c r="AF155" s="245"/>
      <c r="AG155" s="245"/>
      <c r="AH155" s="245"/>
      <c r="AI155" s="245"/>
      <c r="AJ155" s="245"/>
      <c r="AK155" s="245"/>
      <c r="AL155" s="245"/>
      <c r="AM155" s="245"/>
    </row>
    <row r="156" spans="1:39" x14ac:dyDescent="0.2">
      <c r="A156" s="503">
        <f t="shared" si="12"/>
        <v>137</v>
      </c>
      <c r="B156" s="262" t="str">
        <f>CONCATENATE('3. Consumption by Rate Class'!B161,"-",'3. Consumption by Rate Class'!C161)</f>
        <v>2016-May</v>
      </c>
      <c r="C156" s="715"/>
      <c r="D156" s="275"/>
      <c r="E156" s="275"/>
      <c r="F156" s="275"/>
      <c r="G156" s="275"/>
      <c r="H156" s="275"/>
      <c r="I156" s="275"/>
      <c r="J156" s="246"/>
      <c r="K156" s="744">
        <f>IF(K$19=$B$169,+AVERAGE(K36,K48,K60,K72,K84,K96,K108,K120,K132,K144),+IF(K$19=$B$170,+(EXP((LN(+'4. Customer Growth'!$W$43)/12))*$K155),IF($K$19=$B$171,+$A156*$C$176+$D$176,0)))</f>
        <v>138.07599999999999</v>
      </c>
      <c r="L156" s="744">
        <f>IF(L$19=$B$169,+AVERAGE(L36,L48,L60,L72,L84,L96,L108,L120,L132,L144),+IF(L$19=$B$170,+(EXP((LN(+'4. Customer Growth'!$W$43)/12))*$K155),IF($L$19=$B$171,+$A156*$C$177+$D$177,0)))</f>
        <v>15.133000000000004</v>
      </c>
      <c r="M156" s="744">
        <f>IF(M$19=$B$169,+AVERAGE(M36,M48,M60,M72,M84,M96,M108,M120,M132,M144),+IF(M$19=$B$170,+(EXP((LN(+'4. Customer Growth'!$W$43)/12))*$K155),IF($M$19=$B$171,+$A156*$C$178+$D$178,0)))</f>
        <v>0</v>
      </c>
      <c r="N156" s="744">
        <f>IF(N$19=$B$169,+AVERAGE(N36,N48,N60,N72,N84,N96,N108,N120,N132,N144),+IF(N$19=$B$170,+(EXP((LN(+'4. Customer Growth'!$W$43)/12))*$K155),IF($N$19=$B$171,+$A156*$C$179+$D$179,0)))</f>
        <v>0</v>
      </c>
      <c r="O156" s="744">
        <f>IF(O$19=$B$169,+AVERAGE(O36,O48,O60,O72,O84,O96,O108,O120,O132,O144),+IF(O$19=$B$170,+(EXP((LN(+'4. Customer Growth'!$W$43)/12))*$O155),IF($O$19=$B$171,+$A156*$C$180+$D$180,0)))</f>
        <v>31</v>
      </c>
      <c r="P156" s="744">
        <f>IF(P$19=$B$169,+AVERAGE(P36,P48,P60,P72,P84,P96,P108,P120,P132,P144),+IF(P$19=$B$170,+(EXP((LN(+'4. Customer Growth'!$W$43)/12))*$P155),IF($P$19=$B$171,+$A156*$C$181+$D$181,0)))</f>
        <v>0</v>
      </c>
      <c r="Q156" s="245"/>
      <c r="R156" s="558">
        <f t="shared" si="11"/>
        <v>14575288.307645395</v>
      </c>
      <c r="S156" s="265"/>
      <c r="T156" s="245"/>
      <c r="U156" s="245"/>
      <c r="V156" s="245"/>
      <c r="W156" s="245"/>
      <c r="X156" s="245"/>
      <c r="Y156" s="245"/>
      <c r="Z156" s="245"/>
      <c r="AA156" s="245"/>
      <c r="AB156" s="245"/>
      <c r="AC156" s="245"/>
      <c r="AD156" s="245"/>
      <c r="AE156" s="245"/>
      <c r="AF156" s="245"/>
      <c r="AG156" s="245"/>
      <c r="AH156" s="245"/>
      <c r="AI156" s="245"/>
      <c r="AJ156" s="245"/>
      <c r="AK156" s="245"/>
      <c r="AL156" s="245"/>
      <c r="AM156" s="245"/>
    </row>
    <row r="157" spans="1:39" x14ac:dyDescent="0.2">
      <c r="A157" s="503">
        <f t="shared" si="12"/>
        <v>138</v>
      </c>
      <c r="B157" s="262" t="str">
        <f>CONCATENATE('3. Consumption by Rate Class'!B162,"-",'3. Consumption by Rate Class'!C162)</f>
        <v>2016-June</v>
      </c>
      <c r="C157" s="715"/>
      <c r="D157" s="275"/>
      <c r="E157" s="275"/>
      <c r="F157" s="275"/>
      <c r="G157" s="275"/>
      <c r="H157" s="275"/>
      <c r="I157" s="275"/>
      <c r="J157" s="246"/>
      <c r="K157" s="744">
        <f>IF(K$19=$B$169,+AVERAGE(K37,K49,K61,K73,K85,K97,K109,K121,K133,K145),+IF(K$19=$B$170,+(EXP((LN(+'4. Customer Growth'!$W$43)/12))*$K156),IF($K$19=$B$171,+$A157*$C$176+$D$176,0)))</f>
        <v>32.775999999999996</v>
      </c>
      <c r="L157" s="744">
        <f>IF(L$19=$B$169,+AVERAGE(L37,L49,L61,L73,L85,L97,L109,L121,L133,L145),+IF(L$19=$B$170,+(EXP((LN(+'4. Customer Growth'!$W$43)/12))*$K156),IF($L$19=$B$171,+$A157*$C$177+$D$177,0)))</f>
        <v>53.662999999999997</v>
      </c>
      <c r="M157" s="744">
        <f>IF(M$19=$B$169,+AVERAGE(M37,M49,M61,M73,M85,M97,M109,M121,M133,M145),+IF(M$19=$B$170,+(EXP((LN(+'4. Customer Growth'!$W$43)/12))*$K156),IF($M$19=$B$171,+$A157*$C$178+$D$178,0)))</f>
        <v>0</v>
      </c>
      <c r="N157" s="744">
        <f>IF(N$19=$B$169,+AVERAGE(N37,N49,N61,N73,N85,N97,N109,N121,N133,N145),+IF(N$19=$B$170,+(EXP((LN(+'4. Customer Growth'!$W$43)/12))*$K156),IF($N$19=$B$171,+$A157*$C$179+$D$179,0)))</f>
        <v>0</v>
      </c>
      <c r="O157" s="744">
        <f>IF(O$19=$B$169,+AVERAGE(O37,O49,O61,O73,O85,O97,O109,O121,O133,O145),+IF(O$19=$B$170,+(EXP((LN(+'4. Customer Growth'!$W$43)/12))*$O156),IF($O$19=$B$171,+$A157*$C$180+$D$180,0)))</f>
        <v>30</v>
      </c>
      <c r="P157" s="744">
        <f>IF(P$19=$B$169,+AVERAGE(P37,P49,P61,P73,P85,P97,P109,P121,P133,P145),+IF(P$19=$B$170,+(EXP((LN(+'4. Customer Growth'!$W$43)/12))*$P156),IF($P$19=$B$171,+$A157*$C$181+$D$181,0)))</f>
        <v>0</v>
      </c>
      <c r="Q157" s="245"/>
      <c r="R157" s="558">
        <f t="shared" si="11"/>
        <v>14659799.567549996</v>
      </c>
      <c r="S157" s="265"/>
      <c r="T157" s="245"/>
      <c r="U157" s="245"/>
      <c r="V157" s="245"/>
      <c r="W157" s="245"/>
      <c r="X157" s="245"/>
      <c r="Y157" s="245"/>
      <c r="Z157" s="245"/>
      <c r="AA157" s="245"/>
      <c r="AB157" s="245"/>
      <c r="AC157" s="245"/>
      <c r="AD157" s="245"/>
      <c r="AE157" s="245"/>
      <c r="AF157" s="245"/>
      <c r="AG157" s="245"/>
      <c r="AH157" s="245"/>
      <c r="AI157" s="245"/>
      <c r="AJ157" s="245"/>
      <c r="AK157" s="245"/>
      <c r="AL157" s="245"/>
      <c r="AM157" s="245"/>
    </row>
    <row r="158" spans="1:39" x14ac:dyDescent="0.2">
      <c r="A158" s="503">
        <f t="shared" si="12"/>
        <v>139</v>
      </c>
      <c r="B158" s="262" t="str">
        <f>CONCATENATE('3. Consumption by Rate Class'!B163,"-",'3. Consumption by Rate Class'!C163)</f>
        <v>2016-July</v>
      </c>
      <c r="C158" s="715"/>
      <c r="D158" s="275"/>
      <c r="E158" s="275"/>
      <c r="F158" s="275"/>
      <c r="G158" s="275"/>
      <c r="H158" s="275"/>
      <c r="I158" s="275"/>
      <c r="J158" s="246"/>
      <c r="K158" s="744">
        <f>IF(K$19=$B$169,+AVERAGE(K38,K50,K62,K74,K86,K98,K110,K122,K134,K146),+IF(K$19=$B$170,+(EXP((LN(+'4. Customer Growth'!$W$43)/12))*$K157),IF($K$19=$B$171,+$A158*$C$176+$D$176,0)))</f>
        <v>5.0230000000000006</v>
      </c>
      <c r="L158" s="744">
        <f>IF(L$19=$B$169,+AVERAGE(L38,L50,L62,L74,L86,L98,L110,L122,L134,L146),+IF(L$19=$B$170,+(EXP((LN(+'4. Customer Growth'!$W$43)/12))*$K157),IF($L$19=$B$171,+$A158*$C$177+$D$177,0)))</f>
        <v>102.69500000000001</v>
      </c>
      <c r="M158" s="744">
        <f>IF(M$19=$B$169,+AVERAGE(M38,M50,M62,M74,M86,M98,M110,M122,M134,M146),+IF(M$19=$B$170,+(EXP((LN(+'4. Customer Growth'!$W$43)/12))*$K157),IF($M$19=$B$171,+$A158*$C$178+$D$178,0)))</f>
        <v>0</v>
      </c>
      <c r="N158" s="744">
        <f>IF(N$19=$B$169,+AVERAGE(N38,N50,N62,N74,N86,N98,N110,N122,N134,N146),+IF(N$19=$B$170,+(EXP((LN(+'4. Customer Growth'!$W$43)/12))*$K157),IF($N$19=$B$171,+$A158*$C$179+$D$179,0)))</f>
        <v>1</v>
      </c>
      <c r="O158" s="744">
        <f>IF(O$19=$B$169,+AVERAGE(O38,O50,O62,O74,O86,O98,O110,O122,O134,O146),+IF(O$19=$B$170,+(EXP((LN(+'4. Customer Growth'!$W$43)/12))*$O157),IF($O$19=$B$171,+$A158*$C$180+$D$180,0)))</f>
        <v>31</v>
      </c>
      <c r="P158" s="744">
        <f>IF(P$19=$B$169,+AVERAGE(P38,P50,P62,P74,P86,P98,P110,P122,P134,P146),+IF(P$19=$B$170,+(EXP((LN(+'4. Customer Growth'!$W$43)/12))*$P157),IF($P$19=$B$171,+$A158*$C$181+$D$181,0)))</f>
        <v>0</v>
      </c>
      <c r="Q158" s="245"/>
      <c r="R158" s="558">
        <f t="shared" si="11"/>
        <v>16145848.233428765</v>
      </c>
      <c r="S158" s="265"/>
      <c r="T158" s="245"/>
      <c r="U158" s="245"/>
      <c r="V158" s="245"/>
      <c r="W158" s="245"/>
      <c r="X158" s="245"/>
      <c r="Y158" s="245"/>
      <c r="Z158" s="245"/>
      <c r="AA158" s="245"/>
      <c r="AB158" s="245"/>
      <c r="AC158" s="245"/>
      <c r="AD158" s="245"/>
      <c r="AE158" s="245"/>
      <c r="AF158" s="245"/>
      <c r="AG158" s="245"/>
      <c r="AH158" s="245"/>
      <c r="AI158" s="245"/>
      <c r="AJ158" s="245"/>
      <c r="AK158" s="245"/>
      <c r="AL158" s="245"/>
      <c r="AM158" s="245"/>
    </row>
    <row r="159" spans="1:39" x14ac:dyDescent="0.2">
      <c r="A159" s="503">
        <f t="shared" si="12"/>
        <v>140</v>
      </c>
      <c r="B159" s="262" t="str">
        <f>CONCATENATE('3. Consumption by Rate Class'!B164,"-",'3. Consumption by Rate Class'!C164)</f>
        <v>2016-August</v>
      </c>
      <c r="C159" s="715"/>
      <c r="D159" s="275"/>
      <c r="E159" s="275"/>
      <c r="F159" s="275"/>
      <c r="G159" s="275"/>
      <c r="H159" s="275"/>
      <c r="I159" s="275"/>
      <c r="J159" s="246"/>
      <c r="K159" s="744">
        <f>IF(K$19=$B$169,+AVERAGE(K39,K51,K63,K75,K87,K99,K111,K123,K135,K147),+IF(K$19=$B$170,+(EXP((LN(+'4. Customer Growth'!$W$43)/12))*$K158),IF($K$19=$B$171,+$A159*$C$176+$D$176,0)))</f>
        <v>15.374000000000001</v>
      </c>
      <c r="L159" s="744">
        <f>IF(L$19=$B$169,+AVERAGE(L39,L51,L63,L75,L87,L99,L111,L123,L135,L147),+IF(L$19=$B$170,+(EXP((LN(+'4. Customer Growth'!$W$43)/12))*$K158),IF($L$19=$B$171,+$A159*$C$177+$D$177,0)))</f>
        <v>74.292999999999992</v>
      </c>
      <c r="M159" s="744">
        <f>IF(M$19=$B$169,+AVERAGE(M39,M51,M63,M75,M87,M99,M111,M123,M135,M147),+IF(M$19=$B$170,+(EXP((LN(+'4. Customer Growth'!$W$43)/12))*$K158),IF($M$19=$B$171,+$A159*$C$178+$D$178,0)))</f>
        <v>0</v>
      </c>
      <c r="N159" s="744">
        <f>IF(N$19=$B$169,+AVERAGE(N39,N51,N63,N75,N87,N99,N111,N123,N135,N147),+IF(N$19=$B$170,+(EXP((LN(+'4. Customer Growth'!$W$43)/12))*$K158),IF($N$19=$B$171,+$A159*$C$179+$D$179,0)))</f>
        <v>0</v>
      </c>
      <c r="O159" s="744">
        <f>IF(O$19=$B$169,+AVERAGE(O39,O51,O63,O75,O87,O99,O111,O123,O135,O147),+IF(O$19=$B$170,+(EXP((LN(+'4. Customer Growth'!$W$43)/12))*$O158),IF($O$19=$B$171,+$A159*$C$180+$D$180,0)))</f>
        <v>31</v>
      </c>
      <c r="P159" s="744">
        <f>IF(P$19=$B$169,+AVERAGE(P39,P51,P63,P75,P87,P99,P111,P123,P135,P147),+IF(P$19=$B$170,+(EXP((LN(+'4. Customer Growth'!$W$43)/12))*$P158),IF($P$19=$B$171,+$A159*$C$181+$D$181,0)))</f>
        <v>0</v>
      </c>
      <c r="Q159" s="245"/>
      <c r="R159" s="558">
        <f t="shared" si="11"/>
        <v>15186182.554862142</v>
      </c>
      <c r="S159" s="265"/>
      <c r="T159" s="245"/>
      <c r="U159" s="245"/>
      <c r="V159" s="245"/>
      <c r="W159" s="245"/>
      <c r="X159" s="245"/>
      <c r="Y159" s="245"/>
      <c r="Z159" s="245"/>
      <c r="AA159" s="245"/>
      <c r="AB159" s="245"/>
      <c r="AC159" s="245"/>
      <c r="AD159" s="245"/>
      <c r="AE159" s="245"/>
      <c r="AF159" s="245"/>
      <c r="AG159" s="245"/>
      <c r="AH159" s="245"/>
      <c r="AI159" s="245"/>
      <c r="AJ159" s="245"/>
      <c r="AK159" s="245"/>
      <c r="AL159" s="245"/>
      <c r="AM159" s="245"/>
    </row>
    <row r="160" spans="1:39" x14ac:dyDescent="0.2">
      <c r="A160" s="503">
        <f t="shared" si="12"/>
        <v>141</v>
      </c>
      <c r="B160" s="262" t="str">
        <f>CONCATENATE('3. Consumption by Rate Class'!B165,"-",'3. Consumption by Rate Class'!C165)</f>
        <v>2016-September</v>
      </c>
      <c r="C160" s="715"/>
      <c r="D160" s="275"/>
      <c r="E160" s="275"/>
      <c r="F160" s="275"/>
      <c r="G160" s="275"/>
      <c r="H160" s="275"/>
      <c r="I160" s="275"/>
      <c r="J160" s="246"/>
      <c r="K160" s="744">
        <f>IF(K$19=$B$169,+AVERAGE(K40,K52,K64,K76,K88,K100,K112,K124,K136,K148),+IF(K$19=$B$170,+(EXP((LN(+'4. Customer Growth'!$W$43)/12))*$K159),IF($K$19=$B$171,+$A160*$C$176+$D$176,0)))</f>
        <v>103.673</v>
      </c>
      <c r="L160" s="744">
        <f>IF(L$19=$B$169,+AVERAGE(L40,L52,L64,L76,L88,L100,L112,L124,L136,L148),+IF(L$19=$B$170,+(EXP((LN(+'4. Customer Growth'!$W$43)/12))*$K159),IF($L$19=$B$171,+$A160*$C$177+$D$177,0)))</f>
        <v>19.294999999999998</v>
      </c>
      <c r="M160" s="744">
        <f>IF(M$19=$B$169,+AVERAGE(M40,M52,M64,M76,M88,M100,M112,M124,M136,M148),+IF(M$19=$B$170,+(EXP((LN(+'4. Customer Growth'!$W$43)/12))*$K159),IF($M$19=$B$171,+$A160*$C$178+$D$178,0)))</f>
        <v>0</v>
      </c>
      <c r="N160" s="744">
        <f>IF(N$19=$B$169,+AVERAGE(N40,N52,N64,N76,N88,N100,N112,N124,N136,N148),+IF(N$19=$B$170,+(EXP((LN(+'4. Customer Growth'!$W$43)/12))*$K159),IF($N$19=$B$171,+$A160*$C$179+$D$179,0)))</f>
        <v>0</v>
      </c>
      <c r="O160" s="744">
        <f>IF(O$19=$B$169,+AVERAGE(O40,O52,O64,O76,O88,O100,O112,O124,O136,O148),+IF(O$19=$B$170,+(EXP((LN(+'4. Customer Growth'!$W$43)/12))*$O159),IF($O$19=$B$171,+$A160*$C$180+$D$180,0)))</f>
        <v>30</v>
      </c>
      <c r="P160" s="744">
        <f>IF(P$19=$B$169,+AVERAGE(P40,P52,P64,P76,P88,P100,P112,P124,P136,P148),+IF(P$19=$B$170,+(EXP((LN(+'4. Customer Growth'!$W$43)/12))*$P159),IF($P$19=$B$171,+$A160*$C$181+$D$181,0)))</f>
        <v>0</v>
      </c>
      <c r="Q160" s="245"/>
      <c r="R160" s="558">
        <f t="shared" si="11"/>
        <v>14302396.841703711</v>
      </c>
      <c r="S160" s="265"/>
      <c r="T160" s="245"/>
      <c r="U160" s="245"/>
      <c r="V160" s="245"/>
      <c r="W160" s="245"/>
      <c r="X160" s="245"/>
      <c r="Y160" s="245"/>
      <c r="Z160" s="245"/>
      <c r="AA160" s="245"/>
      <c r="AB160" s="245"/>
      <c r="AC160" s="245"/>
      <c r="AD160" s="245"/>
      <c r="AE160" s="245"/>
      <c r="AF160" s="245"/>
      <c r="AG160" s="245"/>
      <c r="AH160" s="245"/>
      <c r="AI160" s="245"/>
      <c r="AJ160" s="245"/>
      <c r="AK160" s="245"/>
      <c r="AL160" s="245"/>
      <c r="AM160" s="245"/>
    </row>
    <row r="161" spans="1:39" x14ac:dyDescent="0.2">
      <c r="A161" s="503">
        <f t="shared" si="12"/>
        <v>142</v>
      </c>
      <c r="B161" s="262" t="str">
        <f>CONCATENATE('3. Consumption by Rate Class'!B166,"-",'3. Consumption by Rate Class'!C166)</f>
        <v>2016-October</v>
      </c>
      <c r="C161" s="715"/>
      <c r="D161" s="275"/>
      <c r="E161" s="275"/>
      <c r="F161" s="275"/>
      <c r="G161" s="275"/>
      <c r="H161" s="275"/>
      <c r="I161" s="275"/>
      <c r="J161" s="246"/>
      <c r="K161" s="744">
        <f>IF(K$19=$B$169,+AVERAGE(K41,K53,K65,K77,K89,K101,K113,K125,K137,K149),+IF(K$19=$B$170,+(EXP((LN(+'4. Customer Growth'!$W$43)/12))*$K160),IF($K$19=$B$171,+$A161*$C$176+$D$176,0)))</f>
        <v>282.911</v>
      </c>
      <c r="L161" s="744">
        <f>IF(L$19=$B$169,+AVERAGE(L41,L53,L65,L77,L89,L101,L113,L125,L137,L149),+IF(L$19=$B$170,+(EXP((LN(+'4. Customer Growth'!$W$43)/12))*$K160),IF($L$19=$B$171,+$A161*$C$177+$D$177,0)))</f>
        <v>0.84499999999999997</v>
      </c>
      <c r="M161" s="744">
        <f>IF(M$19=$B$169,+AVERAGE(M41,M53,M65,M77,M89,M101,M113,M125,M137,M149),+IF(M$19=$B$170,+(EXP((LN(+'4. Customer Growth'!$W$43)/12))*$K160),IF($M$19=$B$171,+$A161*$C$178+$D$178,0)))</f>
        <v>0</v>
      </c>
      <c r="N161" s="744">
        <f>IF(N$19=$B$169,+AVERAGE(N41,N53,N65,N77,N89,N101,N113,N125,N137,N149),+IF(N$19=$B$170,+(EXP((LN(+'4. Customer Growth'!$W$43)/12))*$K160),IF($N$19=$B$171,+$A161*$C$179+$D$179,0)))</f>
        <v>0</v>
      </c>
      <c r="O161" s="744">
        <f>IF(O$19=$B$169,+AVERAGE(O41,O53,O65,O77,O89,O101,O113,O125,O137,O149),+IF(O$19=$B$170,+(EXP((LN(+'4. Customer Growth'!$W$43)/12))*$O160),IF($O$19=$B$171,+$A161*$C$180+$D$180,0)))</f>
        <v>31</v>
      </c>
      <c r="P161" s="744">
        <f>IF(P$19=$B$169,+AVERAGE(P41,P53,P65,P77,P89,P101,P113,P125,P137,P149),+IF(P$19=$B$170,+(EXP((LN(+'4. Customer Growth'!$W$43)/12))*$P160),IF($P$19=$B$171,+$A161*$C$181+$D$181,0)))</f>
        <v>0</v>
      </c>
      <c r="Q161" s="245"/>
      <c r="R161" s="558">
        <f t="shared" si="11"/>
        <v>15180698.914201126</v>
      </c>
      <c r="S161" s="265"/>
      <c r="T161" s="245"/>
      <c r="U161" s="245"/>
      <c r="V161" s="245"/>
      <c r="W161" s="245"/>
      <c r="X161" s="245"/>
      <c r="Y161" s="245"/>
      <c r="Z161" s="245"/>
      <c r="AA161" s="245"/>
      <c r="AB161" s="245"/>
      <c r="AC161" s="245"/>
      <c r="AD161" s="245"/>
      <c r="AE161" s="245"/>
      <c r="AF161" s="245"/>
      <c r="AG161" s="245"/>
      <c r="AH161" s="245"/>
      <c r="AI161" s="245"/>
      <c r="AJ161" s="245"/>
      <c r="AK161" s="245"/>
      <c r="AL161" s="245"/>
      <c r="AM161" s="245"/>
    </row>
    <row r="162" spans="1:39" x14ac:dyDescent="0.2">
      <c r="A162" s="503">
        <f t="shared" si="12"/>
        <v>143</v>
      </c>
      <c r="B162" s="175" t="str">
        <f>CONCATENATE('3. Consumption by Rate Class'!B167,"-",'3. Consumption by Rate Class'!C167)</f>
        <v>2016-November</v>
      </c>
      <c r="C162" s="716"/>
      <c r="D162" s="60"/>
      <c r="E162" s="60"/>
      <c r="F162" s="60"/>
      <c r="G162" s="60"/>
      <c r="H162" s="60"/>
      <c r="I162" s="60"/>
      <c r="K162" s="744">
        <f>IF(K$19=$B$169,+AVERAGE(K42,K54,K66,K78,K90,K102,K114,K126,K138,K150),+IF(K$19=$B$170,+(EXP((LN(+'4. Customer Growth'!$W$43)/12))*$K161),IF($K$19=$B$171,+$A162*$C$176+$D$176,0)))</f>
        <v>483.57300000000004</v>
      </c>
      <c r="L162" s="744">
        <f>IF(L$19=$B$169,+AVERAGE(L42,L54,L66,L78,L90,L102,L114,L126,L138,L150),+IF(L$19=$B$170,+(EXP((LN(+'4. Customer Growth'!$W$43)/12))*$K161),IF($L$19=$B$171,+$A162*$C$177+$D$177,0)))</f>
        <v>0</v>
      </c>
      <c r="M162" s="744">
        <f>IF(M$19=$B$169,+AVERAGE(M42,M54,M66,M78,M90,M102,M114,M126,M138,M150),+IF(M$19=$B$170,+(EXP((LN(+'4. Customer Growth'!$W$43)/12))*$K161),IF($M$19=$B$171,+$A162*$C$178+$D$178,0)))</f>
        <v>0</v>
      </c>
      <c r="N162" s="744">
        <f>IF(N$19=$B$169,+AVERAGE(N42,N54,N66,N78,N90,N102,N114,N126,N138,N150),+IF(N$19=$B$170,+(EXP((LN(+'4. Customer Growth'!$W$43)/12))*$K161),IF($N$19=$B$171,+$A162*$C$179+$D$179,0)))</f>
        <v>0</v>
      </c>
      <c r="O162" s="744">
        <f>IF(O$19=$B$169,+AVERAGE(O42,O54,O66,O78,O90,O102,O114,O126,O138,O150),+IF(O$19=$B$170,+(EXP((LN(+'4. Customer Growth'!$W$43)/12))*$O161),IF($O$19=$B$171,+$A162*$C$180+$D$180,0)))</f>
        <v>30</v>
      </c>
      <c r="P162" s="744">
        <f>IF(P$19=$B$169,+AVERAGE(P42,P54,P66,P78,P90,P102,P114,P126,P138,P150),+IF(P$19=$B$170,+(EXP((LN(+'4. Customer Growth'!$W$43)/12))*$P161),IF($P$19=$B$171,+$A162*$C$181+$D$181,0)))</f>
        <v>0</v>
      </c>
      <c r="R162" s="558">
        <f t="shared" si="11"/>
        <v>16324611.434834497</v>
      </c>
      <c r="S162" s="221"/>
      <c r="U162" s="245"/>
      <c r="V162" s="245"/>
      <c r="W162" s="245"/>
      <c r="X162" s="245"/>
      <c r="Y162" s="245"/>
      <c r="Z162" s="245"/>
    </row>
    <row r="163" spans="1:39" x14ac:dyDescent="0.2">
      <c r="A163" s="503">
        <f t="shared" si="12"/>
        <v>144</v>
      </c>
      <c r="B163" s="175" t="str">
        <f>CONCATENATE('3. Consumption by Rate Class'!B168,"-",'3. Consumption by Rate Class'!C168)</f>
        <v>2016-December</v>
      </c>
      <c r="C163" s="716"/>
      <c r="D163" s="60"/>
      <c r="E163" s="60"/>
      <c r="F163" s="60"/>
      <c r="G163" s="60"/>
      <c r="H163" s="60"/>
      <c r="I163" s="60"/>
      <c r="K163" s="744">
        <f>IF(K$19=$B$169,+AVERAGE(K43,K55,K67,K79,K91,K103,K115,K127,K139,K151),+IF(K$19=$B$170,+(EXP((LN(+'4. Customer Growth'!$W$43)/12))*$K162),IF($K$19=$B$171,+$A163*$C$176+$D$176,0)))</f>
        <v>687.06799999999998</v>
      </c>
      <c r="L163" s="744">
        <f>IF(L$19=$B$169,+AVERAGE(L43,L55,L67,L79,L91,L103,L115,L127,L139,L151),+IF(L$19=$B$170,+(EXP((LN(+'4. Customer Growth'!$W$43)/12))*$K162),IF($L$19=$B$171,+$A163*$C$177+$D$177,0)))</f>
        <v>0</v>
      </c>
      <c r="M163" s="744">
        <f>IF(M$19=$B$169,+AVERAGE(M43,M55,M67,M79,M91,M103,M115,M127,M139,M151),+IF(M$19=$B$170,+(EXP((LN(+'4. Customer Growth'!$W$43)/12))*$K162),IF($M$19=$B$171,+$A163*$C$178+$D$178,0)))</f>
        <v>1</v>
      </c>
      <c r="N163" s="744">
        <f>IF(N$19=$B$169,+AVERAGE(N43,N55,N67,N79,N91,N103,N115,N127,N139,N151),+IF(N$19=$B$170,+(EXP((LN(+'4. Customer Growth'!$W$43)/12))*$K162),IF($N$19=$B$171,+$A163*$C$179+$D$179,0)))</f>
        <v>1</v>
      </c>
      <c r="O163" s="744">
        <f>IF(O$19=$B$169,+AVERAGE(O43,O55,O67,O79,O91,O103,O115,O127,O139,O151),+IF(O$19=$B$170,+(EXP((LN(+'4. Customer Growth'!$W$43)/12))*$O162),IF($O$19=$B$171,+$A163*$C$180+$D$180,0)))</f>
        <v>31</v>
      </c>
      <c r="P163" s="744">
        <f>IF(P$19=$B$169,+AVERAGE(P43,P55,P67,P79,P91,P103,P115,P127,P139,P151),+IF(P$19=$B$170,+(EXP((LN(+'4. Customer Growth'!$W$43)/12))*$P162),IF($P$19=$B$171,+$A163*$C$181+$D$181,0)))</f>
        <v>0</v>
      </c>
      <c r="R163" s="558">
        <f t="shared" si="11"/>
        <v>19753390.096652634</v>
      </c>
      <c r="S163" s="221">
        <f>SUM(R152:R163)</f>
        <v>199139994.65082523</v>
      </c>
    </row>
    <row r="164" spans="1:39" x14ac:dyDescent="0.2">
      <c r="B164" s="176"/>
      <c r="C164" s="716"/>
      <c r="D164" s="60"/>
      <c r="E164" s="60"/>
      <c r="F164" s="60"/>
      <c r="G164" s="60"/>
      <c r="H164" s="60"/>
      <c r="I164" s="60"/>
    </row>
    <row r="167" spans="1:39" x14ac:dyDescent="0.2">
      <c r="B167" s="301"/>
      <c r="C167" s="717"/>
      <c r="D167" s="727"/>
    </row>
    <row r="168" spans="1:39" hidden="1" x14ac:dyDescent="0.2">
      <c r="A168" s="302"/>
      <c r="B168" s="303" t="s">
        <v>171</v>
      </c>
      <c r="C168" s="718"/>
      <c r="D168" s="727"/>
      <c r="L168" s="726"/>
    </row>
    <row r="169" spans="1:39" hidden="1" x14ac:dyDescent="0.2">
      <c r="A169" s="302"/>
      <c r="B169" s="304" t="s">
        <v>169</v>
      </c>
      <c r="C169" s="719"/>
      <c r="D169" s="727"/>
    </row>
    <row r="170" spans="1:39" hidden="1" x14ac:dyDescent="0.2">
      <c r="A170" s="302"/>
      <c r="B170" s="305" t="s">
        <v>170</v>
      </c>
      <c r="C170" s="720"/>
      <c r="D170" s="727"/>
    </row>
    <row r="171" spans="1:39" hidden="1" x14ac:dyDescent="0.2">
      <c r="B171" s="500" t="s">
        <v>236</v>
      </c>
      <c r="C171" s="719"/>
      <c r="D171" s="727"/>
    </row>
    <row r="172" spans="1:39" hidden="1" x14ac:dyDescent="0.2">
      <c r="B172" s="728"/>
      <c r="C172" s="729"/>
      <c r="D172" s="730"/>
    </row>
    <row r="173" spans="1:39" hidden="1" x14ac:dyDescent="0.2">
      <c r="B173" s="728"/>
      <c r="C173" s="729"/>
      <c r="D173" s="730"/>
    </row>
    <row r="174" spans="1:39" hidden="1" x14ac:dyDescent="0.2">
      <c r="B174" s="1012" t="s">
        <v>237</v>
      </c>
      <c r="C174" s="1012"/>
      <c r="D174" s="1012"/>
    </row>
    <row r="175" spans="1:39" hidden="1" x14ac:dyDescent="0.2">
      <c r="B175" s="504" t="s">
        <v>149</v>
      </c>
      <c r="C175" s="721" t="s">
        <v>238</v>
      </c>
      <c r="D175" s="502" t="s">
        <v>239</v>
      </c>
    </row>
    <row r="176" spans="1:39" ht="14.25" hidden="1" x14ac:dyDescent="0.2">
      <c r="B176" s="504" t="s">
        <v>1</v>
      </c>
      <c r="C176" s="722">
        <f>INDEX(LINEST($K$20:$K139,$A$20:$A$139,TRUE,FALSE),1)</f>
        <v>-0.28549968747829702</v>
      </c>
      <c r="D176" s="501">
        <f>INDEX(LINEST($K$20:$K139,$A$20:$A$139,TRUE,FALSE),2)</f>
        <v>373.34439775910357</v>
      </c>
    </row>
    <row r="177" spans="2:4" ht="14.25" hidden="1" x14ac:dyDescent="0.2">
      <c r="B177" s="504" t="s">
        <v>2</v>
      </c>
      <c r="C177" s="722">
        <f>INDEX(LINEST($L$20:$L139,$A$20:$A$139,TRUE,FALSE),1)</f>
        <v>-2.7641850128481121E-2</v>
      </c>
      <c r="D177" s="501">
        <f>INDEX(LINEST($L$20:$L139,$A$20:$A$139,TRUE,FALSE),2)</f>
        <v>24.886498599439772</v>
      </c>
    </row>
    <row r="178" spans="2:4" ht="14.25" hidden="1" x14ac:dyDescent="0.2">
      <c r="B178" s="504" t="s">
        <v>134</v>
      </c>
      <c r="C178" s="722">
        <f>INDEX(LINEST($M$20:$M139,$A$20:$A$139,TRUE,FALSE),1)</f>
        <v>-3.1252170289603441E-4</v>
      </c>
      <c r="D178" s="501">
        <f>INDEX(LINEST($M$20:$M139,$A$20:$A$139,TRUE,FALSE),2)</f>
        <v>0.26890756302521007</v>
      </c>
    </row>
    <row r="179" spans="2:4" ht="14.25" hidden="1" x14ac:dyDescent="0.2">
      <c r="B179" s="504" t="s">
        <v>157</v>
      </c>
      <c r="C179" s="722">
        <f>INDEX(LINEST($N$20:$N139,$A$20:$A$139,TRUE,FALSE),1)</f>
        <v>-2.0834780193069099E-4</v>
      </c>
      <c r="D179" s="501">
        <f>INDEX(LINEST($N$20:$N139,$A$20:$A$139,TRUE,FALSE),2)</f>
        <v>0.3459383753501401</v>
      </c>
    </row>
    <row r="180" spans="2:4" ht="14.25" hidden="1" x14ac:dyDescent="0.2">
      <c r="B180" s="504" t="s">
        <v>133</v>
      </c>
      <c r="C180" s="722">
        <f>INDEX(LINEST($O$20:$O139,$A$20:$A$139,TRUE,FALSE),1)</f>
        <v>6.8060281964024845E-4</v>
      </c>
      <c r="D180" s="501">
        <f>INDEX(LINEST($O$20:$O139,$A$20:$A$139,TRUE,FALSE),2)</f>
        <v>30.3921568627451</v>
      </c>
    </row>
    <row r="181" spans="2:4" ht="14.25" hidden="1" x14ac:dyDescent="0.2">
      <c r="B181" s="504" t="s">
        <v>165</v>
      </c>
      <c r="C181" s="722">
        <f>INDEX(LINEST($P$20:$P139,$A$20:$A$139,TRUE,FALSE),1)</f>
        <v>0</v>
      </c>
      <c r="D181" s="501">
        <f>INDEX(LINEST($P$20:$P139,$A$20:$A$139,TRUE,FALSE),2)</f>
        <v>0</v>
      </c>
    </row>
    <row r="182" spans="2:4" x14ac:dyDescent="0.2">
      <c r="B182" s="728"/>
      <c r="C182" s="729"/>
      <c r="D182" s="730"/>
    </row>
  </sheetData>
  <mergeCells count="4">
    <mergeCell ref="K17:P17"/>
    <mergeCell ref="D17:I17"/>
    <mergeCell ref="Q19:S19"/>
    <mergeCell ref="B174:D174"/>
  </mergeCells>
  <phoneticPr fontId="0" type="noConversion"/>
  <dataValidations disablePrompts="1" count="2">
    <dataValidation type="list" allowBlank="1" showInputMessage="1" showErrorMessage="1" sqref="K18:P18">
      <formula1>AllVariables</formula1>
    </dataValidation>
    <dataValidation type="list" allowBlank="1" showInputMessage="1" showErrorMessage="1" sqref="K19:P19">
      <formula1>$B$169:$B$171</formula1>
    </dataValidation>
  </dataValidation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AM38"/>
  <sheetViews>
    <sheetView showGridLines="0" topLeftCell="A7" zoomScaleNormal="100" workbookViewId="0">
      <selection activeCell="I62" sqref="I62"/>
    </sheetView>
  </sheetViews>
  <sheetFormatPr defaultRowHeight="12.75" x14ac:dyDescent="0.2"/>
  <cols>
    <col min="1" max="1" width="13.6640625" style="1" customWidth="1"/>
    <col min="2" max="2" width="9.33203125" style="1"/>
    <col min="3" max="3" width="47.33203125" style="1" bestFit="1" customWidth="1"/>
    <col min="4" max="4" width="16.33203125" style="1" bestFit="1" customWidth="1"/>
    <col min="5" max="5" width="16.1640625" style="1" bestFit="1" customWidth="1"/>
    <col min="6" max="6" width="14.6640625" style="1" bestFit="1" customWidth="1"/>
    <col min="7" max="7" width="13" style="1" bestFit="1" customWidth="1"/>
    <col min="8" max="8" width="14" style="1" customWidth="1"/>
    <col min="9" max="9" width="13" style="1" bestFit="1" customWidth="1"/>
    <col min="10" max="11" width="14.1640625" style="1" bestFit="1" customWidth="1"/>
    <col min="12" max="16384" width="9.33203125" style="1"/>
  </cols>
  <sheetData>
    <row r="1" spans="1:39" s="536" customFormat="1" x14ac:dyDescent="0.2">
      <c r="A1" s="758" t="s">
        <v>272</v>
      </c>
    </row>
    <row r="2" spans="1:39" s="536" customFormat="1" x14ac:dyDescent="0.2"/>
    <row r="3" spans="1:39" s="536" customFormat="1" x14ac:dyDescent="0.2"/>
    <row r="4" spans="1:39" s="536" customFormat="1" x14ac:dyDescent="0.2"/>
    <row r="5" spans="1:39" s="536" customFormat="1" x14ac:dyDescent="0.2"/>
    <row r="6" spans="1:39" s="536" customFormat="1" x14ac:dyDescent="0.2"/>
    <row r="7" spans="1:39" s="536" customFormat="1" x14ac:dyDescent="0.2"/>
    <row r="8" spans="1:39" s="536" customFormat="1" x14ac:dyDescent="0.2"/>
    <row r="9" spans="1:39" s="536" customFormat="1" x14ac:dyDescent="0.2"/>
    <row r="10" spans="1:39" s="536" customFormat="1" x14ac:dyDescent="0.2"/>
    <row r="11" spans="1:39" s="536" customFormat="1" ht="23.25" x14ac:dyDescent="0.2">
      <c r="A11" s="259"/>
      <c r="B11" s="260" t="s">
        <v>255</v>
      </c>
      <c r="C11" s="246"/>
      <c r="D11" s="246"/>
      <c r="E11" s="246"/>
      <c r="F11" s="246"/>
      <c r="G11" s="246"/>
      <c r="H11" s="246"/>
      <c r="I11" s="246"/>
      <c r="J11" s="246"/>
      <c r="K11" s="246"/>
      <c r="L11" s="246"/>
      <c r="M11" s="246"/>
      <c r="N11" s="246"/>
      <c r="O11" s="246"/>
      <c r="P11" s="246"/>
      <c r="Q11" s="245"/>
      <c r="R11" s="246"/>
      <c r="S11" s="245"/>
      <c r="T11" s="245"/>
      <c r="U11" s="245"/>
      <c r="V11" s="245"/>
      <c r="W11" s="245"/>
      <c r="X11" s="245"/>
      <c r="Y11" s="245"/>
      <c r="Z11" s="245"/>
      <c r="AA11" s="245"/>
      <c r="AB11" s="245"/>
      <c r="AC11" s="245"/>
      <c r="AD11" s="245"/>
      <c r="AE11" s="245"/>
      <c r="AF11" s="245"/>
      <c r="AG11" s="245"/>
      <c r="AH11" s="245"/>
      <c r="AI11" s="245"/>
      <c r="AJ11" s="245"/>
      <c r="AK11" s="245"/>
      <c r="AL11" s="245"/>
      <c r="AM11" s="245"/>
    </row>
    <row r="12" spans="1:39" s="536" customFormat="1" ht="15" x14ac:dyDescent="0.2">
      <c r="A12" s="259"/>
      <c r="B12" s="63" t="s">
        <v>64</v>
      </c>
      <c r="C12" s="246"/>
      <c r="D12" s="246"/>
      <c r="E12" s="246"/>
      <c r="F12" s="246"/>
      <c r="G12" s="246"/>
      <c r="H12" s="246"/>
      <c r="I12" s="246"/>
      <c r="J12" s="246"/>
      <c r="K12" s="246"/>
      <c r="L12" s="246"/>
      <c r="M12" s="246"/>
      <c r="N12" s="246"/>
      <c r="O12" s="245"/>
      <c r="P12" s="246"/>
      <c r="Q12" s="245"/>
      <c r="R12" s="245"/>
      <c r="S12" s="245"/>
      <c r="T12" s="245"/>
      <c r="U12" s="245"/>
      <c r="V12" s="245"/>
      <c r="W12" s="245"/>
      <c r="X12" s="245"/>
      <c r="Y12" s="245"/>
      <c r="Z12" s="245"/>
      <c r="AA12" s="245"/>
      <c r="AB12" s="245"/>
      <c r="AC12" s="245"/>
      <c r="AD12" s="245"/>
      <c r="AE12" s="245"/>
      <c r="AF12" s="245"/>
      <c r="AG12" s="245"/>
      <c r="AH12" s="245"/>
      <c r="AI12" s="245"/>
      <c r="AJ12" s="245"/>
      <c r="AK12" s="245"/>
    </row>
    <row r="13" spans="1:39" s="536" customFormat="1" ht="14.25" x14ac:dyDescent="0.2">
      <c r="A13" s="259"/>
      <c r="B13" s="100" t="s">
        <v>253</v>
      </c>
      <c r="C13" s="246"/>
      <c r="D13" s="246"/>
      <c r="E13" s="246"/>
      <c r="F13" s="246"/>
      <c r="G13" s="246"/>
      <c r="H13" s="246"/>
      <c r="I13" s="246"/>
      <c r="J13" s="246"/>
      <c r="K13" s="246"/>
      <c r="L13" s="246"/>
      <c r="M13" s="246"/>
      <c r="N13" s="246"/>
      <c r="O13" s="246"/>
      <c r="P13" s="246"/>
      <c r="Q13" s="245"/>
      <c r="R13" s="246"/>
      <c r="S13" s="245"/>
      <c r="T13" s="245"/>
      <c r="U13" s="245"/>
      <c r="V13" s="245"/>
      <c r="W13" s="245"/>
      <c r="X13" s="245"/>
      <c r="Y13" s="245"/>
      <c r="Z13" s="245"/>
      <c r="AA13" s="245"/>
      <c r="AB13" s="245"/>
      <c r="AC13" s="245"/>
      <c r="AD13" s="245"/>
      <c r="AE13" s="245"/>
      <c r="AF13" s="245"/>
      <c r="AG13" s="245"/>
      <c r="AH13" s="245"/>
      <c r="AI13" s="245"/>
      <c r="AJ13" s="245"/>
      <c r="AK13" s="245"/>
      <c r="AL13" s="245"/>
      <c r="AM13" s="245"/>
    </row>
    <row r="14" spans="1:39" s="536" customFormat="1" ht="14.25" x14ac:dyDescent="0.2">
      <c r="A14" s="259"/>
      <c r="B14" s="100" t="s">
        <v>254</v>
      </c>
      <c r="C14" s="246"/>
      <c r="D14" s="246"/>
      <c r="E14" s="246"/>
      <c r="F14" s="246"/>
      <c r="G14" s="246"/>
      <c r="H14" s="246"/>
      <c r="I14" s="246"/>
      <c r="J14" s="246"/>
      <c r="K14" s="246"/>
      <c r="L14" s="246"/>
      <c r="M14" s="246"/>
      <c r="N14" s="246"/>
      <c r="O14" s="246"/>
      <c r="P14" s="246"/>
      <c r="Q14" s="245"/>
      <c r="R14" s="246"/>
      <c r="S14" s="245"/>
      <c r="T14" s="245"/>
      <c r="U14" s="245"/>
      <c r="V14" s="245"/>
      <c r="W14" s="245"/>
      <c r="X14" s="245"/>
      <c r="Y14" s="245"/>
      <c r="Z14" s="245"/>
      <c r="AA14" s="245"/>
      <c r="AB14" s="245"/>
      <c r="AC14" s="245"/>
      <c r="AD14" s="245"/>
      <c r="AE14" s="245"/>
      <c r="AF14" s="245"/>
      <c r="AG14" s="245"/>
      <c r="AH14" s="245"/>
      <c r="AI14" s="245"/>
      <c r="AJ14" s="245"/>
      <c r="AK14" s="245"/>
      <c r="AL14" s="245"/>
      <c r="AM14" s="245"/>
    </row>
    <row r="17" spans="2:11" x14ac:dyDescent="0.2">
      <c r="B17" t="s">
        <v>158</v>
      </c>
      <c r="C17"/>
      <c r="D17"/>
      <c r="E17"/>
      <c r="F17"/>
      <c r="G17"/>
      <c r="H17"/>
      <c r="I17"/>
      <c r="J17"/>
      <c r="K17"/>
    </row>
    <row r="18" spans="2:11" ht="13.5" thickBot="1" x14ac:dyDescent="0.25">
      <c r="B18"/>
      <c r="C18"/>
      <c r="D18"/>
      <c r="E18"/>
      <c r="F18"/>
      <c r="G18"/>
      <c r="H18"/>
      <c r="I18"/>
      <c r="J18"/>
      <c r="K18"/>
    </row>
    <row r="19" spans="2:11" x14ac:dyDescent="0.2">
      <c r="B19" s="549" t="s">
        <v>7</v>
      </c>
      <c r="C19" s="549"/>
      <c r="D19"/>
      <c r="E19"/>
      <c r="F19"/>
      <c r="G19"/>
      <c r="H19"/>
      <c r="I19"/>
      <c r="J19"/>
      <c r="K19"/>
    </row>
    <row r="20" spans="2:11" x14ac:dyDescent="0.2">
      <c r="B20" s="546" t="s">
        <v>8</v>
      </c>
      <c r="C20" s="546">
        <v>0.92668223566941954</v>
      </c>
      <c r="D20"/>
      <c r="E20"/>
      <c r="F20"/>
      <c r="G20"/>
      <c r="H20"/>
      <c r="I20"/>
      <c r="J20"/>
      <c r="K20"/>
    </row>
    <row r="21" spans="2:11" x14ac:dyDescent="0.2">
      <c r="B21" s="546" t="s">
        <v>9</v>
      </c>
      <c r="C21" s="546">
        <v>0.85873996590527357</v>
      </c>
      <c r="D21"/>
      <c r="E21"/>
      <c r="F21"/>
      <c r="G21"/>
      <c r="H21"/>
      <c r="I21"/>
      <c r="J21"/>
      <c r="K21"/>
    </row>
    <row r="22" spans="2:11" x14ac:dyDescent="0.2">
      <c r="B22" s="546" t="s">
        <v>10</v>
      </c>
      <c r="C22" s="546">
        <v>0.85254435037480314</v>
      </c>
      <c r="D22"/>
      <c r="E22"/>
      <c r="F22"/>
      <c r="G22"/>
      <c r="H22"/>
      <c r="I22"/>
      <c r="J22"/>
      <c r="K22"/>
    </row>
    <row r="23" spans="2:11" x14ac:dyDescent="0.2">
      <c r="B23" s="546" t="s">
        <v>11</v>
      </c>
      <c r="C23" s="546">
        <v>912139.52476786438</v>
      </c>
      <c r="D23"/>
      <c r="E23"/>
      <c r="F23"/>
      <c r="G23"/>
      <c r="H23"/>
      <c r="I23"/>
      <c r="J23"/>
      <c r="K23"/>
    </row>
    <row r="24" spans="2:11" ht="13.5" thickBot="1" x14ac:dyDescent="0.25">
      <c r="B24" s="547" t="s">
        <v>12</v>
      </c>
      <c r="C24" s="547">
        <v>120</v>
      </c>
      <c r="D24"/>
      <c r="E24"/>
      <c r="F24"/>
      <c r="G24"/>
      <c r="H24"/>
      <c r="I24"/>
      <c r="J24"/>
      <c r="K24"/>
    </row>
    <row r="25" spans="2:11" x14ac:dyDescent="0.2">
      <c r="B25"/>
      <c r="C25"/>
      <c r="D25"/>
      <c r="E25"/>
      <c r="F25"/>
      <c r="G25"/>
      <c r="H25"/>
      <c r="I25"/>
      <c r="J25"/>
      <c r="K25"/>
    </row>
    <row r="26" spans="2:11" ht="13.5" thickBot="1" x14ac:dyDescent="0.25">
      <c r="B26" t="s">
        <v>13</v>
      </c>
      <c r="C26"/>
      <c r="D26"/>
      <c r="E26"/>
      <c r="F26"/>
      <c r="G26"/>
      <c r="H26"/>
      <c r="I26"/>
      <c r="J26"/>
      <c r="K26"/>
    </row>
    <row r="27" spans="2:11" x14ac:dyDescent="0.2">
      <c r="B27" s="548"/>
      <c r="C27" s="548" t="s">
        <v>18</v>
      </c>
      <c r="D27" s="548" t="s">
        <v>19</v>
      </c>
      <c r="E27" s="548" t="s">
        <v>20</v>
      </c>
      <c r="F27" s="548" t="s">
        <v>21</v>
      </c>
      <c r="G27" s="548" t="s">
        <v>22</v>
      </c>
      <c r="H27"/>
      <c r="I27"/>
      <c r="J27"/>
      <c r="K27"/>
    </row>
    <row r="28" spans="2:11" x14ac:dyDescent="0.2">
      <c r="B28" s="546" t="s">
        <v>14</v>
      </c>
      <c r="C28" s="546">
        <v>5</v>
      </c>
      <c r="D28" s="546">
        <v>576593536886782.62</v>
      </c>
      <c r="E28" s="546">
        <v>115318707377356.53</v>
      </c>
      <c r="F28" s="546">
        <v>138.60446337929332</v>
      </c>
      <c r="G28" s="546">
        <v>9.5068561616320363E-47</v>
      </c>
      <c r="H28"/>
      <c r="I28"/>
      <c r="J28"/>
      <c r="K28"/>
    </row>
    <row r="29" spans="2:11" x14ac:dyDescent="0.2">
      <c r="B29" s="546" t="s">
        <v>15</v>
      </c>
      <c r="C29" s="546">
        <v>114</v>
      </c>
      <c r="D29" s="546">
        <v>94847830441386.984</v>
      </c>
      <c r="E29" s="546">
        <v>831998512643.74548</v>
      </c>
      <c r="F29" s="546"/>
      <c r="G29" s="546"/>
      <c r="H29"/>
      <c r="I29"/>
      <c r="J29"/>
      <c r="K29"/>
    </row>
    <row r="30" spans="2:11" ht="13.5" thickBot="1" x14ac:dyDescent="0.25">
      <c r="B30" s="547" t="s">
        <v>16</v>
      </c>
      <c r="C30" s="547">
        <v>119</v>
      </c>
      <c r="D30" s="547">
        <v>671441367328169.62</v>
      </c>
      <c r="E30" s="547"/>
      <c r="F30" s="547"/>
      <c r="G30" s="547"/>
      <c r="H30"/>
      <c r="I30"/>
      <c r="J30"/>
      <c r="K30"/>
    </row>
    <row r="31" spans="2:11" ht="13.5" thickBot="1" x14ac:dyDescent="0.25">
      <c r="B31"/>
      <c r="C31"/>
      <c r="D31"/>
      <c r="E31"/>
      <c r="F31"/>
      <c r="G31"/>
      <c r="H31"/>
      <c r="I31"/>
      <c r="J31"/>
      <c r="K31"/>
    </row>
    <row r="32" spans="2:11" x14ac:dyDescent="0.2">
      <c r="B32" s="548"/>
      <c r="C32" s="548" t="s">
        <v>23</v>
      </c>
      <c r="D32" s="548" t="s">
        <v>11</v>
      </c>
      <c r="E32" s="548" t="s">
        <v>24</v>
      </c>
      <c r="F32" s="548" t="s">
        <v>25</v>
      </c>
      <c r="G32" s="548" t="s">
        <v>26</v>
      </c>
      <c r="H32" s="548" t="s">
        <v>27</v>
      </c>
      <c r="I32" s="548" t="s">
        <v>28</v>
      </c>
      <c r="J32" s="548" t="s">
        <v>29</v>
      </c>
      <c r="K32"/>
    </row>
    <row r="33" spans="2:11" x14ac:dyDescent="0.2">
      <c r="B33" s="546" t="s">
        <v>17</v>
      </c>
      <c r="C33" s="546">
        <v>8741032.4856701158</v>
      </c>
      <c r="D33" s="546">
        <v>4558814.727491878</v>
      </c>
      <c r="E33" s="546">
        <v>1.9173914730417587</v>
      </c>
      <c r="F33" s="546">
        <v>5.7690619174398487E-2</v>
      </c>
      <c r="G33" s="546">
        <v>-289944.37739021145</v>
      </c>
      <c r="H33" s="546">
        <v>17772009.348730445</v>
      </c>
      <c r="I33" s="546">
        <v>-289944.37739021145</v>
      </c>
      <c r="J33" s="546">
        <v>17772009.348730445</v>
      </c>
      <c r="K33"/>
    </row>
    <row r="34" spans="2:11" x14ac:dyDescent="0.2">
      <c r="B34" s="546" t="s">
        <v>411</v>
      </c>
      <c r="C34" s="546">
        <v>6535.9894244588641</v>
      </c>
      <c r="D34" s="546">
        <v>697.1191117335693</v>
      </c>
      <c r="E34" s="546">
        <v>9.3757140127824261</v>
      </c>
      <c r="F34" s="546">
        <v>7.9193340633128532E-16</v>
      </c>
      <c r="G34" s="546">
        <v>5155.0018333428907</v>
      </c>
      <c r="H34" s="546">
        <v>7916.9770155748374</v>
      </c>
      <c r="I34" s="546">
        <v>5155.0018333428907</v>
      </c>
      <c r="J34" s="546">
        <v>7916.9770155748374</v>
      </c>
      <c r="K34"/>
    </row>
    <row r="35" spans="2:11" x14ac:dyDescent="0.2">
      <c r="B35" s="546" t="s">
        <v>412</v>
      </c>
      <c r="C35" s="546">
        <v>23882.238363365457</v>
      </c>
      <c r="D35" s="546">
        <v>3791.0175307780228</v>
      </c>
      <c r="E35" s="546">
        <v>6.2996908269279759</v>
      </c>
      <c r="F35" s="546">
        <v>5.7778879292262121E-9</v>
      </c>
      <c r="G35" s="546">
        <v>16372.261833402732</v>
      </c>
      <c r="H35" s="546">
        <v>31392.214893328182</v>
      </c>
      <c r="I35" s="546">
        <v>16372.261833402732</v>
      </c>
      <c r="J35" s="546">
        <v>31392.214893328182</v>
      </c>
      <c r="K35"/>
    </row>
    <row r="36" spans="2:11" x14ac:dyDescent="0.2">
      <c r="B36" s="546" t="s">
        <v>413</v>
      </c>
      <c r="C36" s="546">
        <v>1602289.4249446383</v>
      </c>
      <c r="D36" s="546">
        <v>330721.58922940941</v>
      </c>
      <c r="E36" s="546">
        <v>4.8448286326816996</v>
      </c>
      <c r="F36" s="546">
        <v>4.0276505998579839E-6</v>
      </c>
      <c r="G36" s="546">
        <v>947132.5039068422</v>
      </c>
      <c r="H36" s="546">
        <v>2257446.3459824342</v>
      </c>
      <c r="I36" s="546">
        <v>947132.5039068422</v>
      </c>
      <c r="J36" s="546">
        <v>2257446.3459824342</v>
      </c>
      <c r="K36"/>
    </row>
    <row r="37" spans="2:11" x14ac:dyDescent="0.2">
      <c r="B37" s="546" t="s">
        <v>414</v>
      </c>
      <c r="C37" s="546">
        <v>349016.37110289093</v>
      </c>
      <c r="D37" s="546">
        <v>318903.24981230561</v>
      </c>
      <c r="E37" s="546">
        <v>1.0944271383509223</v>
      </c>
      <c r="F37" s="546">
        <v>0.276074686511116</v>
      </c>
      <c r="G37" s="546">
        <v>-282728.51057475794</v>
      </c>
      <c r="H37" s="546">
        <v>980761.2527805398</v>
      </c>
      <c r="I37" s="546">
        <v>-282728.51057475794</v>
      </c>
      <c r="J37" s="546">
        <v>980761.2527805398</v>
      </c>
      <c r="K37"/>
    </row>
    <row r="38" spans="2:11" ht="13.5" thickBot="1" x14ac:dyDescent="0.25">
      <c r="B38" s="547" t="s">
        <v>415</v>
      </c>
      <c r="C38" s="547">
        <v>147431.69784035117</v>
      </c>
      <c r="D38" s="547">
        <v>148056.87763293143</v>
      </c>
      <c r="E38" s="547">
        <v>0.99577743497920967</v>
      </c>
      <c r="F38" s="547">
        <v>0.3214672364638046</v>
      </c>
      <c r="G38" s="547">
        <v>-145867.83641284032</v>
      </c>
      <c r="H38" s="547">
        <v>440731.2320935427</v>
      </c>
      <c r="I38" s="547">
        <v>-145867.83641284032</v>
      </c>
      <c r="J38" s="547">
        <v>440731.2320935427</v>
      </c>
      <c r="K38"/>
    </row>
  </sheetData>
  <phoneticPr fontId="0" type="noConversion"/>
  <pageMargins left="0.75" right="0.75" top="1" bottom="1" header="0.5" footer="0.5"/>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56"/>
  <sheetViews>
    <sheetView showGridLines="0" zoomScaleNormal="100" workbookViewId="0">
      <selection activeCell="F32" sqref="F32"/>
    </sheetView>
  </sheetViews>
  <sheetFormatPr defaultColWidth="11.1640625" defaultRowHeight="12.75" x14ac:dyDescent="0.2"/>
  <cols>
    <col min="1" max="1" width="13.6640625" style="1" customWidth="1"/>
    <col min="2" max="2" width="15" style="58" customWidth="1"/>
    <col min="3" max="3" width="16" style="58" customWidth="1"/>
    <col min="4" max="7" width="15" style="58" customWidth="1"/>
    <col min="8" max="8" width="15" style="1" customWidth="1"/>
    <col min="9" max="9" width="3.33203125" style="64" customWidth="1"/>
    <col min="10" max="16" width="15" style="1" customWidth="1"/>
    <col min="17" max="17" width="3.1640625" style="64" customWidth="1"/>
    <col min="18" max="24" width="15" style="1" customWidth="1"/>
    <col min="25" max="25" width="3" style="1" customWidth="1"/>
    <col min="26" max="32" width="15" style="1" customWidth="1"/>
    <col min="33" max="33" width="2.83203125" style="1" customWidth="1"/>
    <col min="34" max="40" width="15" style="1" customWidth="1"/>
    <col min="41" max="41" width="3.83203125" style="1" customWidth="1"/>
    <col min="42" max="16384" width="11.1640625" style="1"/>
  </cols>
  <sheetData>
    <row r="1" spans="1:17" s="536" customFormat="1" x14ac:dyDescent="0.2">
      <c r="A1" s="758" t="s">
        <v>272</v>
      </c>
      <c r="B1" s="58"/>
      <c r="C1" s="58"/>
      <c r="D1" s="58"/>
      <c r="E1" s="58"/>
      <c r="F1" s="58"/>
      <c r="G1" s="58"/>
      <c r="I1" s="64"/>
      <c r="Q1" s="64"/>
    </row>
    <row r="2" spans="1:17" s="536" customFormat="1" x14ac:dyDescent="0.2">
      <c r="B2" s="58"/>
      <c r="C2" s="58"/>
      <c r="D2" s="58"/>
      <c r="E2" s="58"/>
      <c r="F2" s="58"/>
      <c r="G2" s="58"/>
      <c r="I2" s="64"/>
      <c r="Q2" s="64"/>
    </row>
    <row r="3" spans="1:17" s="536" customFormat="1" x14ac:dyDescent="0.2">
      <c r="B3" s="58"/>
      <c r="C3" s="58"/>
      <c r="D3" s="58"/>
      <c r="E3" s="58"/>
      <c r="F3" s="58"/>
      <c r="G3" s="58"/>
      <c r="I3" s="64"/>
      <c r="Q3" s="64"/>
    </row>
    <row r="4" spans="1:17" s="536" customFormat="1" x14ac:dyDescent="0.2">
      <c r="B4" s="58"/>
      <c r="C4" s="58"/>
      <c r="D4" s="58"/>
      <c r="E4" s="58"/>
      <c r="F4" s="58"/>
      <c r="G4" s="58"/>
      <c r="I4" s="64"/>
      <c r="Q4" s="64"/>
    </row>
    <row r="5" spans="1:17" s="536" customFormat="1" x14ac:dyDescent="0.2">
      <c r="B5" s="58"/>
      <c r="C5" s="58"/>
      <c r="D5" s="58"/>
      <c r="E5" s="58"/>
      <c r="F5" s="58"/>
      <c r="G5" s="58"/>
      <c r="I5" s="64"/>
      <c r="Q5" s="64"/>
    </row>
    <row r="6" spans="1:17" s="536" customFormat="1" x14ac:dyDescent="0.2">
      <c r="B6" s="58"/>
      <c r="C6" s="58"/>
      <c r="D6" s="58"/>
      <c r="E6" s="58"/>
      <c r="F6" s="58"/>
      <c r="G6" s="58"/>
      <c r="I6" s="64"/>
      <c r="Q6" s="64"/>
    </row>
    <row r="7" spans="1:17" s="536" customFormat="1" x14ac:dyDescent="0.2">
      <c r="B7" s="58"/>
      <c r="C7" s="58"/>
      <c r="D7" s="58"/>
      <c r="E7" s="58"/>
      <c r="F7" s="58"/>
      <c r="G7" s="58"/>
      <c r="I7" s="64"/>
      <c r="Q7" s="64"/>
    </row>
    <row r="8" spans="1:17" s="536" customFormat="1" x14ac:dyDescent="0.2">
      <c r="B8" s="58"/>
      <c r="C8" s="58"/>
      <c r="D8" s="58"/>
      <c r="E8" s="58"/>
      <c r="F8" s="58"/>
      <c r="G8" s="58"/>
      <c r="I8" s="64"/>
      <c r="Q8" s="64"/>
    </row>
    <row r="9" spans="1:17" s="536" customFormat="1" x14ac:dyDescent="0.2">
      <c r="B9" s="58"/>
      <c r="C9" s="58"/>
      <c r="D9" s="58"/>
      <c r="E9" s="58"/>
      <c r="F9" s="58"/>
      <c r="G9" s="58"/>
      <c r="I9" s="64"/>
      <c r="Q9" s="64"/>
    </row>
    <row r="10" spans="1:17" s="536" customFormat="1" x14ac:dyDescent="0.2">
      <c r="B10" s="58"/>
      <c r="C10" s="58"/>
      <c r="D10" s="58"/>
      <c r="E10" s="58"/>
      <c r="F10" s="58"/>
      <c r="G10" s="58"/>
      <c r="I10" s="64"/>
      <c r="Q10" s="64"/>
    </row>
    <row r="11" spans="1:17" s="64" customFormat="1" ht="15.75" customHeight="1" x14ac:dyDescent="0.2">
      <c r="B11" s="133" t="s">
        <v>44</v>
      </c>
      <c r="D11" s="3"/>
      <c r="E11" s="3"/>
      <c r="F11" s="3"/>
      <c r="G11" s="3"/>
      <c r="H11" s="3"/>
      <c r="I11" s="3"/>
    </row>
    <row r="12" spans="1:17" s="64" customFormat="1" ht="15.75" customHeight="1" x14ac:dyDescent="0.2">
      <c r="B12" s="63" t="s">
        <v>64</v>
      </c>
      <c r="D12" s="3"/>
      <c r="E12" s="3"/>
      <c r="F12" s="3"/>
      <c r="G12" s="3"/>
      <c r="H12" s="3"/>
      <c r="I12" s="3"/>
    </row>
    <row r="13" spans="1:17" s="64" customFormat="1" ht="15.75" customHeight="1" x14ac:dyDescent="0.2">
      <c r="B13" s="100" t="s">
        <v>256</v>
      </c>
      <c r="D13" s="3"/>
      <c r="E13" s="3"/>
      <c r="F13" s="3"/>
      <c r="G13" s="3"/>
      <c r="H13" s="3"/>
      <c r="I13" s="3"/>
    </row>
    <row r="14" spans="1:17" s="64" customFormat="1" ht="15.75" customHeight="1" x14ac:dyDescent="0.2">
      <c r="B14" s="100" t="s">
        <v>257</v>
      </c>
      <c r="D14" s="3"/>
      <c r="E14" s="3"/>
      <c r="F14" s="3"/>
      <c r="G14" s="3"/>
      <c r="H14" s="3"/>
      <c r="I14" s="3"/>
    </row>
    <row r="15" spans="1:17" ht="12.75" customHeight="1" thickBot="1" x14ac:dyDescent="0.25"/>
    <row r="16" spans="1:17" ht="15.75" thickBot="1" x14ac:dyDescent="0.3">
      <c r="B16" s="318" t="s">
        <v>180</v>
      </c>
      <c r="G16" s="566" t="s">
        <v>178</v>
      </c>
    </row>
    <row r="17" spans="2:40" ht="12.75" customHeight="1" x14ac:dyDescent="0.2"/>
    <row r="18" spans="2:40" ht="12.75" customHeight="1" thickBot="1" x14ac:dyDescent="0.25"/>
    <row r="19" spans="2:40" ht="14.25" customHeight="1" thickBot="1" x14ac:dyDescent="0.25">
      <c r="B19" s="1013" t="s">
        <v>6</v>
      </c>
      <c r="C19" s="1014"/>
      <c r="D19" s="1014"/>
      <c r="E19" s="1014"/>
      <c r="F19" s="1014"/>
      <c r="G19" s="1014"/>
      <c r="H19" s="1015"/>
      <c r="I19" s="145"/>
      <c r="J19" s="1013" t="s">
        <v>98</v>
      </c>
      <c r="K19" s="1014"/>
      <c r="L19" s="1014"/>
      <c r="M19" s="1014"/>
      <c r="N19" s="1014"/>
      <c r="O19" s="1014"/>
      <c r="P19" s="1015"/>
      <c r="Q19" s="145"/>
      <c r="R19" s="1013" t="s">
        <v>267</v>
      </c>
      <c r="S19" s="1014"/>
      <c r="T19" s="1014"/>
      <c r="U19" s="1014"/>
      <c r="V19" s="1014"/>
      <c r="W19" s="1014"/>
      <c r="X19" s="1015"/>
      <c r="Z19" s="1013"/>
      <c r="AA19" s="1014"/>
      <c r="AB19" s="1014"/>
      <c r="AC19" s="1014"/>
      <c r="AD19" s="1014"/>
      <c r="AE19" s="1014"/>
      <c r="AF19" s="1015"/>
      <c r="AH19" s="1013"/>
      <c r="AI19" s="1014"/>
      <c r="AJ19" s="1014"/>
      <c r="AK19" s="1014"/>
      <c r="AL19" s="1014"/>
      <c r="AM19" s="1014"/>
      <c r="AN19" s="1015"/>
    </row>
    <row r="20" spans="2:40" ht="59.25" customHeight="1" thickBot="1" x14ac:dyDescent="0.25">
      <c r="B20" s="65" t="s">
        <v>33</v>
      </c>
      <c r="C20" s="219" t="s">
        <v>153</v>
      </c>
      <c r="D20" s="219" t="s">
        <v>151</v>
      </c>
      <c r="E20" s="219" t="s">
        <v>148</v>
      </c>
      <c r="F20" s="67" t="s">
        <v>152</v>
      </c>
      <c r="G20" s="66" t="s">
        <v>34</v>
      </c>
      <c r="H20" s="68" t="s">
        <v>38</v>
      </c>
      <c r="I20" s="146"/>
      <c r="J20" s="65" t="s">
        <v>33</v>
      </c>
      <c r="K20" s="219" t="s">
        <v>154</v>
      </c>
      <c r="L20" s="219" t="s">
        <v>151</v>
      </c>
      <c r="M20" s="219" t="s">
        <v>148</v>
      </c>
      <c r="N20" s="67" t="s">
        <v>152</v>
      </c>
      <c r="O20" s="66" t="s">
        <v>34</v>
      </c>
      <c r="P20" s="68" t="s">
        <v>38</v>
      </c>
      <c r="Q20" s="146"/>
      <c r="R20" s="65" t="s">
        <v>33</v>
      </c>
      <c r="S20" s="219" t="s">
        <v>155</v>
      </c>
      <c r="T20" s="219" t="s">
        <v>151</v>
      </c>
      <c r="U20" s="219" t="s">
        <v>148</v>
      </c>
      <c r="V20" s="67" t="s">
        <v>152</v>
      </c>
      <c r="W20" s="66" t="s">
        <v>34</v>
      </c>
      <c r="X20" s="68" t="s">
        <v>38</v>
      </c>
      <c r="Z20" s="65" t="s">
        <v>33</v>
      </c>
      <c r="AA20" s="219" t="s">
        <v>155</v>
      </c>
      <c r="AB20" s="219" t="s">
        <v>151</v>
      </c>
      <c r="AC20" s="219" t="s">
        <v>148</v>
      </c>
      <c r="AD20" s="67" t="s">
        <v>152</v>
      </c>
      <c r="AE20" s="66" t="s">
        <v>34</v>
      </c>
      <c r="AF20" s="68" t="s">
        <v>38</v>
      </c>
      <c r="AH20" s="65" t="s">
        <v>33</v>
      </c>
      <c r="AI20" s="219" t="s">
        <v>155</v>
      </c>
      <c r="AJ20" s="219" t="s">
        <v>151</v>
      </c>
      <c r="AK20" s="219" t="s">
        <v>148</v>
      </c>
      <c r="AL20" s="67" t="s">
        <v>152</v>
      </c>
      <c r="AM20" s="66" t="s">
        <v>34</v>
      </c>
      <c r="AN20" s="68" t="s">
        <v>38</v>
      </c>
    </row>
    <row r="21" spans="2:40" x14ac:dyDescent="0.2">
      <c r="B21" s="178">
        <f>'4. Customer Growth'!B17</f>
        <v>2005</v>
      </c>
      <c r="C21" s="70">
        <f>IF($B$19='2. Customer Classes'!$B$14,+SUM('3. Consumption by Rate Class'!$D$25:$D$36),+IF($B$19='2. Customer Classes'!$B$15,+SUM('3. Consumption by Rate Class'!$F$25:$F$36),+IF($B$19='2. Customer Classes'!$B$16,+SUM('3. Consumption by Rate Class'!$H$25:$H$36),+IF($B$19='2. Customer Classes'!$B$17,+SUM('3. Consumption by Rate Class'!$J$25:$J$36),+IF($B$19='2. Customer Classes'!$B$18,+SUM('3. Consumption by Rate Class'!$L$25:$L$36),+IF($B$19='2. Customer Classes'!$B$19,+SUM('3. Consumption by Rate Class'!$O$25:$O$36),IF($B$19='2. Customer Classes'!$B$20,+SUM('3. Consumption by Rate Class'!$R$25:$R$36),0)))))))</f>
        <v>76867401</v>
      </c>
      <c r="D21" s="70">
        <f>SUM('6. WS Regression Analysis'!J20:J31)</f>
        <v>209871328.75141218</v>
      </c>
      <c r="E21" s="70">
        <f>SUM('6. WS Regression Analysis'!R20:R31)</f>
        <v>203293901.55999801</v>
      </c>
      <c r="F21" s="71">
        <f>C21/D21</f>
        <v>0.36625965755926426</v>
      </c>
      <c r="G21" s="70">
        <f>E21*F21</f>
        <v>74458354.769251645</v>
      </c>
      <c r="H21" s="70">
        <f>IF($B$19='2. Customer Classes'!$B$14,+G21/'4. Customer Growth'!$C17,+IF($B$19='2. Customer Classes'!$B$15,+G21/'4. Customer Growth'!$E17,+IF($B$19='2. Customer Classes'!$B$16,+G21/'4. Customer Growth'!$G17,+IF($B$19='2. Customer Classes'!$B$17,+G21/'4. Customer Growth'!$I17,+IF($B$19='2. Customer Classes'!$B$18,+G21/'4. Customer Growth'!$K17,+IF($B$19='2. Customer Classes'!$B$19,+G21/'4. Customer Growth'!$M17,IF($B$19='2. Customer Classes'!$B$20,+G21/'4. Customer Growth'!$O17)))))))</f>
        <v>8632.8527268697562</v>
      </c>
      <c r="I21" s="82"/>
      <c r="J21" s="178">
        <f>B21</f>
        <v>2005</v>
      </c>
      <c r="K21" s="70">
        <f>IF($J$19='2. Customer Classes'!$B$14,+SUM('3. Consumption by Rate Class'!$D$25:$D$36),+IF($J$19='2. Customer Classes'!$B$15,+SUM('3. Consumption by Rate Class'!$F$25:$F$36),+IF($J$19='2. Customer Classes'!$B$16,+SUM('3. Consumption by Rate Class'!$H$25:$H$36),+IF($J$19='2. Customer Classes'!$B$17,+SUM('3. Consumption by Rate Class'!$J$25:$J$36),+IF($J$19='2. Customer Classes'!$B$18,+SUM('3. Consumption by Rate Class'!$L$25:$L$36),+IF($J$19='2. Customer Classes'!$B$19,+SUM('3. Consumption by Rate Class'!$O$25:$O$36),IF($J$19='2. Customer Classes'!$B$20,+SUM('3. Consumption by Rate Class'!$R$25:$R$36),0)))))))</f>
        <v>43814909</v>
      </c>
      <c r="L21" s="70">
        <f>D21</f>
        <v>209871328.75141218</v>
      </c>
      <c r="M21" s="70">
        <f t="shared" ref="M21:M30" si="0">E21</f>
        <v>203293901.55999801</v>
      </c>
      <c r="N21" s="71">
        <f t="shared" ref="N21:N29" si="1">K21/L21</f>
        <v>0.20877034162154548</v>
      </c>
      <c r="O21" s="70">
        <f>M21*N21</f>
        <v>42441737.278257623</v>
      </c>
      <c r="P21" s="70">
        <f>IF($J$19='2. Customer Classes'!$B$14,+O21/'4. Customer Growth'!$C17,+IF($J$19='2. Customer Classes'!$B$15,+O21/'4. Customer Growth'!$E17,+IF($J$19='2. Customer Classes'!$B$16,+O21/'4. Customer Growth'!$G17,+IF($J$19='2. Customer Classes'!$B$17,+O21/'4. Customer Growth'!$I17,+IF($J$19='2. Customer Classes'!$B$18,+O21/'4. Customer Growth'!$K17,+IF($J$19='2. Customer Classes'!$B$19,+O21/'4. Customer Growth'!$M17,IF($J$19='2. Customer Classes'!$B$20,+O21/'4. Customer Growth'!$O17)))))))</f>
        <v>28370.14523947702</v>
      </c>
      <c r="Q21" s="82"/>
      <c r="R21" s="178">
        <f>B21</f>
        <v>2005</v>
      </c>
      <c r="S21" s="70">
        <f>IF($R$19='2. Customer Classes'!$B$14,+SUM('3. Consumption by Rate Class'!$D$25:$D$36),+IF($R$19='2. Customer Classes'!$B$15,+SUM('3. Consumption by Rate Class'!$F$25:$F$36),+IF($R$19='2. Customer Classes'!$B$16,+SUM('3. Consumption by Rate Class'!$H$25:$H$36),+IF($R$19='2. Customer Classes'!$B$17,+SUM('3. Consumption by Rate Class'!$J$25:$J$36),+IF($R$19='2. Customer Classes'!$B$18,+SUM('3. Consumption by Rate Class'!$L$25:$L$36),+IF($R$19='2. Customer Classes'!$B$19,+SUM('3. Consumption by Rate Class'!$O$25:$O$36),IF($R$19='2. Customer Classes'!$B$20,+SUM('3. Consumption by Rate Class'!$R$25:$R$36),0)))))))</f>
        <v>74429057</v>
      </c>
      <c r="T21" s="70">
        <f t="shared" ref="T21:T30" si="2">L21</f>
        <v>209871328.75141218</v>
      </c>
      <c r="U21" s="70">
        <f t="shared" ref="U21:U30" si="3">M21</f>
        <v>203293901.55999801</v>
      </c>
      <c r="V21" s="71">
        <f>S21/T21</f>
        <v>0.35464137689888803</v>
      </c>
      <c r="W21" s="70">
        <f>U21*V21</f>
        <v>72096429.164384693</v>
      </c>
      <c r="X21" s="70">
        <f>IF($R$19='2. Customer Classes'!$B$14,+W21/'4. Customer Growth'!$C17,+IF($R$19='2. Customer Classes'!$B$15,+W21/'4. Customer Growth'!$E17,+IF($R$19='2. Customer Classes'!$B$16,+W21/'4. Customer Growth'!$G17,+IF($R$19='2. Customer Classes'!$B$17,+W21/'4. Customer Growth'!$I17,+IF($R$19='2. Customer Classes'!$B$18,+W21/'4. Customer Growth'!$K17,+IF($R$19='2. Customer Classes'!$B$19,+W21/'4. Customer Growth'!$M17,IF($R$19='2. Customer Classes'!$B$20,+W21/'4. Customer Growth'!$O17)))))))</f>
        <v>538033.0534655574</v>
      </c>
      <c r="Z21" s="178">
        <f>J21</f>
        <v>2005</v>
      </c>
      <c r="AA21" s="70">
        <f>IF($Z$19='2. Customer Classes'!$B$14,+SUM('3. Consumption by Rate Class'!$D$25:$D$36),+IF($Z$19='2. Customer Classes'!$B$15,+SUM('3. Consumption by Rate Class'!$F$25:$F$36),+IF($Z$19='2. Customer Classes'!$B$16,+SUM('3. Consumption by Rate Class'!$H$25:$H$36),+IF($Z$19='2. Customer Classes'!$B$17,+SUM('3. Consumption by Rate Class'!$J$25:$J$36),+IF($Z$19='2. Customer Classes'!$B$18,+SUM('3. Consumption by Rate Class'!$L$25:$L$36),+IF($Z$19='2. Customer Classes'!$B$19,+SUM('3. Consumption by Rate Class'!$O$25:$O$36),IF($Z$19='2. Customer Classes'!$B$20,+SUM('3. Consumption by Rate Class'!$R$25:$R$36),0)))))))</f>
        <v>0</v>
      </c>
      <c r="AB21" s="70">
        <f t="shared" ref="AB21:AB30" si="4">T21</f>
        <v>209871328.75141218</v>
      </c>
      <c r="AC21" s="70">
        <f t="shared" ref="AC21:AC30" si="5">U21</f>
        <v>203293901.55999801</v>
      </c>
      <c r="AD21" s="71">
        <f t="shared" ref="AD21:AD30" si="6">AA21/AB21</f>
        <v>0</v>
      </c>
      <c r="AE21" s="70">
        <f>AC21*AD21</f>
        <v>0</v>
      </c>
      <c r="AF21" s="70" t="e">
        <f>IF($Z$19='2. Customer Classes'!$B$14,+AE21/'4. Customer Growth'!$C17,+IF($Z$19='2. Customer Classes'!$B$15,+AE21/'4. Customer Growth'!$E17,+IF($Z$19='2. Customer Classes'!$B$16,+AE21/'4. Customer Growth'!$G17,+IF($Z$19='2. Customer Classes'!$B$17,+AE21/'4. Customer Growth'!$I17,+IF($Z$19='2. Customer Classes'!$B$18,+AE21/'4. Customer Growth'!$K17,+IF($Z$19='2. Customer Classes'!$B$19,+AE21/'4. Customer Growth'!$M17,IF($Z$19='2. Customer Classes'!$B$20,+AE21/'4. Customer Growth'!$O17)))))))</f>
        <v>#DIV/0!</v>
      </c>
      <c r="AH21" s="178">
        <f>R21</f>
        <v>2005</v>
      </c>
      <c r="AI21" s="70">
        <f>IF($AH$19='2. Customer Classes'!$B$14,+SUM('3. Consumption by Rate Class'!$D$25:$D$36),+IF($AH$19='2. Customer Classes'!$B$15,+SUM('3. Consumption by Rate Class'!$F$25:$F$36),+IF($AH$19='2. Customer Classes'!$B$16,+SUM('3. Consumption by Rate Class'!$H$25:$H$36),+IF($AH$19='2. Customer Classes'!$B$17,+SUM('3. Consumption by Rate Class'!$J$25:$J$36),+IF($AH$19='2. Customer Classes'!$B$18,+SUM('3. Consumption by Rate Class'!$L$25:$L$36),+IF($AH$19='2. Customer Classes'!$B$19,+SUM('3. Consumption by Rate Class'!$O$25:$O$36),IF($AH$19='2. Customer Classes'!$B$20,+SUM('3. Consumption by Rate Class'!$R$25:$R$36),0)))))))</f>
        <v>0</v>
      </c>
      <c r="AJ21" s="70">
        <f t="shared" ref="AJ21:AJ30" si="7">AB21</f>
        <v>209871328.75141218</v>
      </c>
      <c r="AK21" s="70">
        <f t="shared" ref="AK21:AK30" si="8">AC21</f>
        <v>203293901.55999801</v>
      </c>
      <c r="AL21" s="71">
        <f t="shared" ref="AL21:AL30" si="9">AI21/AJ21</f>
        <v>0</v>
      </c>
      <c r="AM21" s="70">
        <f>AK21*AL21</f>
        <v>0</v>
      </c>
      <c r="AN21" s="70" t="e">
        <f>IF($AH$19='2. Customer Classes'!$B$14,+AM21/'4. Customer Growth'!$C17,+IF($AH$19='2. Customer Classes'!$B$15,+AM21/'4. Customer Growth'!$E17,+IF($AH$19='2. Customer Classes'!$B$16,+AM21/'4. Customer Growth'!$G17,+IF($AH$19='2. Customer Classes'!$B$17,+AM21/'4. Customer Growth'!$I17,+IF($AH$19='2. Customer Classes'!$B$18,+AM21/'4. Customer Growth'!$K17,+IF($AH$19='2. Customer Classes'!$B$19,+AM21/'4. Customer Growth'!$M17,IF($AH$19='2. Customer Classes'!$B$20,+AM21/'4. Customer Growth'!$O17)))))))</f>
        <v>#DIV/0!</v>
      </c>
    </row>
    <row r="22" spans="2:40" x14ac:dyDescent="0.2">
      <c r="B22" s="178">
        <f>'4. Customer Growth'!B18</f>
        <v>2006</v>
      </c>
      <c r="C22" s="70">
        <f>IF($B$19='2. Customer Classes'!$B$14,+SUM('3. Consumption by Rate Class'!$D$37:$D$48),+IF($B$19='2. Customer Classes'!$B$15,+SUM('3. Consumption by Rate Class'!$F$37:$F$48),+IF($B$19='2. Customer Classes'!$B$16,+SUM('3. Consumption by Rate Class'!$H$37:$H$48),+IF($B$19='2. Customer Classes'!$B$17,+SUM('3. Consumption by Rate Class'!$J$37:$J$48),+IF($B$19='2. Customer Classes'!$B$18,+SUM('3. Consumption by Rate Class'!$L$37:$L$48),+IF($B$19='2. Customer Classes'!$B$19,+SUM('3. Consumption by Rate Class'!$O$37:$O$48),IF($B$19='2. Customer Classes'!$B$20,+SUM('3. Consumption by Rate Class'!$R$37:$R$48),0)))))))</f>
        <v>80301785</v>
      </c>
      <c r="D22" s="72">
        <f>SUM('6. WS Regression Analysis'!J32:J43)</f>
        <v>203367791.46020103</v>
      </c>
      <c r="E22" s="72">
        <f>SUM('6. WS Regression Analysis'!R32:R43)</f>
        <v>197705360.17346084</v>
      </c>
      <c r="F22" s="73">
        <f t="shared" ref="F22:F29" si="10">C22/D22</f>
        <v>0.39485989607019467</v>
      </c>
      <c r="G22" s="72">
        <f t="shared" ref="G22:G32" si="11">E22*F22</f>
        <v>78065917.970613152</v>
      </c>
      <c r="H22" s="70">
        <f>IF($B$19='2. Customer Classes'!$B$14,+G22/'4. Customer Growth'!$C18,+IF($B$19='2. Customer Classes'!$B$15,+G22/'4. Customer Growth'!$E18,+IF($B$19='2. Customer Classes'!$B$16,+G22/'4. Customer Growth'!$G18,+IF($B$19='2. Customer Classes'!$B$17,+G22/'4. Customer Growth'!$I18,+IF($B$19='2. Customer Classes'!$B$18,+G22/'4. Customer Growth'!$K18,+IF($B$19='2. Customer Classes'!$B$19,+G22/'4. Customer Growth'!$M18,IF($B$19='2. Customer Classes'!$B$20,+G22/'4. Customer Growth'!$O18)))))))</f>
        <v>8977.2214777614026</v>
      </c>
      <c r="I22" s="82"/>
      <c r="J22" s="178">
        <f t="shared" ref="J22:J32" si="12">B22</f>
        <v>2006</v>
      </c>
      <c r="K22" s="70">
        <f>IF($J$19='2. Customer Classes'!$B$14,+SUM('3. Consumption by Rate Class'!$D$37:$D$48),+IF($J$19='2. Customer Classes'!$B$15,+SUM('3. Consumption by Rate Class'!$F$37:$F$48),+IF($J$19='2. Customer Classes'!$B$16,+SUM('3. Consumption by Rate Class'!$H$37:$H$48),+IF($J$19='2. Customer Classes'!$B$17,+SUM('3. Consumption by Rate Class'!$J$37:$J$48),+IF($J$19='2. Customer Classes'!$B$18,+SUM('3. Consumption by Rate Class'!$L$37:$L$48),+IF($J$19='2. Customer Classes'!$B$19,+SUM('3. Consumption by Rate Class'!$O$37:$O$48),IF($J$19='2. Customer Classes'!$B$20,+SUM('3. Consumption by Rate Class'!$R$37:$R$48),0)))))))</f>
        <v>39580098</v>
      </c>
      <c r="L22" s="72">
        <f t="shared" ref="L22:L30" si="13">D22</f>
        <v>203367791.46020103</v>
      </c>
      <c r="M22" s="72">
        <f t="shared" si="0"/>
        <v>197705360.17346084</v>
      </c>
      <c r="N22" s="73">
        <f t="shared" si="1"/>
        <v>0.19462323761206704</v>
      </c>
      <c r="O22" s="72">
        <f t="shared" ref="O22:O30" si="14">M22*N22</f>
        <v>38478057.290218763</v>
      </c>
      <c r="P22" s="70">
        <f>IF($J$19='2. Customer Classes'!$B$14,+O22/'4. Customer Growth'!$C18,+IF($J$19='2. Customer Classes'!$B$15,+O22/'4. Customer Growth'!$E18,+IF($J$19='2. Customer Classes'!$B$16,+O22/'4. Customer Growth'!$G18,+IF($J$19='2. Customer Classes'!$B$17,+O22/'4. Customer Growth'!$I18,+IF($J$19='2. Customer Classes'!$B$18,+O22/'4. Customer Growth'!$K18,+IF($J$19='2. Customer Classes'!$B$19,+O22/'4. Customer Growth'!$M18,IF($J$19='2. Customer Classes'!$B$20,+O22/'4. Customer Growth'!$O18)))))))</f>
        <v>26554.904962193763</v>
      </c>
      <c r="Q22" s="82"/>
      <c r="R22" s="178">
        <f t="shared" ref="R22:R32" si="15">B22</f>
        <v>2006</v>
      </c>
      <c r="S22" s="70">
        <f>IF($R$19='2. Customer Classes'!$B$14,+SUM('3. Consumption by Rate Class'!$D$37:$D$48),+IF($R$19='2. Customer Classes'!$B$15,+SUM('3. Consumption by Rate Class'!$F$37:$F$48),+IF($R$19='2. Customer Classes'!$B$16,+SUM('3. Consumption by Rate Class'!$H$37:$H$48),+IF($R$19='2. Customer Classes'!$B$17,+SUM('3. Consumption by Rate Class'!$J$37:$J$48),+IF($R$19='2. Customer Classes'!$B$18,+SUM('3. Consumption by Rate Class'!$L$37:$L$48),+IF($R$19='2. Customer Classes'!$B$19,+SUM('3. Consumption by Rate Class'!$O$37:$O$48),IF($R$19='2. Customer Classes'!$B$20,+SUM('3. Consumption by Rate Class'!$R$37:$R$48),0)))))))</f>
        <v>75435895</v>
      </c>
      <c r="T22" s="72">
        <f t="shared" si="2"/>
        <v>203367791.46020103</v>
      </c>
      <c r="U22" s="72">
        <f t="shared" si="3"/>
        <v>197705360.17346084</v>
      </c>
      <c r="V22" s="73">
        <f t="shared" ref="V22:V29" si="16">S22/T22</f>
        <v>0.37093334425457813</v>
      </c>
      <c r="W22" s="72">
        <f t="shared" ref="W22:W30" si="17">U22*V22</f>
        <v>73335510.426197708</v>
      </c>
      <c r="X22" s="70">
        <f>IF($R$19='2. Customer Classes'!$B$14,+W22/'4. Customer Growth'!$C18,+IF($R$19='2. Customer Classes'!$B$15,+W22/'4. Customer Growth'!$E18,+IF($R$19='2. Customer Classes'!$B$16,+W22/'4. Customer Growth'!$G18,+IF($R$19='2. Customer Classes'!$B$17,+W22/'4. Customer Growth'!$I18,+IF($R$19='2. Customer Classes'!$B$18,+W22/'4. Customer Growth'!$K18,+IF($R$19='2. Customer Classes'!$B$19,+W22/'4. Customer Growth'!$M18,IF($R$19='2. Customer Classes'!$B$20,+W22/'4. Customer Growth'!$O18)))))))</f>
        <v>539231.69431027723</v>
      </c>
      <c r="Z22" s="178">
        <f t="shared" ref="Z22:Z32" si="18">J22</f>
        <v>2006</v>
      </c>
      <c r="AA22" s="70">
        <f>IF($Z$19='2. Customer Classes'!$B$14,+SUM('3. Consumption by Rate Class'!$D$37:$D$48),+IF($Z$19='2. Customer Classes'!$B$15,+SUM('3. Consumption by Rate Class'!$F$37:$F$48),+IF($Z$19='2. Customer Classes'!$B$16,+SUM('3. Consumption by Rate Class'!$H$37:$H$48),+IF($Z$19='2. Customer Classes'!$B$17,+SUM('3. Consumption by Rate Class'!$J$37:$J$48),+IF($Z$19='2. Customer Classes'!$B$18,+SUM('3. Consumption by Rate Class'!$L$37:$L$48),+IF($Z$19='2. Customer Classes'!$B$19,+SUM('3. Consumption by Rate Class'!$O$37:$O$48),IF($Z$19='2. Customer Classes'!$B$20,+SUM('3. Consumption by Rate Class'!$R$37:$R$48),0)))))))</f>
        <v>0</v>
      </c>
      <c r="AB22" s="225">
        <f t="shared" si="4"/>
        <v>203367791.46020103</v>
      </c>
      <c r="AC22" s="225">
        <f t="shared" si="5"/>
        <v>197705360.17346084</v>
      </c>
      <c r="AD22" s="73">
        <f t="shared" si="6"/>
        <v>0</v>
      </c>
      <c r="AE22" s="225">
        <f t="shared" ref="AE22:AE30" si="19">AC22*AD22</f>
        <v>0</v>
      </c>
      <c r="AF22" s="70" t="e">
        <f>IF($Z$19='2. Customer Classes'!$B$14,+AE22/'4. Customer Growth'!$C18,+IF($Z$19='2. Customer Classes'!$B$15,+AE22/'4. Customer Growth'!$E18,+IF($Z$19='2. Customer Classes'!$B$16,+AE22/'4. Customer Growth'!$G18,+IF($Z$19='2. Customer Classes'!$B$17,+AE22/'4. Customer Growth'!$I18,+IF($Z$19='2. Customer Classes'!$B$18,+AE22/'4. Customer Growth'!$K18,+IF($Z$19='2. Customer Classes'!$B$19,+AE22/'4. Customer Growth'!$M18,IF($Z$19='2. Customer Classes'!$B$20,+AE22/'4. Customer Growth'!$O18)))))))</f>
        <v>#DIV/0!</v>
      </c>
      <c r="AH22" s="178">
        <f t="shared" ref="AH22:AH32" si="20">R22</f>
        <v>2006</v>
      </c>
      <c r="AI22" s="70">
        <f>IF($AH$19='2. Customer Classes'!$B$14,+SUM('3. Consumption by Rate Class'!$D$37:$D$48),+IF($AH$19='2. Customer Classes'!$B$15,+SUM('3. Consumption by Rate Class'!$F$37:$F$48),+IF($AH$19='2. Customer Classes'!$B$16,+SUM('3. Consumption by Rate Class'!$H$37:$H$48),+IF($AH$19='2. Customer Classes'!$B$17,+SUM('3. Consumption by Rate Class'!$J$37:$J$48),+IF($AH$19='2. Customer Classes'!$B$18,+SUM('3. Consumption by Rate Class'!$L$37:$L$48),+IF($AH$19='2. Customer Classes'!$B$19,+SUM('3. Consumption by Rate Class'!$O$37:$O$48),IF($AH$19='2. Customer Classes'!$B$20,+SUM('3. Consumption by Rate Class'!$R$37:$R$48),0)))))))</f>
        <v>0</v>
      </c>
      <c r="AJ22" s="225">
        <f t="shared" si="7"/>
        <v>203367791.46020103</v>
      </c>
      <c r="AK22" s="225">
        <f t="shared" si="8"/>
        <v>197705360.17346084</v>
      </c>
      <c r="AL22" s="73">
        <f t="shared" si="9"/>
        <v>0</v>
      </c>
      <c r="AM22" s="225">
        <f t="shared" ref="AM22:AM30" si="21">AK22*AL22</f>
        <v>0</v>
      </c>
      <c r="AN22" s="70" t="e">
        <f>IF($AH$19='2. Customer Classes'!$B$14,+AM22/'4. Customer Growth'!$C18,+IF($AH$19='2. Customer Classes'!$B$15,+AM22/'4. Customer Growth'!$E18,+IF($AH$19='2. Customer Classes'!$B$16,+AM22/'4. Customer Growth'!$G18,+IF($AH$19='2. Customer Classes'!$B$17,+AM22/'4. Customer Growth'!$I18,+IF($AH$19='2. Customer Classes'!$B$18,+AM22/'4. Customer Growth'!$K18,+IF($AH$19='2. Customer Classes'!$B$19,+AM22/'4. Customer Growth'!$M18,IF($AH$19='2. Customer Classes'!$B$20,+AM22/'4. Customer Growth'!$O18)))))))</f>
        <v>#DIV/0!</v>
      </c>
    </row>
    <row r="23" spans="2:40" x14ac:dyDescent="0.2">
      <c r="B23" s="178">
        <f>'4. Customer Growth'!B19</f>
        <v>2007</v>
      </c>
      <c r="C23" s="70">
        <f>IF($B$19='2. Customer Classes'!$B$14,+SUM('3. Consumption by Rate Class'!$D$49:$D$60),+IF($B$19='2. Customer Classes'!$B$15,+SUM('3. Consumption by Rate Class'!$F$49:$F$60),+IF($B$19='2. Customer Classes'!$B$16,+SUM('3. Consumption by Rate Class'!$H$49:$H$60),+IF($B$19='2. Customer Classes'!$B$17,+SUM('3. Consumption by Rate Class'!$J$49:$J$60),+IF($B$19='2. Customer Classes'!$B$18,+SUM('3. Consumption by Rate Class'!$L$49:$L$60),+IF($B$19='2. Customer Classes'!$B$19,+SUM('3. Consumption by Rate Class'!$O$49:$O$60),IF($B$19='2. Customer Classes'!$B$20,+SUM('3. Consumption by Rate Class'!$R$49:$R$60),0)))))))</f>
        <v>78894594</v>
      </c>
      <c r="D23" s="72">
        <f>SUM('6. WS Regression Analysis'!J44:J55)</f>
        <v>205302856.46000004</v>
      </c>
      <c r="E23" s="72">
        <f>SUM('6. WS Regression Analysis'!R44:R55)</f>
        <v>200129976.47693971</v>
      </c>
      <c r="F23" s="73">
        <f t="shared" si="10"/>
        <v>0.38428395668898713</v>
      </c>
      <c r="G23" s="72">
        <f t="shared" si="11"/>
        <v>76906739.212632313</v>
      </c>
      <c r="H23" s="70">
        <f>IF($B$19='2. Customer Classes'!$B$14,+G23/'4. Customer Growth'!$C19,+IF($B$19='2. Customer Classes'!$B$15,+G23/'4. Customer Growth'!$E19,+IF($B$19='2. Customer Classes'!$B$16,+G23/'4. Customer Growth'!$G19,+IF($B$19='2. Customer Classes'!$B$17,+G23/'4. Customer Growth'!$I19,+IF($B$19='2. Customer Classes'!$B$18,+G23/'4. Customer Growth'!$K19,+IF($B$19='2. Customer Classes'!$B$19,+G23/'4. Customer Growth'!$M19,IF($B$19='2. Customer Classes'!$B$20,+G23/'4. Customer Growth'!$O19)))))))</f>
        <v>8730.4732901160532</v>
      </c>
      <c r="I23" s="82"/>
      <c r="J23" s="178">
        <f t="shared" si="12"/>
        <v>2007</v>
      </c>
      <c r="K23" s="70">
        <f>IF($J$19='2. Customer Classes'!$B$14,+SUM('3. Consumption by Rate Class'!$D$49:$D$60),+IF($J$19='2. Customer Classes'!$B$15,+SUM('3. Consumption by Rate Class'!$F$49:$F$60),+IF($J$19='2. Customer Classes'!$B$16,+SUM('3. Consumption by Rate Class'!$H$49:$H$60),+IF($J$19='2. Customer Classes'!$B$17,+SUM('3. Consumption by Rate Class'!$J$49:$J$60),+IF($J$19='2. Customer Classes'!$B$18,+SUM('3. Consumption by Rate Class'!$L$49:$L$60),+IF($J$19='2. Customer Classes'!$B$19,+SUM('3. Consumption by Rate Class'!$O$49:$O$60),IF($J$19='2. Customer Classes'!$B$20,+SUM('3. Consumption by Rate Class'!$R$49:$R$60),0)))))))</f>
        <v>35721757</v>
      </c>
      <c r="L23" s="72">
        <f t="shared" si="13"/>
        <v>205302856.46000004</v>
      </c>
      <c r="M23" s="72">
        <f t="shared" si="0"/>
        <v>200129976.47693971</v>
      </c>
      <c r="N23" s="73">
        <f t="shared" si="1"/>
        <v>0.17399542128124171</v>
      </c>
      <c r="O23" s="72">
        <f t="shared" si="14"/>
        <v>34821699.568110116</v>
      </c>
      <c r="P23" s="70">
        <f>IF($J$19='2. Customer Classes'!$B$14,+O23/'4. Customer Growth'!$C19,+IF($J$19='2. Customer Classes'!$B$15,+O23/'4. Customer Growth'!$E19,+IF($J$19='2. Customer Classes'!$B$16,+O23/'4. Customer Growth'!$G19,+IF($J$19='2. Customer Classes'!$B$17,+O23/'4. Customer Growth'!$I19,+IF($J$19='2. Customer Classes'!$B$18,+O23/'4. Customer Growth'!$K19,+IF($J$19='2. Customer Classes'!$B$19,+O23/'4. Customer Growth'!$M19,IF($J$19='2. Customer Classes'!$B$20,+O23/'4. Customer Growth'!$O19)))))))</f>
        <v>24148.196649174839</v>
      </c>
      <c r="Q23" s="82"/>
      <c r="R23" s="178">
        <f t="shared" si="15"/>
        <v>2007</v>
      </c>
      <c r="S23" s="70">
        <f>IF($R$19='2. Customer Classes'!$B$14,+SUM('3. Consumption by Rate Class'!$D$49:$D$60),+IF($R$19='2. Customer Classes'!$B$15,+SUM('3. Consumption by Rate Class'!$F$49:$F$60),+IF($R$19='2. Customer Classes'!$B$16,+SUM('3. Consumption by Rate Class'!$H$49:$H$60),+IF($R$19='2. Customer Classes'!$B$17,+SUM('3. Consumption by Rate Class'!$J$49:$J$60),+IF($R$19='2. Customer Classes'!$B$18,+SUM('3. Consumption by Rate Class'!$L$49:$L$60),+IF($R$19='2. Customer Classes'!$B$19,+SUM('3. Consumption by Rate Class'!$O$49:$O$60),IF($R$19='2. Customer Classes'!$B$20,+SUM('3. Consumption by Rate Class'!$R$49:$R$60),0)))))))</f>
        <v>78527667</v>
      </c>
      <c r="T23" s="72">
        <f t="shared" si="2"/>
        <v>205302856.46000004</v>
      </c>
      <c r="U23" s="72">
        <f t="shared" si="3"/>
        <v>200129976.47693971</v>
      </c>
      <c r="V23" s="73">
        <f t="shared" si="16"/>
        <v>0.38249670927155294</v>
      </c>
      <c r="W23" s="72">
        <f t="shared" si="17"/>
        <v>76549057.429022729</v>
      </c>
      <c r="X23" s="70">
        <f>IF($R$19='2. Customer Classes'!$B$14,+W23/'4. Customer Growth'!$C19,+IF($R$19='2. Customer Classes'!$B$15,+W23/'4. Customer Growth'!$E19,+IF($R$19='2. Customer Classes'!$B$16,+W23/'4. Customer Growth'!$G19,+IF($R$19='2. Customer Classes'!$B$17,+W23/'4. Customer Growth'!$I19,+IF($R$19='2. Customer Classes'!$B$18,+W23/'4. Customer Growth'!$K19,+IF($R$19='2. Customer Classes'!$B$19,+W23/'4. Customer Growth'!$M19,IF($R$19='2. Customer Classes'!$B$20,+W23/'4. Customer Growth'!$O19)))))))</f>
        <v>562860.71638987307</v>
      </c>
      <c r="Z23" s="178">
        <f t="shared" si="18"/>
        <v>2007</v>
      </c>
      <c r="AA23" s="70">
        <f>IF($Z$19='2. Customer Classes'!$B$14,+SUM('3. Consumption by Rate Class'!$D$49:$D$60),+IF($Z$19='2. Customer Classes'!$B$15,+SUM('3. Consumption by Rate Class'!$F$49:$F$60),+IF($Z$19='2. Customer Classes'!$B$16,+SUM('3. Consumption by Rate Class'!$H$49:$H$60),+IF($Z$19='2. Customer Classes'!$B$17,+SUM('3. Consumption by Rate Class'!$J$49:$J$60),+IF($Z$19='2. Customer Classes'!$B$18,+SUM('3. Consumption by Rate Class'!$L$49:$L$60),+IF($Z$19='2. Customer Classes'!$B$19,+SUM('3. Consumption by Rate Class'!$O$49:$O$60),IF($Z$19='2. Customer Classes'!$B$20,+SUM('3. Consumption by Rate Class'!$R$49:$R$60),0)))))))</f>
        <v>0</v>
      </c>
      <c r="AB23" s="225">
        <f t="shared" si="4"/>
        <v>205302856.46000004</v>
      </c>
      <c r="AC23" s="225">
        <f t="shared" si="5"/>
        <v>200129976.47693971</v>
      </c>
      <c r="AD23" s="73">
        <f t="shared" si="6"/>
        <v>0</v>
      </c>
      <c r="AE23" s="225">
        <f t="shared" si="19"/>
        <v>0</v>
      </c>
      <c r="AF23" s="70" t="e">
        <f>IF($Z$19='2. Customer Classes'!$B$14,+AE23/'4. Customer Growth'!$C19,+IF($Z$19='2. Customer Classes'!$B$15,+AE23/'4. Customer Growth'!$E19,+IF($Z$19='2. Customer Classes'!$B$16,+AE23/'4. Customer Growth'!$G19,+IF($Z$19='2. Customer Classes'!$B$17,+AE23/'4. Customer Growth'!$I19,+IF($Z$19='2. Customer Classes'!$B$18,+AE23/'4. Customer Growth'!$K19,+IF($Z$19='2. Customer Classes'!$B$19,+AE23/'4. Customer Growth'!$M19,IF($Z$19='2. Customer Classes'!$B$20,+AE23/'4. Customer Growth'!$O19)))))))</f>
        <v>#DIV/0!</v>
      </c>
      <c r="AH23" s="178">
        <f t="shared" si="20"/>
        <v>2007</v>
      </c>
      <c r="AI23" s="70">
        <f>IF($AH$19='2. Customer Classes'!$B$14,+SUM('3. Consumption by Rate Class'!$D$49:$D$60),+IF($AH$19='2. Customer Classes'!$B$15,+SUM('3. Consumption by Rate Class'!$F$49:$F$60),+IF($AH$19='2. Customer Classes'!$B$16,+SUM('3. Consumption by Rate Class'!$H$49:$H$60),+IF($AH$19='2. Customer Classes'!$B$17,+SUM('3. Consumption by Rate Class'!$J$49:$J$60),+IF($AH$19='2. Customer Classes'!$B$18,+SUM('3. Consumption by Rate Class'!$L$49:$L$60),+IF($AH$19='2. Customer Classes'!$B$19,+SUM('3. Consumption by Rate Class'!$O$49:$O$60),IF($AH$19='2. Customer Classes'!$B$20,+SUM('3. Consumption by Rate Class'!$R$49:$R$60),0)))))))</f>
        <v>0</v>
      </c>
      <c r="AJ23" s="225">
        <f t="shared" si="7"/>
        <v>205302856.46000004</v>
      </c>
      <c r="AK23" s="225">
        <f t="shared" si="8"/>
        <v>200129976.47693971</v>
      </c>
      <c r="AL23" s="73">
        <f t="shared" si="9"/>
        <v>0</v>
      </c>
      <c r="AM23" s="225">
        <f t="shared" si="21"/>
        <v>0</v>
      </c>
      <c r="AN23" s="70" t="e">
        <f>IF($AH$19='2. Customer Classes'!$B$14,+AM23/'4. Customer Growth'!$C19,+IF($AH$19='2. Customer Classes'!$B$15,+AM23/'4. Customer Growth'!$E19,+IF($AH$19='2. Customer Classes'!$B$16,+AM23/'4. Customer Growth'!$G19,+IF($AH$19='2. Customer Classes'!$B$17,+AM23/'4. Customer Growth'!$I19,+IF($AH$19='2. Customer Classes'!$B$18,+AM23/'4. Customer Growth'!$K19,+IF($AH$19='2. Customer Classes'!$B$19,+AM23/'4. Customer Growth'!$M19,IF($AH$19='2. Customer Classes'!$B$20,+AM23/'4. Customer Growth'!$O19)))))))</f>
        <v>#DIV/0!</v>
      </c>
    </row>
    <row r="24" spans="2:40" x14ac:dyDescent="0.2">
      <c r="B24" s="178">
        <f>'4. Customer Growth'!B20</f>
        <v>2008</v>
      </c>
      <c r="C24" s="70">
        <f>IF($B$19='2. Customer Classes'!$B$14,+SUM('3. Consumption by Rate Class'!$D$61:$D$72),+IF($B$19='2. Customer Classes'!$B$15,+SUM('3. Consumption by Rate Class'!$F$61:$F$72),+IF($B$19='2. Customer Classes'!$B$16,+SUM('3. Consumption by Rate Class'!$H$61:$H$72),+IF($B$19='2. Customer Classes'!$B$17,+SUM('3. Consumption by Rate Class'!$J$61:$J$72),+IF($B$19='2. Customer Classes'!$B$18,+SUM('3. Consumption by Rate Class'!$L$61:$L$72),+IF($B$19='2. Customer Classes'!$B$19,+SUM('3. Consumption by Rate Class'!$O$61:$O$72),IF($B$19='2. Customer Classes'!$B$20,+SUM('3. Consumption by Rate Class'!$R$61:$R$72),0)))))))</f>
        <v>78894594</v>
      </c>
      <c r="D24" s="72">
        <f>SUM('6. WS Regression Analysis'!J56:J67)</f>
        <v>194146899.85907778</v>
      </c>
      <c r="E24" s="72">
        <f>SUM('6. WS Regression Analysis'!R56:R67)</f>
        <v>199499870.71552044</v>
      </c>
      <c r="F24" s="73">
        <f t="shared" si="10"/>
        <v>0.40636545861543977</v>
      </c>
      <c r="G24" s="72">
        <f t="shared" si="11"/>
        <v>81069856.457033411</v>
      </c>
      <c r="H24" s="70">
        <f>IF($B$19='2. Customer Classes'!$B$14,+G24/'4. Customer Growth'!$C20,+IF($B$19='2. Customer Classes'!$B$15,+G24/'4. Customer Growth'!$E20,+IF($B$19='2. Customer Classes'!$B$16,+G24/'4. Customer Growth'!$G20,+IF($B$19='2. Customer Classes'!$B$17,+G24/'4. Customer Growth'!$I20,+IF($B$19='2. Customer Classes'!$B$18,+G24/'4. Customer Growth'!$K20,+IF($B$19='2. Customer Classes'!$B$19,+G24/'4. Customer Growth'!$M20,IF($B$19='2. Customer Classes'!$B$20,+G24/'4. Customer Growth'!$O20)))))))</f>
        <v>9203.0714561282111</v>
      </c>
      <c r="I24" s="82"/>
      <c r="J24" s="178">
        <f t="shared" si="12"/>
        <v>2008</v>
      </c>
      <c r="K24" s="70">
        <f>IF($J$19='2. Customer Classes'!$B$14,+SUM('3. Consumption by Rate Class'!$D$61:$D$72),+IF($J$19='2. Customer Classes'!$B$15,+SUM('3. Consumption by Rate Class'!$F$61:$F$72),+IF($J$19='2. Customer Classes'!$B$16,+SUM('3. Consumption by Rate Class'!$H$61:$H$72),+IF($J$19='2. Customer Classes'!$B$17,+SUM('3. Consumption by Rate Class'!$J$61:$J$72),+IF($J$19='2. Customer Classes'!$B$18,+SUM('3. Consumption by Rate Class'!$L$61:$L$72),+IF($J$19='2. Customer Classes'!$B$19,+SUM('3. Consumption by Rate Class'!$O$61:$O$72),IF($J$19='2. Customer Classes'!$B$20,+SUM('3. Consumption by Rate Class'!$R$61:$R$72),0)))))))</f>
        <v>35801702</v>
      </c>
      <c r="L24" s="72">
        <f t="shared" si="13"/>
        <v>194146899.85907778</v>
      </c>
      <c r="M24" s="72">
        <f t="shared" si="0"/>
        <v>199499870.71552044</v>
      </c>
      <c r="N24" s="73">
        <f t="shared" si="1"/>
        <v>0.18440522112888125</v>
      </c>
      <c r="O24" s="72">
        <f t="shared" si="14"/>
        <v>36788817.774478771</v>
      </c>
      <c r="P24" s="70">
        <f>IF($J$19='2. Customer Classes'!$B$14,+O24/'4. Customer Growth'!$C20,+IF($J$19='2. Customer Classes'!$B$15,+O24/'4. Customer Growth'!$E20,+IF($J$19='2. Customer Classes'!$B$16,+O24/'4. Customer Growth'!$G20,+IF($J$19='2. Customer Classes'!$B$17,+O24/'4. Customer Growth'!$I20,+IF($J$19='2. Customer Classes'!$B$18,+O24/'4. Customer Growth'!$K20,+IF($J$19='2. Customer Classes'!$B$19,+O24/'4. Customer Growth'!$M20,IF($J$19='2. Customer Classes'!$B$20,+O24/'4. Customer Growth'!$O20)))))))</f>
        <v>26109.877767550581</v>
      </c>
      <c r="Q24" s="82"/>
      <c r="R24" s="178">
        <f t="shared" si="15"/>
        <v>2008</v>
      </c>
      <c r="S24" s="70">
        <f>IF($R$19='2. Customer Classes'!$B$14,+SUM('3. Consumption by Rate Class'!$D$61:$D$72),+IF($R$19='2. Customer Classes'!$B$15,+SUM('3. Consumption by Rate Class'!$F$61:$F$72),+IF($R$19='2. Customer Classes'!$B$16,+SUM('3. Consumption by Rate Class'!$H$61:$H$72),+IF($R$19='2. Customer Classes'!$B$17,+SUM('3. Consumption by Rate Class'!$J$61:$J$72),+IF($R$19='2. Customer Classes'!$B$18,+SUM('3. Consumption by Rate Class'!$L$61:$L$72),+IF($R$19='2. Customer Classes'!$B$19,+SUM('3. Consumption by Rate Class'!$O$61:$O$72),IF($R$19='2. Customer Classes'!$B$20,+SUM('3. Consumption by Rate Class'!$R$61:$R$72),0)))))))</f>
        <v>78693630</v>
      </c>
      <c r="T24" s="72">
        <f t="shared" si="2"/>
        <v>194146899.85907778</v>
      </c>
      <c r="U24" s="72">
        <f t="shared" si="3"/>
        <v>199499870.71552044</v>
      </c>
      <c r="V24" s="73">
        <f t="shared" si="16"/>
        <v>0.40533034551218716</v>
      </c>
      <c r="W24" s="72">
        <f t="shared" si="17"/>
        <v>80863351.526758566</v>
      </c>
      <c r="X24" s="70">
        <f>IF($R$19='2. Customer Classes'!$B$14,+W24/'4. Customer Growth'!$C20,+IF($R$19='2. Customer Classes'!$B$15,+W24/'4. Customer Growth'!$E20,+IF($R$19='2. Customer Classes'!$B$16,+W24/'4. Customer Growth'!$G20,+IF($R$19='2. Customer Classes'!$B$17,+W24/'4. Customer Growth'!$I20,+IF($R$19='2. Customer Classes'!$B$18,+W24/'4. Customer Growth'!$K20,+IF($R$19='2. Customer Classes'!$B$19,+W24/'4. Customer Growth'!$M20,IF($R$19='2. Customer Classes'!$B$20,+W24/'4. Customer Growth'!$O20)))))))</f>
        <v>565477.98270460533</v>
      </c>
      <c r="Z24" s="178">
        <f t="shared" si="18"/>
        <v>2008</v>
      </c>
      <c r="AA24" s="70">
        <f>IF($Z$19='2. Customer Classes'!$B$14,+SUM('3. Consumption by Rate Class'!$D$61:$D$72),+IF($Z$19='2. Customer Classes'!$B$15,+SUM('3. Consumption by Rate Class'!$F$61:$F$72),+IF($Z$19='2. Customer Classes'!$B$16,+SUM('3. Consumption by Rate Class'!$H$61:$H$72),+IF($Z$19='2. Customer Classes'!$B$17,+SUM('3. Consumption by Rate Class'!$J$61:$J$72),+IF($Z$19='2. Customer Classes'!$B$18,+SUM('3. Consumption by Rate Class'!$L$61:$L$72),+IF($Z$19='2. Customer Classes'!$B$19,+SUM('3. Consumption by Rate Class'!$O$61:$O$72),IF($Z$19='2. Customer Classes'!$B$20,+SUM('3. Consumption by Rate Class'!$R$61:$R$72),0)))))))</f>
        <v>0</v>
      </c>
      <c r="AB24" s="225">
        <f t="shared" si="4"/>
        <v>194146899.85907778</v>
      </c>
      <c r="AC24" s="225">
        <f t="shared" si="5"/>
        <v>199499870.71552044</v>
      </c>
      <c r="AD24" s="73">
        <f t="shared" si="6"/>
        <v>0</v>
      </c>
      <c r="AE24" s="225">
        <f t="shared" si="19"/>
        <v>0</v>
      </c>
      <c r="AF24" s="70" t="e">
        <f>IF($Z$19='2. Customer Classes'!$B$14,+AE24/'4. Customer Growth'!$C20,+IF($Z$19='2. Customer Classes'!$B$15,+AE24/'4. Customer Growth'!$E20,+IF($Z$19='2. Customer Classes'!$B$16,+AE24/'4. Customer Growth'!$G20,+IF($Z$19='2. Customer Classes'!$B$17,+AE24/'4. Customer Growth'!$I20,+IF($Z$19='2. Customer Classes'!$B$18,+AE24/'4. Customer Growth'!$K20,+IF($Z$19='2. Customer Classes'!$B$19,+AE24/'4. Customer Growth'!$M20,IF($Z$19='2. Customer Classes'!$B$20,+AE24/'4. Customer Growth'!$O20)))))))</f>
        <v>#DIV/0!</v>
      </c>
      <c r="AH24" s="178">
        <f t="shared" si="20"/>
        <v>2008</v>
      </c>
      <c r="AI24" s="70">
        <f>IF($AH$19='2. Customer Classes'!$B$14,+SUM('3. Consumption by Rate Class'!$D$61:$D$72),+IF($AH$19='2. Customer Classes'!$B$15,+SUM('3. Consumption by Rate Class'!$F$61:$F$72),+IF($AH$19='2. Customer Classes'!$B$16,+SUM('3. Consumption by Rate Class'!$H$61:$H$72),+IF($AH$19='2. Customer Classes'!$B$17,+SUM('3. Consumption by Rate Class'!$J$61:$J$72),+IF($AH$19='2. Customer Classes'!$B$18,+SUM('3. Consumption by Rate Class'!$L$61:$L$72),+IF($AH$19='2. Customer Classes'!$B$19,+SUM('3. Consumption by Rate Class'!$O$61:$O$72),IF($AH$19='2. Customer Classes'!$B$20,+SUM('3. Consumption by Rate Class'!$R$61:$R$72),0)))))))</f>
        <v>0</v>
      </c>
      <c r="AJ24" s="225">
        <f t="shared" si="7"/>
        <v>194146899.85907778</v>
      </c>
      <c r="AK24" s="225">
        <f t="shared" si="8"/>
        <v>199499870.71552044</v>
      </c>
      <c r="AL24" s="73">
        <f t="shared" si="9"/>
        <v>0</v>
      </c>
      <c r="AM24" s="225">
        <f t="shared" si="21"/>
        <v>0</v>
      </c>
      <c r="AN24" s="70" t="e">
        <f>IF($AH$19='2. Customer Classes'!$B$14,+AM24/'4. Customer Growth'!$C20,+IF($AH$19='2. Customer Classes'!$B$15,+AM24/'4. Customer Growth'!$E20,+IF($AH$19='2. Customer Classes'!$B$16,+AM24/'4. Customer Growth'!$G20,+IF($AH$19='2. Customer Classes'!$B$17,+AM24/'4. Customer Growth'!$I20,+IF($AH$19='2. Customer Classes'!$B$18,+AM24/'4. Customer Growth'!$K20,+IF($AH$19='2. Customer Classes'!$B$19,+AM24/'4. Customer Growth'!$M20,IF($AH$19='2. Customer Classes'!$B$20,+AM24/'4. Customer Growth'!$O20)))))))</f>
        <v>#DIV/0!</v>
      </c>
    </row>
    <row r="25" spans="2:40" x14ac:dyDescent="0.2">
      <c r="B25" s="178">
        <f>'4. Customer Growth'!B21</f>
        <v>2009</v>
      </c>
      <c r="C25" s="70">
        <f>IF($B$19='2. Customer Classes'!$B$14,+SUM('3. Consumption by Rate Class'!$D$73:$D$84),+IF($B$19='2. Customer Classes'!$B$15,+SUM('3. Consumption by Rate Class'!$F$73:$F$84),+IF($B$19='2. Customer Classes'!$B$16,+SUM('3. Consumption by Rate Class'!$H$73:$H$84),+IF($B$19='2. Customer Classes'!$B$17,+SUM('3. Consumption by Rate Class'!$J$73:$J$84),+IF($B$19='2. Customer Classes'!$B$18,+SUM('3. Consumption by Rate Class'!$L$73:$L$84),+IF($B$19='2. Customer Classes'!$B$19,+SUM('3. Consumption by Rate Class'!$O$73:$O$84),IF($B$19='2. Customer Classes'!$B$20,+SUM('3. Consumption by Rate Class'!$R$73:$R$84),0)))))))</f>
        <v>76058961.349999994</v>
      </c>
      <c r="D25" s="72">
        <f>SUM('6. WS Regression Analysis'!J68:J79)</f>
        <v>201115656.45999998</v>
      </c>
      <c r="E25" s="72">
        <f>SUM('6. WS Regression Analysis'!R68:R79)</f>
        <v>198852587.20216557</v>
      </c>
      <c r="F25" s="73">
        <f>C25/D25</f>
        <v>0.37818518303734056</v>
      </c>
      <c r="G25" s="72">
        <f t="shared" si="11"/>
        <v>75203102.08849971</v>
      </c>
      <c r="H25" s="70">
        <f>IF($B$19='2. Customer Classes'!$B$14,+G25/'4. Customer Growth'!$C21,+IF($B$19='2. Customer Classes'!$B$15,+G25/'4. Customer Growth'!$E21,+IF($B$19='2. Customer Classes'!$B$16,+G25/'4. Customer Growth'!$G21,+IF($B$19='2. Customer Classes'!$B$17,+G25/'4. Customer Growth'!$I21,+IF($B$19='2. Customer Classes'!$B$18,+G25/'4. Customer Growth'!$K21,+IF($B$19='2. Customer Classes'!$B$19,+G25/'4. Customer Growth'!$M21,IF($B$19='2. Customer Classes'!$B$20,+G25/'4. Customer Growth'!$O21)))))))</f>
        <v>8411.039267251952</v>
      </c>
      <c r="I25" s="82"/>
      <c r="J25" s="178">
        <f t="shared" si="12"/>
        <v>2009</v>
      </c>
      <c r="K25" s="70">
        <f>IF($J$19='2. Customer Classes'!$B$14,+SUM('3. Consumption by Rate Class'!$D$73:$D$84),+IF($J$19='2. Customer Classes'!$B$15,+SUM('3. Consumption by Rate Class'!$F$73:$F$84),+IF($J$19='2. Customer Classes'!$B$16,+SUM('3. Consumption by Rate Class'!$H$73:$H$84),+IF($J$19='2. Customer Classes'!$B$17,+SUM('3. Consumption by Rate Class'!$J$73:$J$84),+IF($J$19='2. Customer Classes'!$B$18,+SUM('3. Consumption by Rate Class'!$L$73:$L$84),+IF($J$19='2. Customer Classes'!$B$19,+SUM('3. Consumption by Rate Class'!$O$73:$O$84),IF($J$19='2. Customer Classes'!$B$20,+SUM('3. Consumption by Rate Class'!$R$73:$R$84),0)))))))</f>
        <v>34198078.359999999</v>
      </c>
      <c r="L25" s="72">
        <f t="shared" si="13"/>
        <v>201115656.45999998</v>
      </c>
      <c r="M25" s="72">
        <f t="shared" si="0"/>
        <v>198852587.20216557</v>
      </c>
      <c r="N25" s="73">
        <f t="shared" si="1"/>
        <v>0.17004185035590044</v>
      </c>
      <c r="O25" s="72">
        <f t="shared" si="14"/>
        <v>33813261.875914283</v>
      </c>
      <c r="P25" s="70">
        <f>IF($J$19='2. Customer Classes'!$B$14,+O25/'4. Customer Growth'!$C21,+IF($J$19='2. Customer Classes'!$B$15,+O25/'4. Customer Growth'!$E21,+IF($J$19='2. Customer Classes'!$B$16,+O25/'4. Customer Growth'!$G21,+IF($J$19='2. Customer Classes'!$B$17,+O25/'4. Customer Growth'!$I21,+IF($J$19='2. Customer Classes'!$B$18,+O25/'4. Customer Growth'!$K21,+IF($J$19='2. Customer Classes'!$B$19,+O25/'4. Customer Growth'!$M21,IF($J$19='2. Customer Classes'!$B$20,+O25/'4. Customer Growth'!$O21)))))))</f>
        <v>24256.285420311538</v>
      </c>
      <c r="Q25" s="82"/>
      <c r="R25" s="178">
        <f t="shared" si="15"/>
        <v>2009</v>
      </c>
      <c r="S25" s="70">
        <f>IF($R$19='2. Customer Classes'!$B$14,+SUM('3. Consumption by Rate Class'!$D$73:$D$84),+IF($R$19='2. Customer Classes'!$B$15,+SUM('3. Consumption by Rate Class'!$F$73:$F$84),+IF($R$19='2. Customer Classes'!$B$16,+SUM('3. Consumption by Rate Class'!$H$73:$H$84),+IF($R$19='2. Customer Classes'!$B$17,+SUM('3. Consumption by Rate Class'!$J$73:$J$84),+IF($R$19='2. Customer Classes'!$B$18,+SUM('3. Consumption by Rate Class'!$L$73:$L$84),+IF($R$19='2. Customer Classes'!$B$19,+SUM('3. Consumption by Rate Class'!$O$73:$O$84),IF($R$19='2. Customer Classes'!$B$20,+SUM('3. Consumption by Rate Class'!$R$73:$R$84),0)))))))</f>
        <v>78622635.780000001</v>
      </c>
      <c r="T25" s="72">
        <f t="shared" si="2"/>
        <v>201115656.45999998</v>
      </c>
      <c r="U25" s="72">
        <f t="shared" si="3"/>
        <v>198852587.20216557</v>
      </c>
      <c r="V25" s="73">
        <f t="shared" si="16"/>
        <v>0.39093244734846044</v>
      </c>
      <c r="W25" s="72">
        <f t="shared" si="17"/>
        <v>77737928.576515734</v>
      </c>
      <c r="X25" s="70">
        <f>IF($R$19='2. Customer Classes'!$B$14,+W25/'4. Customer Growth'!$C21,+IF($R$19='2. Customer Classes'!$B$15,+W25/'4. Customer Growth'!$E21,+IF($R$19='2. Customer Classes'!$B$16,+W25/'4. Customer Growth'!$G21,+IF($R$19='2. Customer Classes'!$B$17,+W25/'4. Customer Growth'!$I21,+IF($R$19='2. Customer Classes'!$B$18,+W25/'4. Customer Growth'!$K21,+IF($R$19='2. Customer Classes'!$B$19,+W25/'4. Customer Growth'!$M21,IF($R$19='2. Customer Classes'!$B$20,+W25/'4. Customer Growth'!$O21)))))))</f>
        <v>539846.72622580372</v>
      </c>
      <c r="Z25" s="178">
        <f t="shared" si="18"/>
        <v>2009</v>
      </c>
      <c r="AA25" s="70">
        <f>IF($Z$19='2. Customer Classes'!$B$14,+SUM('3. Consumption by Rate Class'!$D$73:$D$84),+IF($Z$19='2. Customer Classes'!$B$15,+SUM('3. Consumption by Rate Class'!$F$73:$F$84),+IF($Z$19='2. Customer Classes'!$B$16,+SUM('3. Consumption by Rate Class'!$H$73:$H$84),+IF($Z$19='2. Customer Classes'!$B$17,+SUM('3. Consumption by Rate Class'!$J$73:$J$84),+IF($Z$19='2. Customer Classes'!$B$18,+SUM('3. Consumption by Rate Class'!$L$73:$L$84),+IF($Z$19='2. Customer Classes'!$B$19,+SUM('3. Consumption by Rate Class'!$O$73:$O$84),IF($Z$19='2. Customer Classes'!$B$20,+SUM('3. Consumption by Rate Class'!$R$73:$R$84),0)))))))</f>
        <v>0</v>
      </c>
      <c r="AB25" s="225">
        <f t="shared" si="4"/>
        <v>201115656.45999998</v>
      </c>
      <c r="AC25" s="225">
        <f t="shared" si="5"/>
        <v>198852587.20216557</v>
      </c>
      <c r="AD25" s="73">
        <f t="shared" si="6"/>
        <v>0</v>
      </c>
      <c r="AE25" s="225">
        <f t="shared" si="19"/>
        <v>0</v>
      </c>
      <c r="AF25" s="70" t="e">
        <f>IF($Z$19='2. Customer Classes'!$B$14,+AE25/'4. Customer Growth'!$C21,+IF($Z$19='2. Customer Classes'!$B$15,+AE25/'4. Customer Growth'!$E21,+IF($Z$19='2. Customer Classes'!$B$16,+AE25/'4. Customer Growth'!$G21,+IF($Z$19='2. Customer Classes'!$B$17,+AE25/'4. Customer Growth'!$I21,+IF($Z$19='2. Customer Classes'!$B$18,+AE25/'4. Customer Growth'!$K21,+IF($Z$19='2. Customer Classes'!$B$19,+AE25/'4. Customer Growth'!$M21,IF($Z$19='2. Customer Classes'!$B$20,+AE25/'4. Customer Growth'!$O21)))))))</f>
        <v>#DIV/0!</v>
      </c>
      <c r="AH25" s="178">
        <f t="shared" si="20"/>
        <v>2009</v>
      </c>
      <c r="AI25" s="70">
        <f>IF($AH$19='2. Customer Classes'!$B$14,+SUM('3. Consumption by Rate Class'!$D$73:$D$84),+IF($AH$19='2. Customer Classes'!$B$15,+SUM('3. Consumption by Rate Class'!$F$73:$F$84),+IF($AH$19='2. Customer Classes'!$B$16,+SUM('3. Consumption by Rate Class'!$H$73:$H$84),+IF($AH$19='2. Customer Classes'!$B$17,+SUM('3. Consumption by Rate Class'!$J$73:$J$84),+IF($AH$19='2. Customer Classes'!$B$18,+SUM('3. Consumption by Rate Class'!$L$73:$L$84),+IF($AH$19='2. Customer Classes'!$B$19,+SUM('3. Consumption by Rate Class'!$O$73:$O$84),IF($AH$19='2. Customer Classes'!$B$20,+SUM('3. Consumption by Rate Class'!$R$73:$R$84),0)))))))</f>
        <v>0</v>
      </c>
      <c r="AJ25" s="225">
        <f t="shared" si="7"/>
        <v>201115656.45999998</v>
      </c>
      <c r="AK25" s="225">
        <f t="shared" si="8"/>
        <v>198852587.20216557</v>
      </c>
      <c r="AL25" s="73">
        <f t="shared" si="9"/>
        <v>0</v>
      </c>
      <c r="AM25" s="225">
        <f t="shared" si="21"/>
        <v>0</v>
      </c>
      <c r="AN25" s="70" t="e">
        <f>IF($AH$19='2. Customer Classes'!$B$14,+AM25/'4. Customer Growth'!$C21,+IF($AH$19='2. Customer Classes'!$B$15,+AM25/'4. Customer Growth'!$E21,+IF($AH$19='2. Customer Classes'!$B$16,+AM25/'4. Customer Growth'!$G21,+IF($AH$19='2. Customer Classes'!$B$17,+AM25/'4. Customer Growth'!$I21,+IF($AH$19='2. Customer Classes'!$B$18,+AM25/'4. Customer Growth'!$K21,+IF($AH$19='2. Customer Classes'!$B$19,+AM25/'4. Customer Growth'!$M21,IF($AH$19='2. Customer Classes'!$B$20,+AM25/'4. Customer Growth'!$O21)))))))</f>
        <v>#DIV/0!</v>
      </c>
    </row>
    <row r="26" spans="2:40" x14ac:dyDescent="0.2">
      <c r="B26" s="178">
        <f>'4. Customer Growth'!B22</f>
        <v>2010</v>
      </c>
      <c r="C26" s="70">
        <f>IF($B$19='2. Customer Classes'!$B$14,+SUM('3. Consumption by Rate Class'!$D$85:$D$96),+IF($B$19='2. Customer Classes'!$B$15,+SUM('3. Consumption by Rate Class'!$F$85:$F$96),+IF($B$19='2. Customer Classes'!$B$16,+SUM('3. Consumption by Rate Class'!$H$85:$H$96),+IF($B$19='2. Customer Classes'!$B$17,+SUM('3. Consumption by Rate Class'!$J$85:$J$96),+IF($B$19='2. Customer Classes'!$B$18,+SUM('3. Consumption by Rate Class'!$L$85:$L$96),+IF($B$19='2. Customer Classes'!$B$19,+SUM('3. Consumption by Rate Class'!$O$85:$O$96),IF($B$19='2. Customer Classes'!$B$20,+SUM('3. Consumption by Rate Class'!$R$85:$R$96),0)))))))</f>
        <v>75301012.150000006</v>
      </c>
      <c r="D26" s="72">
        <f>SUM('6. WS Regression Analysis'!J80:J91)</f>
        <v>197081317.46300003</v>
      </c>
      <c r="E26" s="72">
        <f>SUM('6. WS Regression Analysis'!R80:R91)</f>
        <v>199110325.82630143</v>
      </c>
      <c r="F26" s="73">
        <f t="shared" si="10"/>
        <v>0.38208092537303534</v>
      </c>
      <c r="G26" s="72">
        <f t="shared" si="11"/>
        <v>76076257.543039829</v>
      </c>
      <c r="H26" s="70">
        <f>IF($B$19='2. Customer Classes'!$B$14,+G26/'4. Customer Growth'!$C22,+IF($B$19='2. Customer Classes'!$B$15,+G26/'4. Customer Growth'!$E22,+IF($B$19='2. Customer Classes'!$B$16,+G26/'4. Customer Growth'!$G22,+IF($B$19='2. Customer Classes'!$B$17,+G26/'4. Customer Growth'!$I22,+IF($B$19='2. Customer Classes'!$B$18,+G26/'4. Customer Growth'!$K22,+IF($B$19='2. Customer Classes'!$B$19,+G26/'4. Customer Growth'!$M22,IF($B$19='2. Customer Classes'!$B$20,+G26/'4. Customer Growth'!$O22)))))))</f>
        <v>8495.3944771680435</v>
      </c>
      <c r="I26" s="82"/>
      <c r="J26" s="178">
        <f t="shared" si="12"/>
        <v>2010</v>
      </c>
      <c r="K26" s="70">
        <f>IF($J$19='2. Customer Classes'!$B$14,+SUM('3. Consumption by Rate Class'!$D$85:$D$96),+IF($J$19='2. Customer Classes'!$B$15,+SUM('3. Consumption by Rate Class'!$F$85:$F$96),+IF($J$19='2. Customer Classes'!$B$16,+SUM('3. Consumption by Rate Class'!$H$85:$H$96),+IF($J$19='2. Customer Classes'!$B$17,+SUM('3. Consumption by Rate Class'!$J$85:$J$96),+IF($J$19='2. Customer Classes'!$B$18,+SUM('3. Consumption by Rate Class'!$L$85:$L$96),+IF($J$19='2. Customer Classes'!$B$19,+SUM('3. Consumption by Rate Class'!$O$85:$O$96),IF($J$19='2. Customer Classes'!$B$20,+SUM('3. Consumption by Rate Class'!$R$85:$R$96),0)))))))</f>
        <v>33358216.629999999</v>
      </c>
      <c r="L26" s="72">
        <f t="shared" si="13"/>
        <v>197081317.46300003</v>
      </c>
      <c r="M26" s="72">
        <f t="shared" si="0"/>
        <v>199110325.82630143</v>
      </c>
      <c r="N26" s="73">
        <f t="shared" si="1"/>
        <v>0.16926118142204249</v>
      </c>
      <c r="O26" s="72">
        <f t="shared" si="14"/>
        <v>33701648.9826876</v>
      </c>
      <c r="P26" s="70">
        <f>IF($J$19='2. Customer Classes'!$B$14,+O26/'4. Customer Growth'!$C22,+IF($J$19='2. Customer Classes'!$B$15,+O26/'4. Customer Growth'!$E22,+IF($J$19='2. Customer Classes'!$B$16,+O26/'4. Customer Growth'!$G22,+IF($J$19='2. Customer Classes'!$B$17,+O26/'4. Customer Growth'!$I22,+IF($J$19='2. Customer Classes'!$B$18,+O26/'4. Customer Growth'!$K22,+IF($J$19='2. Customer Classes'!$B$19,+O26/'4. Customer Growth'!$M22,IF($J$19='2. Customer Classes'!$B$20,+O26/'4. Customer Growth'!$O22)))))))</f>
        <v>24563.884098168804</v>
      </c>
      <c r="Q26" s="82"/>
      <c r="R26" s="178">
        <f t="shared" si="15"/>
        <v>2010</v>
      </c>
      <c r="S26" s="70">
        <f>IF($R$19='2. Customer Classes'!$B$14,+SUM('3. Consumption by Rate Class'!$D$85:$D$96),+IF($R$19='2. Customer Classes'!$B$15,+SUM('3. Consumption by Rate Class'!$F$85:$F$96),+IF($R$19='2. Customer Classes'!$B$16,+SUM('3. Consumption by Rate Class'!$H$85:$H$96),+IF($R$19='2. Customer Classes'!$B$17,+SUM('3. Consumption by Rate Class'!$J$85:$J$96),+IF($R$19='2. Customer Classes'!$B$18,+SUM('3. Consumption by Rate Class'!$L$85:$L$96),+IF($R$19='2. Customer Classes'!$B$19,+SUM('3. Consumption by Rate Class'!$O$85:$O$96),IF($R$19='2. Customer Classes'!$B$20,+SUM('3. Consumption by Rate Class'!$R$85:$R$96),0)))))))</f>
        <v>76510234.719999999</v>
      </c>
      <c r="T26" s="72">
        <f t="shared" si="2"/>
        <v>197081317.46300003</v>
      </c>
      <c r="U26" s="72">
        <f t="shared" si="3"/>
        <v>199110325.82630143</v>
      </c>
      <c r="V26" s="73">
        <f t="shared" si="16"/>
        <v>0.38821657833885753</v>
      </c>
      <c r="W26" s="72">
        <f t="shared" si="17"/>
        <v>77297929.404221788</v>
      </c>
      <c r="X26" s="70">
        <f>IF($R$19='2. Customer Classes'!$B$14,+W26/'4. Customer Growth'!$C22,+IF($R$19='2. Customer Classes'!$B$15,+W26/'4. Customer Growth'!$E22,+IF($R$19='2. Customer Classes'!$B$16,+W26/'4. Customer Growth'!$G22,+IF($R$19='2. Customer Classes'!$B$17,+W26/'4. Customer Growth'!$I22,+IF($R$19='2. Customer Classes'!$B$18,+W26/'4. Customer Growth'!$K22,+IF($R$19='2. Customer Classes'!$B$19,+W26/'4. Customer Growth'!$M22,IF($R$19='2. Customer Classes'!$B$20,+W26/'4. Customer Growth'!$O22)))))))</f>
        <v>522283.30678528233</v>
      </c>
      <c r="Z26" s="178">
        <f t="shared" si="18"/>
        <v>2010</v>
      </c>
      <c r="AA26" s="70">
        <f>IF($Z$19='2. Customer Classes'!$B$14,+SUM('3. Consumption by Rate Class'!$D$85:$D$96),+IF($Z$19='2. Customer Classes'!$B$15,+SUM('3. Consumption by Rate Class'!$F$85:$F$96),+IF($Z$19='2. Customer Classes'!$B$16,+SUM('3. Consumption by Rate Class'!$H$85:$H$96),+IF($Z$19='2. Customer Classes'!$B$17,+SUM('3. Consumption by Rate Class'!$J$85:$J$96),+IF($Z$19='2. Customer Classes'!$B$18,+SUM('3. Consumption by Rate Class'!$L$85:$L$96),+IF($Z$19='2. Customer Classes'!$B$19,+SUM('3. Consumption by Rate Class'!$O$85:$O$96),IF($Z$19='2. Customer Classes'!$B$20,+SUM('3. Consumption by Rate Class'!$R$85:$R$96),0)))))))</f>
        <v>0</v>
      </c>
      <c r="AB26" s="225">
        <f t="shared" si="4"/>
        <v>197081317.46300003</v>
      </c>
      <c r="AC26" s="225">
        <f t="shared" si="5"/>
        <v>199110325.82630143</v>
      </c>
      <c r="AD26" s="73">
        <f t="shared" si="6"/>
        <v>0</v>
      </c>
      <c r="AE26" s="225">
        <f t="shared" si="19"/>
        <v>0</v>
      </c>
      <c r="AF26" s="70" t="e">
        <f>IF($Z$19='2. Customer Classes'!$B$14,+AE26/'4. Customer Growth'!$C22,+IF($Z$19='2. Customer Classes'!$B$15,+AE26/'4. Customer Growth'!$E22,+IF($Z$19='2. Customer Classes'!$B$16,+AE26/'4. Customer Growth'!$G22,+IF($Z$19='2. Customer Classes'!$B$17,+AE26/'4. Customer Growth'!$I22,+IF($Z$19='2. Customer Classes'!$B$18,+AE26/'4. Customer Growth'!$K22,+IF($Z$19='2. Customer Classes'!$B$19,+AE26/'4. Customer Growth'!$M22,IF($Z$19='2. Customer Classes'!$B$20,+AE26/'4. Customer Growth'!$O22)))))))</f>
        <v>#DIV/0!</v>
      </c>
      <c r="AH26" s="178">
        <f t="shared" si="20"/>
        <v>2010</v>
      </c>
      <c r="AI26" s="70">
        <f>IF($AH$19='2. Customer Classes'!$B$14,+SUM('3. Consumption by Rate Class'!$D$85:$D$96),+IF($AH$19='2. Customer Classes'!$B$15,+SUM('3. Consumption by Rate Class'!$F$85:$F$96),+IF($AH$19='2. Customer Classes'!$B$16,+SUM('3. Consumption by Rate Class'!$H$85:$H$96),+IF($AH$19='2. Customer Classes'!$B$17,+SUM('3. Consumption by Rate Class'!$J$85:$J$96),+IF($AH$19='2. Customer Classes'!$B$18,+SUM('3. Consumption by Rate Class'!$L$85:$L$96),+IF($AH$19='2. Customer Classes'!$B$19,+SUM('3. Consumption by Rate Class'!$O$85:$O$96),IF($AH$19='2. Customer Classes'!$B$20,+SUM('3. Consumption by Rate Class'!$R$85:$R$96),0)))))))</f>
        <v>0</v>
      </c>
      <c r="AJ26" s="225">
        <f t="shared" si="7"/>
        <v>197081317.46300003</v>
      </c>
      <c r="AK26" s="225">
        <f t="shared" si="8"/>
        <v>199110325.82630143</v>
      </c>
      <c r="AL26" s="73">
        <f t="shared" si="9"/>
        <v>0</v>
      </c>
      <c r="AM26" s="225">
        <f t="shared" si="21"/>
        <v>0</v>
      </c>
      <c r="AN26" s="70" t="e">
        <f>IF($AH$19='2. Customer Classes'!$B$14,+AM26/'4. Customer Growth'!$C22,+IF($AH$19='2. Customer Classes'!$B$15,+AM26/'4. Customer Growth'!$E22,+IF($AH$19='2. Customer Classes'!$B$16,+AM26/'4. Customer Growth'!$G22,+IF($AH$19='2. Customer Classes'!$B$17,+AM26/'4. Customer Growth'!$I22,+IF($AH$19='2. Customer Classes'!$B$18,+AM26/'4. Customer Growth'!$K22,+IF($AH$19='2. Customer Classes'!$B$19,+AM26/'4. Customer Growth'!$M22,IF($AH$19='2. Customer Classes'!$B$20,+AM26/'4. Customer Growth'!$O22)))))))</f>
        <v>#DIV/0!</v>
      </c>
    </row>
    <row r="27" spans="2:40" x14ac:dyDescent="0.2">
      <c r="B27" s="178">
        <f>'4. Customer Growth'!B23</f>
        <v>2011</v>
      </c>
      <c r="C27" s="70">
        <f>IF($B$19='2. Customer Classes'!$B$14,+SUM('3. Consumption by Rate Class'!$D$97:$D$108),+IF($B$19='2. Customer Classes'!$B$15,+SUM('3. Consumption by Rate Class'!$F$97:$F$108),+IF($B$19='2. Customer Classes'!$B$16,+SUM('3. Consumption by Rate Class'!$H$97:$H$108),+IF($B$19='2. Customer Classes'!$B$17,+SUM('3. Consumption by Rate Class'!$J$97:$J$108),+IF($B$19='2. Customer Classes'!$B$18,+SUM('3. Consumption by Rate Class'!$L$97:$L$108),+IF($B$19='2. Customer Classes'!$B$19,+SUM('3. Consumption by Rate Class'!$O$97:$O$108),IF($B$19='2. Customer Classes'!$B$20,+SUM('3. Consumption by Rate Class'!$R$97:$R$108),0)))))))</f>
        <v>79270519.859999999</v>
      </c>
      <c r="D27" s="72">
        <f>SUM('6. WS Regression Analysis'!J92:J103)</f>
        <v>199623009.43799999</v>
      </c>
      <c r="E27" s="72">
        <f>SUM('6. WS Regression Analysis'!R92:R103)</f>
        <v>197163923.49149352</v>
      </c>
      <c r="F27" s="73">
        <f t="shared" si="10"/>
        <v>0.39710111616476895</v>
      </c>
      <c r="G27" s="72">
        <f t="shared" si="11"/>
        <v>78294014.085897192</v>
      </c>
      <c r="H27" s="70">
        <f>IF($B$19='2. Customer Classes'!$B$14,+G27/'4. Customer Growth'!$C23,+IF($B$19='2. Customer Classes'!$B$15,+G27/'4. Customer Growth'!$E23,+IF($B$19='2. Customer Classes'!$B$16,+G27/'4. Customer Growth'!$G23,+IF($B$19='2. Customer Classes'!$B$17,+G27/'4. Customer Growth'!$I23,+IF($B$19='2. Customer Classes'!$B$18,+G27/'4. Customer Growth'!$K23,+IF($B$19='2. Customer Classes'!$B$19,+G27/'4. Customer Growth'!$M23,IF($B$19='2. Customer Classes'!$B$20,+G27/'4. Customer Growth'!$O23)))))))</f>
        <v>8670.4334535877297</v>
      </c>
      <c r="I27" s="82"/>
      <c r="J27" s="178">
        <f t="shared" si="12"/>
        <v>2011</v>
      </c>
      <c r="K27" s="70">
        <f>IF($J$19='2. Customer Classes'!$B$14,+SUM('3. Consumption by Rate Class'!$D$97:$D$108),+IF($J$19='2. Customer Classes'!$B$15,+SUM('3. Consumption by Rate Class'!$F$97:$F$108),+IF($J$19='2. Customer Classes'!$B$16,+SUM('3. Consumption by Rate Class'!$H$97:$H$108),+IF($J$19='2. Customer Classes'!$B$17,+SUM('3. Consumption by Rate Class'!$J$97:$J$108),+IF($J$19='2. Customer Classes'!$B$18,+SUM('3. Consumption by Rate Class'!$L$97:$L$108),+IF($J$19='2. Customer Classes'!$B$19,+SUM('3. Consumption by Rate Class'!$O$97:$O$108),IF($J$19='2. Customer Classes'!$B$20,+SUM('3. Consumption by Rate Class'!$R$97:$R$108),0)))))))</f>
        <v>32279016.170000002</v>
      </c>
      <c r="L27" s="72">
        <f t="shared" si="13"/>
        <v>199623009.43799999</v>
      </c>
      <c r="M27" s="72">
        <f t="shared" si="0"/>
        <v>197163923.49149352</v>
      </c>
      <c r="N27" s="73">
        <f t="shared" si="1"/>
        <v>0.16169987748844852</v>
      </c>
      <c r="O27" s="72">
        <f t="shared" si="14"/>
        <v>31881382.273716342</v>
      </c>
      <c r="P27" s="70">
        <f>IF($J$19='2. Customer Classes'!$B$14,+O27/'4. Customer Growth'!$C23,+IF($J$19='2. Customer Classes'!$B$15,+O27/'4. Customer Growth'!$E23,+IF($J$19='2. Customer Classes'!$B$16,+O27/'4. Customer Growth'!$G23,+IF($J$19='2. Customer Classes'!$B$17,+O27/'4. Customer Growth'!$I23,+IF($J$19='2. Customer Classes'!$B$18,+O27/'4. Customer Growth'!$K23,+IF($J$19='2. Customer Classes'!$B$19,+O27/'4. Customer Growth'!$M23,IF($J$19='2. Customer Classes'!$B$20,+O27/'4. Customer Growth'!$O23)))))))</f>
        <v>23271.081951617769</v>
      </c>
      <c r="Q27" s="82"/>
      <c r="R27" s="178">
        <f t="shared" si="15"/>
        <v>2011</v>
      </c>
      <c r="S27" s="70">
        <f>IF($R$19='2. Customer Classes'!$B$14,+SUM('3. Consumption by Rate Class'!$D$97:$D$108),+IF($R$19='2. Customer Classes'!$B$15,+SUM('3. Consumption by Rate Class'!$F$97:$F$108),+IF($R$19='2. Customer Classes'!$B$16,+SUM('3. Consumption by Rate Class'!$H$97:$H$108),+IF($R$19='2. Customer Classes'!$B$17,+SUM('3. Consumption by Rate Class'!$J$97:$J$108),+IF($R$19='2. Customer Classes'!$B$18,+SUM('3. Consumption by Rate Class'!$L$97:$L$108),+IF($R$19='2. Customer Classes'!$B$19,+SUM('3. Consumption by Rate Class'!$O$97:$O$108),IF($R$19='2. Customer Classes'!$B$20,+SUM('3. Consumption by Rate Class'!$R$97:$R$108),0)))))))</f>
        <v>74853997.430000007</v>
      </c>
      <c r="T27" s="72">
        <f t="shared" si="2"/>
        <v>199623009.43799999</v>
      </c>
      <c r="U27" s="72">
        <f t="shared" si="3"/>
        <v>197163923.49149352</v>
      </c>
      <c r="V27" s="73">
        <f t="shared" si="16"/>
        <v>0.37497680072420997</v>
      </c>
      <c r="W27" s="72">
        <f t="shared" si="17"/>
        <v>73931897.249073148</v>
      </c>
      <c r="X27" s="70">
        <f>IF($R$19='2. Customer Classes'!$B$14,+W27/'4. Customer Growth'!$C23,+IF($R$19='2. Customer Classes'!$B$15,+W27/'4. Customer Growth'!$E23,+IF($R$19='2. Customer Classes'!$B$16,+W27/'4. Customer Growth'!$G23,+IF($R$19='2. Customer Classes'!$B$17,+W27/'4. Customer Growth'!$I23,+IF($R$19='2. Customer Classes'!$B$18,+W27/'4. Customer Growth'!$K23,+IF($R$19='2. Customer Classes'!$B$19,+W27/'4. Customer Growth'!$M23,IF($R$19='2. Customer Classes'!$B$20,+W27/'4. Customer Growth'!$O23)))))))</f>
        <v>509875.1534418838</v>
      </c>
      <c r="Z27" s="178">
        <f t="shared" si="18"/>
        <v>2011</v>
      </c>
      <c r="AA27" s="70">
        <f>IF($Z$19='2. Customer Classes'!$B$14,+SUM('3. Consumption by Rate Class'!$D$97:$D$108),+IF($Z$19='2. Customer Classes'!$B$15,+SUM('3. Consumption by Rate Class'!$F$97:$F$108),+IF($Z$19='2. Customer Classes'!$B$16,+SUM('3. Consumption by Rate Class'!$H$97:$H$108),+IF($Z$19='2. Customer Classes'!$B$17,+SUM('3. Consumption by Rate Class'!$J$97:$J$108),+IF($Z$19='2. Customer Classes'!$B$18,+SUM('3. Consumption by Rate Class'!$L$97:$L$108),+IF($Z$19='2. Customer Classes'!$B$19,+SUM('3. Consumption by Rate Class'!$O$97:$O$108),IF($Z$19='2. Customer Classes'!$B$20,+SUM('3. Consumption by Rate Class'!$R$97:$R$108),0)))))))</f>
        <v>0</v>
      </c>
      <c r="AB27" s="225">
        <f t="shared" si="4"/>
        <v>199623009.43799999</v>
      </c>
      <c r="AC27" s="225">
        <f t="shared" si="5"/>
        <v>197163923.49149352</v>
      </c>
      <c r="AD27" s="73">
        <f t="shared" si="6"/>
        <v>0</v>
      </c>
      <c r="AE27" s="225">
        <f t="shared" si="19"/>
        <v>0</v>
      </c>
      <c r="AF27" s="70" t="e">
        <f>IF($Z$19='2. Customer Classes'!$B$14,+AE27/'4. Customer Growth'!$C23,+IF($Z$19='2. Customer Classes'!$B$15,+AE27/'4. Customer Growth'!$E23,+IF($Z$19='2. Customer Classes'!$B$16,+AE27/'4. Customer Growth'!$G23,+IF($Z$19='2. Customer Classes'!$B$17,+AE27/'4. Customer Growth'!$I23,+IF($Z$19='2. Customer Classes'!$B$18,+AE27/'4. Customer Growth'!$K23,+IF($Z$19='2. Customer Classes'!$B$19,+AE27/'4. Customer Growth'!$M23,IF($Z$19='2. Customer Classes'!$B$20,+AE27/'4. Customer Growth'!$O23)))))))</f>
        <v>#DIV/0!</v>
      </c>
      <c r="AH27" s="178">
        <f t="shared" si="20"/>
        <v>2011</v>
      </c>
      <c r="AI27" s="70">
        <f>IF($AH$19='2. Customer Classes'!$B$14,+SUM('3. Consumption by Rate Class'!$D$97:$D$108),+IF($AH$19='2. Customer Classes'!$B$15,+SUM('3. Consumption by Rate Class'!$F$97:$F$108),+IF($AH$19='2. Customer Classes'!$B$16,+SUM('3. Consumption by Rate Class'!$H$97:$H$108),+IF($AH$19='2. Customer Classes'!$B$17,+SUM('3. Consumption by Rate Class'!$J$97:$J$108),+IF($AH$19='2. Customer Classes'!$B$18,+SUM('3. Consumption by Rate Class'!$L$97:$L$108),+IF($AH$19='2. Customer Classes'!$B$19,+SUM('3. Consumption by Rate Class'!$O$97:$O$108),IF($AH$19='2. Customer Classes'!$B$20,+SUM('3. Consumption by Rate Class'!$R$97:$R$108),0)))))))</f>
        <v>0</v>
      </c>
      <c r="AJ27" s="225">
        <f t="shared" si="7"/>
        <v>199623009.43799999</v>
      </c>
      <c r="AK27" s="225">
        <f t="shared" si="8"/>
        <v>197163923.49149352</v>
      </c>
      <c r="AL27" s="73">
        <f t="shared" si="9"/>
        <v>0</v>
      </c>
      <c r="AM27" s="225">
        <f t="shared" si="21"/>
        <v>0</v>
      </c>
      <c r="AN27" s="70" t="e">
        <f>IF($AH$19='2. Customer Classes'!$B$14,+AM27/'4. Customer Growth'!$C23,+IF($AH$19='2. Customer Classes'!$B$15,+AM27/'4. Customer Growth'!$E23,+IF($AH$19='2. Customer Classes'!$B$16,+AM27/'4. Customer Growth'!$G23,+IF($AH$19='2. Customer Classes'!$B$17,+AM27/'4. Customer Growth'!$I23,+IF($AH$19='2. Customer Classes'!$B$18,+AM27/'4. Customer Growth'!$K23,+IF($AH$19='2. Customer Classes'!$B$19,+AM27/'4. Customer Growth'!$M23,IF($AH$19='2. Customer Classes'!$B$20,+AM27/'4. Customer Growth'!$O23)))))))</f>
        <v>#DIV/0!</v>
      </c>
    </row>
    <row r="28" spans="2:40" x14ac:dyDescent="0.2">
      <c r="B28" s="178">
        <f>'4. Customer Growth'!B24</f>
        <v>2012</v>
      </c>
      <c r="C28" s="70">
        <f>IF($B$19='2. Customer Classes'!$B$14,+SUM('3. Consumption by Rate Class'!$D$109:$D$120),+IF($B$19='2. Customer Classes'!$B$15,+SUM('3. Consumption by Rate Class'!$F$109:$F$120),+IF($B$19='2. Customer Classes'!$B$16,+SUM('3. Consumption by Rate Class'!$H$109:$H$120),+IF($B$19='2. Customer Classes'!$B$17,+SUM('3. Consumption by Rate Class'!$J$109:$J$120),+IF($B$19='2. Customer Classes'!$B$18,+SUM('3. Consumption by Rate Class'!$L$109:$L$120),+IF($B$19='2. Customer Classes'!$B$19,+SUM('3. Consumption by Rate Class'!$O$109:$O$120),IF($B$19='2. Customer Classes'!$B$20,+SUM('3. Consumption by Rate Class'!$R$109:$R$120),0)))))))</f>
        <v>78553743.920000002</v>
      </c>
      <c r="D28" s="72">
        <f>SUM('6. WS Regression Analysis'!J104:J115)</f>
        <v>194771161.25000003</v>
      </c>
      <c r="E28" s="72">
        <f>SUM('6. WS Regression Analysis'!R104:R115)</f>
        <v>200033688.73731855</v>
      </c>
      <c r="F28" s="73">
        <f t="shared" si="10"/>
        <v>0.40331301315789631</v>
      </c>
      <c r="G28" s="72">
        <f t="shared" si="11"/>
        <v>80676189.737736687</v>
      </c>
      <c r="H28" s="70">
        <f>IF($B$19='2. Customer Classes'!$B$14,+G28/'4. Customer Growth'!$C24,+IF($B$19='2. Customer Classes'!$B$15,+G28/'4. Customer Growth'!$E24,+IF($B$19='2. Customer Classes'!$B$16,+G28/'4. Customer Growth'!$G24,+IF($B$19='2. Customer Classes'!$B$17,+G28/'4. Customer Growth'!$I24,+IF($B$19='2. Customer Classes'!$B$18,+G28/'4. Customer Growth'!$K24,+IF($B$19='2. Customer Classes'!$B$19,+G28/'4. Customer Growth'!$M24,IF($B$19='2. Customer Classes'!$B$20,+G28/'4. Customer Growth'!$O24)))))))</f>
        <v>8878.6870343627015</v>
      </c>
      <c r="I28" s="82"/>
      <c r="J28" s="178">
        <f t="shared" si="12"/>
        <v>2012</v>
      </c>
      <c r="K28" s="70">
        <f>IF($J$19='2. Customer Classes'!$B$14,+SUM('3. Consumption by Rate Class'!$D$109:$D$120),+IF($J$19='2. Customer Classes'!$B$15,+SUM('3. Consumption by Rate Class'!$F$109:$F$120),+IF($J$19='2. Customer Classes'!$B$16,+SUM('3. Consumption by Rate Class'!$H$109:$H$120),+IF($J$19='2. Customer Classes'!$B$17,+SUM('3. Consumption by Rate Class'!$J$109:$J$120),+IF($J$19='2. Customer Classes'!$B$18,+SUM('3. Consumption by Rate Class'!$L$109:$L$120),+IF($J$19='2. Customer Classes'!$B$19,+SUM('3. Consumption by Rate Class'!$O$109:$O$120),IF($J$19='2. Customer Classes'!$B$20,+SUM('3. Consumption by Rate Class'!$R$109:$R$120),0)))))))</f>
        <v>31948521.120000001</v>
      </c>
      <c r="L28" s="72">
        <f t="shared" si="13"/>
        <v>194771161.25000003</v>
      </c>
      <c r="M28" s="72">
        <f t="shared" si="0"/>
        <v>200033688.73731855</v>
      </c>
      <c r="N28" s="73">
        <f t="shared" si="1"/>
        <v>0.16403106555899324</v>
      </c>
      <c r="O28" s="72">
        <f t="shared" si="14"/>
        <v>32811739.111278348</v>
      </c>
      <c r="P28" s="70">
        <f>IF($J$19='2. Customer Classes'!$B$14,+O28/'4. Customer Growth'!$C24,+IF($J$19='2. Customer Classes'!$B$15,+O28/'4. Customer Growth'!$E24,+IF($J$19='2. Customer Classes'!$B$16,+O28/'4. Customer Growth'!$G24,+IF($J$19='2. Customer Classes'!$B$17,+O28/'4. Customer Growth'!$I24,+IF($J$19='2. Customer Classes'!$B$18,+O28/'4. Customer Growth'!$K24,+IF($J$19='2. Customer Classes'!$B$19,+O28/'4. Customer Growth'!$M24,IF($J$19='2. Customer Classes'!$B$20,+O28/'4. Customer Growth'!$O24)))))))</f>
        <v>24099.698208797905</v>
      </c>
      <c r="Q28" s="82"/>
      <c r="R28" s="178">
        <f t="shared" si="15"/>
        <v>2012</v>
      </c>
      <c r="S28" s="70">
        <f>IF($R$19='2. Customer Classes'!$B$14,+SUM('3. Consumption by Rate Class'!$D$109:$D$120),+IF($R$19='2. Customer Classes'!$B$15,+SUM('3. Consumption by Rate Class'!$F$109:$F$120),+IF($R$19='2. Customer Classes'!$B$16,+SUM('3. Consumption by Rate Class'!$H$109:$H$120),+IF($R$19='2. Customer Classes'!$B$17,+SUM('3. Consumption by Rate Class'!$J$109:$J$120),+IF($R$19='2. Customer Classes'!$B$18,+SUM('3. Consumption by Rate Class'!$L$109:$L$120),+IF($R$19='2. Customer Classes'!$B$19,+SUM('3. Consumption by Rate Class'!$O$109:$O$120),IF($R$19='2. Customer Classes'!$B$20,+SUM('3. Consumption by Rate Class'!$R$109:$R$120),0)))))))</f>
        <v>74516293.329999998</v>
      </c>
      <c r="T28" s="72">
        <f t="shared" si="2"/>
        <v>194771161.25000003</v>
      </c>
      <c r="U28" s="72">
        <f t="shared" si="3"/>
        <v>200033688.73731855</v>
      </c>
      <c r="V28" s="73">
        <f t="shared" si="16"/>
        <v>0.38258381195537483</v>
      </c>
      <c r="W28" s="72">
        <f t="shared" si="17"/>
        <v>76529651.156618252</v>
      </c>
      <c r="X28" s="70">
        <f>IF($R$19='2. Customer Classes'!$B$14,+W28/'4. Customer Growth'!$C24,+IF($R$19='2. Customer Classes'!$B$15,+W28/'4. Customer Growth'!$E24,+IF($R$19='2. Customer Classes'!$B$16,+W28/'4. Customer Growth'!$G24,+IF($R$19='2. Customer Classes'!$B$17,+W28/'4. Customer Growth'!$I24,+IF($R$19='2. Customer Classes'!$B$18,+W28/'4. Customer Growth'!$K24,+IF($R$19='2. Customer Classes'!$B$19,+W28/'4. Customer Growth'!$M24,IF($R$19='2. Customer Classes'!$B$20,+W28/'4. Customer Growth'!$O24)))))))</f>
        <v>527790.69763185002</v>
      </c>
      <c r="Z28" s="178">
        <f t="shared" si="18"/>
        <v>2012</v>
      </c>
      <c r="AA28" s="70">
        <f>IF($Z$19='2. Customer Classes'!$B$14,+SUM('3. Consumption by Rate Class'!$D$109:$D$120),+IF($Z$19='2. Customer Classes'!$B$15,+SUM('3. Consumption by Rate Class'!$F$109:$F$120),+IF($Z$19='2. Customer Classes'!$B$16,+SUM('3. Consumption by Rate Class'!$H$109:$H$120),+IF($Z$19='2. Customer Classes'!$B$17,+SUM('3. Consumption by Rate Class'!$J$109:$J$120),+IF($Z$19='2. Customer Classes'!$B$18,+SUM('3. Consumption by Rate Class'!$L$109:$L$120),+IF($Z$19='2. Customer Classes'!$B$19,+SUM('3. Consumption by Rate Class'!$O$109:$O$120),IF($Z$19='2. Customer Classes'!$B$20,+SUM('3. Consumption by Rate Class'!$R$109:$R$120),0)))))))</f>
        <v>0</v>
      </c>
      <c r="AB28" s="225">
        <f t="shared" si="4"/>
        <v>194771161.25000003</v>
      </c>
      <c r="AC28" s="225">
        <f t="shared" si="5"/>
        <v>200033688.73731855</v>
      </c>
      <c r="AD28" s="73">
        <f t="shared" si="6"/>
        <v>0</v>
      </c>
      <c r="AE28" s="225">
        <f t="shared" si="19"/>
        <v>0</v>
      </c>
      <c r="AF28" s="70" t="e">
        <f>IF($Z$19='2. Customer Classes'!$B$14,+AE28/'4. Customer Growth'!$C24,+IF($Z$19='2. Customer Classes'!$B$15,+AE28/'4. Customer Growth'!$E24,+IF($Z$19='2. Customer Classes'!$B$16,+AE28/'4. Customer Growth'!$G24,+IF($Z$19='2. Customer Classes'!$B$17,+AE28/'4. Customer Growth'!$I24,+IF($Z$19='2. Customer Classes'!$B$18,+AE28/'4. Customer Growth'!$K24,+IF($Z$19='2. Customer Classes'!$B$19,+AE28/'4. Customer Growth'!$M24,IF($Z$19='2. Customer Classes'!$B$20,+AE28/'4. Customer Growth'!$O24)))))))</f>
        <v>#DIV/0!</v>
      </c>
      <c r="AH28" s="178">
        <f t="shared" si="20"/>
        <v>2012</v>
      </c>
      <c r="AI28" s="70">
        <f>IF($AH$19='2. Customer Classes'!$B$14,+SUM('3. Consumption by Rate Class'!$D$109:$D$120),+IF($AH$19='2. Customer Classes'!$B$15,+SUM('3. Consumption by Rate Class'!$F$109:$F$120),+IF($AH$19='2. Customer Classes'!$B$16,+SUM('3. Consumption by Rate Class'!$H$109:$H$120),+IF($AH$19='2. Customer Classes'!$B$17,+SUM('3. Consumption by Rate Class'!$J$109:$J$120),+IF($AH$19='2. Customer Classes'!$B$18,+SUM('3. Consumption by Rate Class'!$L$109:$L$120),+IF($AH$19='2. Customer Classes'!$B$19,+SUM('3. Consumption by Rate Class'!$O$109:$O$120),IF($AH$19='2. Customer Classes'!$B$20,+SUM('3. Consumption by Rate Class'!$R$109:$R$120),0)))))))</f>
        <v>0</v>
      </c>
      <c r="AJ28" s="225">
        <f t="shared" si="7"/>
        <v>194771161.25000003</v>
      </c>
      <c r="AK28" s="225">
        <f t="shared" si="8"/>
        <v>200033688.73731855</v>
      </c>
      <c r="AL28" s="73">
        <f t="shared" si="9"/>
        <v>0</v>
      </c>
      <c r="AM28" s="225">
        <f t="shared" si="21"/>
        <v>0</v>
      </c>
      <c r="AN28" s="70" t="e">
        <f>IF($AH$19='2. Customer Classes'!$B$14,+AM28/'4. Customer Growth'!$C24,+IF($AH$19='2. Customer Classes'!$B$15,+AM28/'4. Customer Growth'!$E24,+IF($AH$19='2. Customer Classes'!$B$16,+AM28/'4. Customer Growth'!$G24,+IF($AH$19='2. Customer Classes'!$B$17,+AM28/'4. Customer Growth'!$I24,+IF($AH$19='2. Customer Classes'!$B$18,+AM28/'4. Customer Growth'!$K24,+IF($AH$19='2. Customer Classes'!$B$19,+AM28/'4. Customer Growth'!$M24,IF($AH$19='2. Customer Classes'!$B$20,+AM28/'4. Customer Growth'!$O24)))))))</f>
        <v>#DIV/0!</v>
      </c>
    </row>
    <row r="29" spans="2:40" x14ac:dyDescent="0.2">
      <c r="B29" s="178">
        <f>'4. Customer Growth'!B25</f>
        <v>2013</v>
      </c>
      <c r="C29" s="70">
        <f>IF($B$19='2. Customer Classes'!$B$14,+SUM('3. Consumption by Rate Class'!$D$121:$D$132),+IF($B$19='2. Customer Classes'!$B$15,+SUM('3. Consumption by Rate Class'!$F$121:$F$132),+IF($B$19='2. Customer Classes'!$B$16,+SUM('3. Consumption by Rate Class'!$H$121:$H$132),+IF($B$19='2. Customer Classes'!$B$17,+SUM('3. Consumption by Rate Class'!$J$121:$J$132),+IF($B$19='2. Customer Classes'!$B$18,+SUM('3. Consumption by Rate Class'!$L$121:$L$132),+IF($B$19='2. Customer Classes'!$B$19,+SUM('3. Consumption by Rate Class'!$O$121:$O$132),IF($B$19='2. Customer Classes'!$B$20,+SUM('3. Consumption by Rate Class'!$R$121:$R$132),0)))))))</f>
        <v>80138213.859999999</v>
      </c>
      <c r="D29" s="72">
        <f>SUM('6. WS Regression Analysis'!J116:J127)</f>
        <v>198259056.0149</v>
      </c>
      <c r="E29" s="72">
        <f>SUM('6. WS Regression Analysis'!R116:R127)</f>
        <v>199265600.47060758</v>
      </c>
      <c r="F29" s="73">
        <f t="shared" si="10"/>
        <v>0.4042096006649869</v>
      </c>
      <c r="G29" s="72">
        <f t="shared" si="11"/>
        <v>80545068.79249312</v>
      </c>
      <c r="H29" s="70">
        <f>IF($B$19='2. Customer Classes'!$B$14,+G29/'4. Customer Growth'!$C25,+IF($B$19='2. Customer Classes'!$B$15,+G29/'4. Customer Growth'!$E25,+IF($B$19='2. Customer Classes'!$B$16,+G29/'4. Customer Growth'!$G25,+IF($B$19='2. Customer Classes'!$B$17,+G29/'4. Customer Growth'!$I25,+IF($B$19='2. Customer Classes'!$B$18,+G29/'4. Customer Growth'!$K25,+IF($B$19='2. Customer Classes'!$B$19,+G29/'4. Customer Growth'!$M25,IF($B$19='2. Customer Classes'!$B$20,+G29/'4. Customer Growth'!$O25)))))))</f>
        <v>8759.6594662852767</v>
      </c>
      <c r="I29" s="82"/>
      <c r="J29" s="178">
        <f t="shared" si="12"/>
        <v>2013</v>
      </c>
      <c r="K29" s="70">
        <f>IF($J$19='2. Customer Classes'!$B$14,+SUM('3. Consumption by Rate Class'!$D$121:$D$132),+IF($J$19='2. Customer Classes'!$B$15,+SUM('3. Consumption by Rate Class'!$F$121:$F$132),+IF($J$19='2. Customer Classes'!$B$16,+SUM('3. Consumption by Rate Class'!$H$121:$H$132),+IF($J$19='2. Customer Classes'!$B$17,+SUM('3. Consumption by Rate Class'!$J$121:$J$132),+IF($J$19='2. Customer Classes'!$B$18,+SUM('3. Consumption by Rate Class'!$L$121:$L$132),+IF($J$19='2. Customer Classes'!$B$19,+SUM('3. Consumption by Rate Class'!$O$121:$O$132),IF($J$19='2. Customer Classes'!$B$20,+SUM('3. Consumption by Rate Class'!$R$121:$R$132),0)))))))</f>
        <v>31708039.23</v>
      </c>
      <c r="L29" s="72">
        <f t="shared" si="13"/>
        <v>198259056.0149</v>
      </c>
      <c r="M29" s="72">
        <f t="shared" si="0"/>
        <v>199265600.47060758</v>
      </c>
      <c r="N29" s="73">
        <f t="shared" si="1"/>
        <v>0.15993236257322344</v>
      </c>
      <c r="O29" s="72">
        <f t="shared" si="14"/>
        <v>31869018.262836292</v>
      </c>
      <c r="P29" s="70">
        <f>IF($J$19='2. Customer Classes'!$B$14,+O29/'4. Customer Growth'!$C25,+IF($J$19='2. Customer Classes'!$B$15,+O29/'4. Customer Growth'!$E25,+IF($J$19='2. Customer Classes'!$B$16,+O29/'4. Customer Growth'!$G25,+IF($J$19='2. Customer Classes'!$B$17,+O29/'4. Customer Growth'!$I25,+IF($J$19='2. Customer Classes'!$B$18,+O29/'4. Customer Growth'!$K25,+IF($J$19='2. Customer Classes'!$B$19,+O29/'4. Customer Growth'!$M25,IF($J$19='2. Customer Classes'!$B$20,+O29/'4. Customer Growth'!$O25)))))))</f>
        <v>23916.71164190341</v>
      </c>
      <c r="Q29" s="82"/>
      <c r="R29" s="178">
        <f t="shared" si="15"/>
        <v>2013</v>
      </c>
      <c r="S29" s="70">
        <f>IF($R$19='2. Customer Classes'!$B$14,+SUM('3. Consumption by Rate Class'!$D$121:$D$132),+IF($R$19='2. Customer Classes'!$B$15,+SUM('3. Consumption by Rate Class'!$F$121:$F$132),+IF($R$19='2. Customer Classes'!$B$16,+SUM('3. Consumption by Rate Class'!$H$121:$H$132),+IF($R$19='2. Customer Classes'!$B$17,+SUM('3. Consumption by Rate Class'!$J$121:$J$132),+IF($R$19='2. Customer Classes'!$B$18,+SUM('3. Consumption by Rate Class'!$L$121:$L$132),+IF($R$19='2. Customer Classes'!$B$19,+SUM('3. Consumption by Rate Class'!$O$121:$O$132),IF($R$19='2. Customer Classes'!$B$20,+SUM('3. Consumption by Rate Class'!$R$121:$R$132),0)))))))</f>
        <v>73596923.409999996</v>
      </c>
      <c r="T29" s="72">
        <f t="shared" si="2"/>
        <v>198259056.0149</v>
      </c>
      <c r="U29" s="72">
        <f t="shared" si="3"/>
        <v>199265600.47060758</v>
      </c>
      <c r="V29" s="73">
        <f t="shared" si="16"/>
        <v>0.37121594790842177</v>
      </c>
      <c r="W29" s="72">
        <f t="shared" si="17"/>
        <v>73970568.764237449</v>
      </c>
      <c r="X29" s="70">
        <f>IF($R$19='2. Customer Classes'!$B$14,+W29/'4. Customer Growth'!$C25,+IF($R$19='2. Customer Classes'!$B$15,+W29/'4. Customer Growth'!$E25,+IF($R$19='2. Customer Classes'!$B$16,+W29/'4. Customer Growth'!$G25,+IF($R$19='2. Customer Classes'!$B$17,+W29/'4. Customer Growth'!$I25,+IF($R$19='2. Customer Classes'!$B$18,+W29/'4. Customer Growth'!$K25,+IF($R$19='2. Customer Classes'!$B$19,+W29/'4. Customer Growth'!$M25,IF($R$19='2. Customer Classes'!$B$20,+W29/'4. Customer Growth'!$O25)))))))</f>
        <v>508388.7887576457</v>
      </c>
      <c r="Z29" s="178">
        <f t="shared" si="18"/>
        <v>2013</v>
      </c>
      <c r="AA29" s="70">
        <f>IF($Z$19='2. Customer Classes'!$B$14,+SUM('3. Consumption by Rate Class'!$D$121:$D$132),+IF($Z$19='2. Customer Classes'!$B$15,+SUM('3. Consumption by Rate Class'!$F$121:$F$132),+IF($Z$19='2. Customer Classes'!$B$16,+SUM('3. Consumption by Rate Class'!$H$121:$H$132),+IF($Z$19='2. Customer Classes'!$B$17,+SUM('3. Consumption by Rate Class'!$J$121:$J$132),+IF($Z$19='2. Customer Classes'!$B$18,+SUM('3. Consumption by Rate Class'!$L$121:$L$132),+IF($Z$19='2. Customer Classes'!$B$19,+SUM('3. Consumption by Rate Class'!$O$121:$O$132),IF($Z$19='2. Customer Classes'!$B$20,+SUM('3. Consumption by Rate Class'!$R$121:$R$132),0)))))))</f>
        <v>0</v>
      </c>
      <c r="AB29" s="225">
        <f t="shared" si="4"/>
        <v>198259056.0149</v>
      </c>
      <c r="AC29" s="225">
        <f t="shared" si="5"/>
        <v>199265600.47060758</v>
      </c>
      <c r="AD29" s="73">
        <f t="shared" si="6"/>
        <v>0</v>
      </c>
      <c r="AE29" s="225">
        <f t="shared" si="19"/>
        <v>0</v>
      </c>
      <c r="AF29" s="70" t="e">
        <f>IF($Z$19='2. Customer Classes'!$B$14,+AE29/'4. Customer Growth'!$C25,+IF($Z$19='2. Customer Classes'!$B$15,+AE29/'4. Customer Growth'!$E25,+IF($Z$19='2. Customer Classes'!$B$16,+AE29/'4. Customer Growth'!$G25,+IF($Z$19='2. Customer Classes'!$B$17,+AE29/'4. Customer Growth'!$I25,+IF($Z$19='2. Customer Classes'!$B$18,+AE29/'4. Customer Growth'!$K25,+IF($Z$19='2. Customer Classes'!$B$19,+AE29/'4. Customer Growth'!$M25,IF($Z$19='2. Customer Classes'!$B$20,+AE29/'4. Customer Growth'!$O25)))))))</f>
        <v>#DIV/0!</v>
      </c>
      <c r="AH29" s="178">
        <f t="shared" si="20"/>
        <v>2013</v>
      </c>
      <c r="AI29" s="70">
        <f>IF($AH$19='2. Customer Classes'!$B$14,+SUM('3. Consumption by Rate Class'!$D$121:$D$132),+IF($AH$19='2. Customer Classes'!$B$15,+SUM('3. Consumption by Rate Class'!$F$121:$F$132),+IF($AH$19='2. Customer Classes'!$B$16,+SUM('3. Consumption by Rate Class'!$H$121:$H$132),+IF($AH$19='2. Customer Classes'!$B$17,+SUM('3. Consumption by Rate Class'!$J$121:$J$132),+IF($AH$19='2. Customer Classes'!$B$18,+SUM('3. Consumption by Rate Class'!$L$121:$L$132),+IF($AH$19='2. Customer Classes'!$B$19,+SUM('3. Consumption by Rate Class'!$O$121:$O$132),IF($AH$19='2. Customer Classes'!$B$20,+SUM('3. Consumption by Rate Class'!$R$121:$R$132),0)))))))</f>
        <v>0</v>
      </c>
      <c r="AJ29" s="225">
        <f t="shared" si="7"/>
        <v>198259056.0149</v>
      </c>
      <c r="AK29" s="225">
        <f t="shared" si="8"/>
        <v>199265600.47060758</v>
      </c>
      <c r="AL29" s="73">
        <f t="shared" si="9"/>
        <v>0</v>
      </c>
      <c r="AM29" s="225">
        <f t="shared" si="21"/>
        <v>0</v>
      </c>
      <c r="AN29" s="70" t="e">
        <f>IF($AH$19='2. Customer Classes'!$B$14,+AM29/'4. Customer Growth'!$C25,+IF($AH$19='2. Customer Classes'!$B$15,+AM29/'4. Customer Growth'!$E25,+IF($AH$19='2. Customer Classes'!$B$16,+AM29/'4. Customer Growth'!$G25,+IF($AH$19='2. Customer Classes'!$B$17,+AM29/'4. Customer Growth'!$I25,+IF($AH$19='2. Customer Classes'!$B$18,+AM29/'4. Customer Growth'!$K25,+IF($AH$19='2. Customer Classes'!$B$19,+AM29/'4. Customer Growth'!$M25,IF($AH$19='2. Customer Classes'!$B$20,+AM29/'4. Customer Growth'!$O25)))))))</f>
        <v>#DIV/0!</v>
      </c>
    </row>
    <row r="30" spans="2:40" x14ac:dyDescent="0.2">
      <c r="B30" s="178">
        <f>'4. Customer Growth'!B26</f>
        <v>2014</v>
      </c>
      <c r="C30" s="70">
        <f>IF($B$19='2. Customer Classes'!$B$14,+SUM('3. Consumption by Rate Class'!$D$133:$D$144),+IF($B$19='2. Customer Classes'!$B$15,+SUM('3. Consumption by Rate Class'!$F$133:$F$144),+IF($B$19='2. Customer Classes'!$B$16,+SUM('3. Consumption by Rate Class'!$H$133:$H$144),+IF($B$19='2. Customer Classes'!$B$17,+SUM('3. Consumption by Rate Class'!$J$133:$J$144),+IF($B$19='2. Customer Classes'!$B$18,+SUM('3. Consumption by Rate Class'!$L$133:$L$144),+IF($B$19='2. Customer Classes'!$B$19,+SUM('3. Consumption by Rate Class'!$O$133:$O$144),IF($B$19='2. Customer Classes'!$B$20,+SUM('3. Consumption by Rate Class'!$R$133:$R$144),0)))))))</f>
        <v>79483998.230000004</v>
      </c>
      <c r="D30" s="72">
        <f>SUM('6. WS Regression Analysis'!J128:J139)</f>
        <v>191637148.35999998</v>
      </c>
      <c r="E30" s="72">
        <f>SUM('6. WS Regression Analysis'!R128:R139)</f>
        <v>200120990.86278558</v>
      </c>
      <c r="F30" s="73">
        <f>C30/D30</f>
        <v>0.41476299825065926</v>
      </c>
      <c r="G30" s="72">
        <f>E30*F30</f>
        <v>83002782.183141738</v>
      </c>
      <c r="H30" s="70">
        <f>IF($B$19='2. Customer Classes'!$B$14,+G30/'4. Customer Growth'!$C26,+IF($B$19='2. Customer Classes'!$B$15,+G30/'4. Customer Growth'!$E26,+IF($B$19='2. Customer Classes'!$B$16,+G30/'4. Customer Growth'!$G26,+IF($B$19='2. Customer Classes'!$B$17,+G30/'4. Customer Growth'!$I26,+IF($B$19='2. Customer Classes'!$B$18,+G30/'4. Customer Growth'!$K26,+IF($B$19='2. Customer Classes'!$B$19,+G30/'4. Customer Growth'!$M26,IF($B$19='2. Customer Classes'!$B$20,+G30/'4. Customer Growth'!$O26)))))))</f>
        <v>8920.2345172640235</v>
      </c>
      <c r="I30" s="82"/>
      <c r="J30" s="178">
        <f t="shared" si="12"/>
        <v>2014</v>
      </c>
      <c r="K30" s="70">
        <f>IF($J$19='2. Customer Classes'!$B$14,+SUM('3. Consumption by Rate Class'!$D$133:$D$144),+IF($J$19='2. Customer Classes'!$B$15,+SUM('3. Consumption by Rate Class'!$F$133:$F$144),+IF($J$19='2. Customer Classes'!$B$16,+SUM('3. Consumption by Rate Class'!$H$133:$H$144),+IF($J$19='2. Customer Classes'!$B$17,+SUM('3. Consumption by Rate Class'!$J$133:$J$144),+IF($J$19='2. Customer Classes'!$B$18,+SUM('3. Consumption by Rate Class'!$L$133:$L$144),+IF($J$19='2. Customer Classes'!$B$19,+SUM('3. Consumption by Rate Class'!$O$133:$O$144),IF($J$19='2. Customer Classes'!$B$20,+SUM('3. Consumption by Rate Class'!$R$133:$R$144),0)))))))</f>
        <v>31649726.120000001</v>
      </c>
      <c r="L30" s="72">
        <f t="shared" si="13"/>
        <v>191637148.35999998</v>
      </c>
      <c r="M30" s="72">
        <f t="shared" si="0"/>
        <v>200120990.86278558</v>
      </c>
      <c r="N30" s="73">
        <f>K30/L30</f>
        <v>0.16515444104054608</v>
      </c>
      <c r="O30" s="72">
        <f t="shared" si="14"/>
        <v>33050870.38642358</v>
      </c>
      <c r="P30" s="70">
        <f>IF($J$19='2. Customer Classes'!$B$14,+O30/'4. Customer Growth'!$C26,+IF($J$19='2. Customer Classes'!$B$15,+O30/'4. Customer Growth'!$E26,+IF($J$19='2. Customer Classes'!$B$16,+O30/'4. Customer Growth'!$G26,+IF($J$19='2. Customer Classes'!$B$17,+O30/'4. Customer Growth'!$I26,+IF($J$19='2. Customer Classes'!$B$18,+O30/'4. Customer Growth'!$K26,+IF($J$19='2. Customer Classes'!$B$19,+O30/'4. Customer Growth'!$M26,IF($J$19='2. Customer Classes'!$B$20,+O30/'4. Customer Growth'!$O26)))))))</f>
        <v>25076.532918379045</v>
      </c>
      <c r="Q30" s="82"/>
      <c r="R30" s="178">
        <f t="shared" si="15"/>
        <v>2014</v>
      </c>
      <c r="S30" s="70">
        <f>IF($R$19='2. Customer Classes'!$B$14,+SUM('3. Consumption by Rate Class'!$D$133:$D$144),+IF($R$19='2. Customer Classes'!$B$15,+SUM('3. Consumption by Rate Class'!$F$133:$F$144),+IF($R$19='2. Customer Classes'!$B$16,+SUM('3. Consumption by Rate Class'!$H$133:$H$144),+IF($R$19='2. Customer Classes'!$B$17,+SUM('3. Consumption by Rate Class'!$J$133:$J$144),+IF($R$19='2. Customer Classes'!$B$18,+SUM('3. Consumption by Rate Class'!$L$133:$L$144),+IF($R$19='2. Customer Classes'!$B$19,+SUM('3. Consumption by Rate Class'!$O$133:$O$144),IF($R$19='2. Customer Classes'!$B$20,+SUM('3. Consumption by Rate Class'!$R$133:$R$144),0)))))))</f>
        <v>72512848.979999989</v>
      </c>
      <c r="T30" s="72">
        <f t="shared" si="2"/>
        <v>191637148.35999998</v>
      </c>
      <c r="U30" s="72">
        <f t="shared" si="3"/>
        <v>200120990.86278558</v>
      </c>
      <c r="V30" s="73">
        <f>S30/T30</f>
        <v>0.37838618243150313</v>
      </c>
      <c r="W30" s="72">
        <f t="shared" si="17"/>
        <v>75723017.756979153</v>
      </c>
      <c r="X30" s="70">
        <f>IF($R$19='2. Customer Classes'!$B$14,+W30/'4. Customer Growth'!$C26,+IF($R$19='2. Customer Classes'!$B$15,+W30/'4. Customer Growth'!$E26,+IF($R$19='2. Customer Classes'!$B$16,+W30/'4. Customer Growth'!$G26,+IF($R$19='2. Customer Classes'!$B$17,+W30/'4. Customer Growth'!$I26,+IF($R$19='2. Customer Classes'!$B$18,+W30/'4. Customer Growth'!$K26,+IF($R$19='2. Customer Classes'!$B$19,+W30/'4. Customer Growth'!$M26,IF($R$19='2. Customer Classes'!$B$20,+W30/'4. Customer Growth'!$O26)))))))</f>
        <v>516880.66728313413</v>
      </c>
      <c r="Z30" s="178">
        <f t="shared" si="18"/>
        <v>2014</v>
      </c>
      <c r="AA30" s="70">
        <f>IF($Z$19='2. Customer Classes'!$B$14,+SUM('3. Consumption by Rate Class'!$D$133:$D$144),+IF($Z$19='2. Customer Classes'!$B$15,+SUM('3. Consumption by Rate Class'!$F$133:$F$144),+IF($Z$19='2. Customer Classes'!$B$16,+SUM('3. Consumption by Rate Class'!$H$133:$H$144),+IF($Z$19='2. Customer Classes'!$B$17,+SUM('3. Consumption by Rate Class'!$J$133:$J$144),+IF($Z$19='2. Customer Classes'!$B$18,+SUM('3. Consumption by Rate Class'!$L$133:$L$144),+IF($Z$19='2. Customer Classes'!$B$19,+SUM('3. Consumption by Rate Class'!$O$133:$O$144),IF($Z$19='2. Customer Classes'!$B$20,+SUM('3. Consumption by Rate Class'!$R$133:$R$144),0)))))))</f>
        <v>0</v>
      </c>
      <c r="AB30" s="225">
        <f t="shared" si="4"/>
        <v>191637148.35999998</v>
      </c>
      <c r="AC30" s="225">
        <f t="shared" si="5"/>
        <v>200120990.86278558</v>
      </c>
      <c r="AD30" s="73">
        <f t="shared" si="6"/>
        <v>0</v>
      </c>
      <c r="AE30" s="225">
        <f t="shared" si="19"/>
        <v>0</v>
      </c>
      <c r="AF30" s="70" t="e">
        <f>IF($Z$19='2. Customer Classes'!$B$14,+AE30/'4. Customer Growth'!$C26,+IF($Z$19='2. Customer Classes'!$B$15,+AE30/'4. Customer Growth'!$E26,+IF($Z$19='2. Customer Classes'!$B$16,+AE30/'4. Customer Growth'!$G26,+IF($Z$19='2. Customer Classes'!$B$17,+AE30/'4. Customer Growth'!$I26,+IF($Z$19='2. Customer Classes'!$B$18,+AE30/'4. Customer Growth'!$K26,+IF($Z$19='2. Customer Classes'!$B$19,+AE30/'4. Customer Growth'!$M26,IF($Z$19='2. Customer Classes'!$B$20,+AE30/'4. Customer Growth'!$O26)))))))</f>
        <v>#DIV/0!</v>
      </c>
      <c r="AH30" s="178">
        <f t="shared" si="20"/>
        <v>2014</v>
      </c>
      <c r="AI30" s="70">
        <f>IF($AH$19='2. Customer Classes'!$B$14,+SUM('3. Consumption by Rate Class'!$D$133:$D$144),+IF($AH$19='2. Customer Classes'!$B$15,+SUM('3. Consumption by Rate Class'!$F$133:$F$144),+IF($AH$19='2. Customer Classes'!$B$16,+SUM('3. Consumption by Rate Class'!$H$133:$H$144),+IF($AH$19='2. Customer Classes'!$B$17,+SUM('3. Consumption by Rate Class'!$J$133:$J$144),+IF($AH$19='2. Customer Classes'!$B$18,+SUM('3. Consumption by Rate Class'!$L$133:$L$144),+IF($AH$19='2. Customer Classes'!$B$19,+SUM('3. Consumption by Rate Class'!$O$133:$O$144),IF($AH$19='2. Customer Classes'!$B$20,+SUM('3. Consumption by Rate Class'!$R$133:$R$144),0)))))))</f>
        <v>0</v>
      </c>
      <c r="AJ30" s="225">
        <f t="shared" si="7"/>
        <v>191637148.35999998</v>
      </c>
      <c r="AK30" s="225">
        <f t="shared" si="8"/>
        <v>200120990.86278558</v>
      </c>
      <c r="AL30" s="73">
        <f t="shared" si="9"/>
        <v>0</v>
      </c>
      <c r="AM30" s="225">
        <f t="shared" si="21"/>
        <v>0</v>
      </c>
      <c r="AN30" s="70" t="e">
        <f>IF($AH$19='2. Customer Classes'!$B$14,+AM30/'4. Customer Growth'!$C26,+IF($AH$19='2. Customer Classes'!$B$15,+AM30/'4. Customer Growth'!$E26,+IF($AH$19='2. Customer Classes'!$B$16,+AM30/'4. Customer Growth'!$G26,+IF($AH$19='2. Customer Classes'!$B$17,+AM30/'4. Customer Growth'!$I26,+IF($AH$19='2. Customer Classes'!$B$18,+AM30/'4. Customer Growth'!$K26,+IF($AH$19='2. Customer Classes'!$B$19,+AM30/'4. Customer Growth'!$M26,IF($AH$19='2. Customer Classes'!$B$20,+AM30/'4. Customer Growth'!$O26)))))))</f>
        <v>#DIV/0!</v>
      </c>
    </row>
    <row r="31" spans="2:40" ht="14.25" customHeight="1" x14ac:dyDescent="0.2">
      <c r="B31" s="179" t="str">
        <f>'4. Customer Growth'!B30</f>
        <v>2015</v>
      </c>
      <c r="C31" s="75"/>
      <c r="D31" s="75"/>
      <c r="E31" s="163">
        <f>SUM('6. WS Regression Analysis'!R140:R151)</f>
        <v>199517622.55165917</v>
      </c>
      <c r="F31" s="76">
        <f>AVERAGE(F21:F30)</f>
        <v>0.39314218055825734</v>
      </c>
      <c r="G31" s="163">
        <f>E31*F31</f>
        <v>78438793.189758629</v>
      </c>
      <c r="H31" s="70">
        <f>IF($B$19='2. Customer Classes'!$B$14,+G31/'4. Customer Growth'!$C26,+IF($B$19='2. Customer Classes'!$B$15,+G31/'4. Customer Growth'!$E26,+IF($B$19='2. Customer Classes'!$B$16,+G31/'4. Customer Growth'!$G26,+IF($B$19='2. Customer Classes'!$B$17,+G31/'4. Customer Growth'!$I26,+IF($B$19='2. Customer Classes'!$B$18,+G31/'4. Customer Growth'!$K26,+IF($B$19='2. Customer Classes'!$B$19,+G31/'4. Customer Growth'!$M26,IF($B$19='2. Customer Classes'!$B$20,+G31/'4. Customer Growth'!$O26)))))))</f>
        <v>8429.7467157182837</v>
      </c>
      <c r="I31" s="82"/>
      <c r="J31" s="179" t="str">
        <f t="shared" si="12"/>
        <v>2015</v>
      </c>
      <c r="K31" s="75"/>
      <c r="L31" s="75"/>
      <c r="M31" s="163">
        <f>E31</f>
        <v>199517622.55165917</v>
      </c>
      <c r="N31" s="76">
        <f>AVERAGE(N21:N30)</f>
        <v>0.17519150000828898</v>
      </c>
      <c r="O31" s="163">
        <f>M31*N31</f>
        <v>34953791.572912797</v>
      </c>
      <c r="P31" s="70">
        <f>IF($J$19='2. Customer Classes'!$B$14,+O31/'4. Customer Growth'!$C26,+IF($J$19='2. Customer Classes'!$B$15,+O31/'4. Customer Growth'!$E26,+IF($J$19='2. Customer Classes'!$B$16,+O31/'4. Customer Growth'!$G26,+IF($J$19='2. Customer Classes'!$B$17,+O31/'4. Customer Growth'!$I26,+IF($J$19='2. Customer Classes'!$B$18,+O31/'4. Customer Growth'!$K26,+IF($J$19='2. Customer Classes'!$B$19,+O31/'4. Customer Growth'!$M26,IF($J$19='2. Customer Classes'!$B$20,+O31/'4. Customer Growth'!$O26)))))))</f>
        <v>26520.327445305611</v>
      </c>
      <c r="Q31" s="82"/>
      <c r="R31" s="179" t="str">
        <f t="shared" si="15"/>
        <v>2015</v>
      </c>
      <c r="S31" s="75"/>
      <c r="T31" s="75"/>
      <c r="U31" s="131">
        <f>M31</f>
        <v>199517622.55165917</v>
      </c>
      <c r="V31" s="76">
        <f>AVERAGE(V21:V30)</f>
        <v>0.37997135446440339</v>
      </c>
      <c r="W31" s="131">
        <f>U31*V31</f>
        <v>75810981.280471534</v>
      </c>
      <c r="X31" s="70">
        <f>IF($R$19='2. Customer Classes'!$B$14,+W31/'4. Customer Growth'!$C26,+IF($R$19='2. Customer Classes'!$B$15,+W31/'4. Customer Growth'!$E26,+IF($R$19='2. Customer Classes'!$B$16,+W31/'4. Customer Growth'!$G26,+IF($R$19='2. Customer Classes'!$B$17,+W31/'4. Customer Growth'!$I26,+IF($R$19='2. Customer Classes'!$B$18,+W31/'4. Customer Growth'!$K26,+IF($R$19='2. Customer Classes'!$B$19,+W31/'4. Customer Growth'!$M26,IF($R$19='2. Customer Classes'!$B$20,+W31/'4. Customer Growth'!$O26)))))))</f>
        <v>517481.10089059069</v>
      </c>
      <c r="Z31" s="179" t="str">
        <f t="shared" si="18"/>
        <v>2015</v>
      </c>
      <c r="AA31" s="75"/>
      <c r="AB31" s="75"/>
      <c r="AC31" s="280">
        <f>U31</f>
        <v>199517622.55165917</v>
      </c>
      <c r="AD31" s="76">
        <f>AD30</f>
        <v>0</v>
      </c>
      <c r="AE31" s="280">
        <f>AC31*AD31</f>
        <v>0</v>
      </c>
      <c r="AF31" s="70" t="e">
        <f>IF($Z$19='2. Customer Classes'!$B$14,+AE31/'4. Customer Growth'!$C26,+IF($Z$19='2. Customer Classes'!$B$15,+AE31/'4. Customer Growth'!$E26,+IF($Z$19='2. Customer Classes'!$B$16,+AE31/'4. Customer Growth'!$G26,+IF($Z$19='2. Customer Classes'!$B$17,+AE31/'4. Customer Growth'!$I26,+IF($Z$19='2. Customer Classes'!$B$18,+AE31/'4. Customer Growth'!$K26,+IF($Z$19='2. Customer Classes'!$B$19,+AE31/'4. Customer Growth'!$M26,IF($Z$19='2. Customer Classes'!$B$20,+AE31/'4. Customer Growth'!$O26)))))))</f>
        <v>#DIV/0!</v>
      </c>
      <c r="AH31" s="179" t="str">
        <f t="shared" si="20"/>
        <v>2015</v>
      </c>
      <c r="AI31" s="75"/>
      <c r="AJ31" s="75"/>
      <c r="AK31" s="280">
        <f>AC31</f>
        <v>199517622.55165917</v>
      </c>
      <c r="AL31" s="76">
        <f>AL30</f>
        <v>0</v>
      </c>
      <c r="AM31" s="280">
        <f>AK31*AL31</f>
        <v>0</v>
      </c>
      <c r="AN31" s="70" t="e">
        <f>IF($AH$19='2. Customer Classes'!$B$14,+AM31/'4. Customer Growth'!$C26,+IF($AH$19='2. Customer Classes'!$B$15,+AM31/'4. Customer Growth'!$E26,+IF($AH$19='2. Customer Classes'!$B$16,+AM31/'4. Customer Growth'!$G26,+IF($AH$19='2. Customer Classes'!$B$17,+AM31/'4. Customer Growth'!$I26,+IF($AH$19='2. Customer Classes'!$B$18,+AM31/'4. Customer Growth'!$K26,+IF($AH$19='2. Customer Classes'!$B$19,+AM31/'4. Customer Growth'!$M26,IF($AH$19='2. Customer Classes'!$B$20,+AM31/'4. Customer Growth'!$O26)))))))</f>
        <v>#DIV/0!</v>
      </c>
    </row>
    <row r="32" spans="2:40" ht="14.25" customHeight="1" thickBot="1" x14ac:dyDescent="0.25">
      <c r="B32" s="180" t="str">
        <f>'4. Customer Growth'!B31</f>
        <v>2016</v>
      </c>
      <c r="C32" s="77"/>
      <c r="D32" s="77"/>
      <c r="E32" s="164">
        <f>SUM('6. WS Regression Analysis'!R152:R163)</f>
        <v>199139994.65082523</v>
      </c>
      <c r="F32" s="78">
        <f>F31</f>
        <v>0.39314218055825734</v>
      </c>
      <c r="G32" s="164">
        <f t="shared" si="11"/>
        <v>78290331.733385131</v>
      </c>
      <c r="H32" s="70">
        <f>IF($B$19='2. Customer Classes'!$B$14,+G32/'4. Customer Growth'!$C26,+IF($B$19='2. Customer Classes'!$B$15,+G32/'4. Customer Growth'!$E26,+IF($B$19='2. Customer Classes'!$B$16,+G32/'4. Customer Growth'!$G26,+IF($B$19='2. Customer Classes'!$B$17,+G32/'4. Customer Growth'!$I26,+IF($B$19='2. Customer Classes'!$B$18,+G32/'4. Customer Growth'!$K26,+IF($B$19='2. Customer Classes'!$B$19,+G32/'4. Customer Growth'!$M26,IF($B$19='2. Customer Classes'!$B$20,+G32/'4. Customer Growth'!$O26)))))))</f>
        <v>8413.791696226237</v>
      </c>
      <c r="I32" s="82"/>
      <c r="J32" s="180" t="str">
        <f t="shared" si="12"/>
        <v>2016</v>
      </c>
      <c r="K32" s="77"/>
      <c r="L32" s="77"/>
      <c r="M32" s="164">
        <f>E32</f>
        <v>199139994.65082523</v>
      </c>
      <c r="N32" s="78">
        <f>N31</f>
        <v>0.17519150000828898</v>
      </c>
      <c r="O32" s="164">
        <f>M32*N32</f>
        <v>34887634.374520719</v>
      </c>
      <c r="P32" s="70">
        <f>IF($J$19='2. Customer Classes'!$B$14,+O32/'4. Customer Growth'!$C26,+IF($J$19='2. Customer Classes'!$B$15,+O32/'4. Customer Growth'!$E26,+IF($J$19='2. Customer Classes'!$B$16,+O32/'4. Customer Growth'!$G26,+IF($J$19='2. Customer Classes'!$B$17,+O32/'4. Customer Growth'!$I26,+IF($J$19='2. Customer Classes'!$B$18,+O32/'4. Customer Growth'!$K26,+IF($J$19='2. Customer Classes'!$B$19,+O32/'4. Customer Growth'!$M26,IF($J$19='2. Customer Classes'!$B$20,+O32/'4. Customer Growth'!$O26)))))))</f>
        <v>26470.132302367769</v>
      </c>
      <c r="Q32" s="82"/>
      <c r="R32" s="179" t="str">
        <f t="shared" si="15"/>
        <v>2016</v>
      </c>
      <c r="S32" s="77"/>
      <c r="T32" s="77"/>
      <c r="U32" s="132">
        <f>M32</f>
        <v>199139994.65082523</v>
      </c>
      <c r="V32" s="78">
        <f>V31</f>
        <v>0.37997135446440339</v>
      </c>
      <c r="W32" s="132">
        <f>U32*V32</f>
        <v>75667493.495508105</v>
      </c>
      <c r="X32" s="70">
        <f>IF($R$19='2. Customer Classes'!$B$14,+W32/'4. Customer Growth'!$C26,+IF($R$19='2. Customer Classes'!$B$15,+W32/'4. Customer Growth'!$E26,+IF($R$19='2. Customer Classes'!$B$16,+W32/'4. Customer Growth'!$G26,+IF($R$19='2. Customer Classes'!$B$17,+W32/'4. Customer Growth'!$I26,+IF($R$19='2. Customer Classes'!$B$18,+W32/'4. Customer Growth'!$K26,+IF($R$19='2. Customer Classes'!$B$19,+W32/'4. Customer Growth'!$M26,IF($R$19='2. Customer Classes'!$B$20,+W32/'4. Customer Growth'!$O26)))))))</f>
        <v>516501.66208537953</v>
      </c>
      <c r="Z32" s="179" t="str">
        <f t="shared" si="18"/>
        <v>2016</v>
      </c>
      <c r="AA32" s="77"/>
      <c r="AB32" s="77"/>
      <c r="AC32" s="279">
        <f>U32</f>
        <v>199139994.65082523</v>
      </c>
      <c r="AD32" s="78">
        <f>AD31</f>
        <v>0</v>
      </c>
      <c r="AE32" s="279">
        <f>AC32*AD32</f>
        <v>0</v>
      </c>
      <c r="AF32" s="70" t="e">
        <f>IF($Z$19='2. Customer Classes'!$B$14,+AE32/'4. Customer Growth'!$C26,+IF($Z$19='2. Customer Classes'!$B$15,+AE32/'4. Customer Growth'!$E26,+IF($Z$19='2. Customer Classes'!$B$16,+AE32/'4. Customer Growth'!$G26,+IF($Z$19='2. Customer Classes'!$B$17,+AE32/'4. Customer Growth'!$I26,+IF($Z$19='2. Customer Classes'!$B$18,+AE32/'4. Customer Growth'!$K26,+IF($Z$19='2. Customer Classes'!$B$19,+AE32/'4. Customer Growth'!$M26,IF($Z$19='2. Customer Classes'!$B$20,+AE32/'4. Customer Growth'!$O26)))))))</f>
        <v>#DIV/0!</v>
      </c>
      <c r="AH32" s="179" t="str">
        <f t="shared" si="20"/>
        <v>2016</v>
      </c>
      <c r="AI32" s="77"/>
      <c r="AJ32" s="77"/>
      <c r="AK32" s="279">
        <f>AC32</f>
        <v>199139994.65082523</v>
      </c>
      <c r="AL32" s="78">
        <f>AL31</f>
        <v>0</v>
      </c>
      <c r="AM32" s="279">
        <f>AK32*AL32</f>
        <v>0</v>
      </c>
      <c r="AN32" s="70" t="e">
        <f>IF($AH$19='2. Customer Classes'!$B$14,+AM32/'4. Customer Growth'!$C26,+IF($AH$19='2. Customer Classes'!$B$15,+AM32/'4. Customer Growth'!$E26,+IF($AH$19='2. Customer Classes'!$B$16,+AM32/'4. Customer Growth'!$G26,+IF($AH$19='2. Customer Classes'!$B$17,+AM32/'4. Customer Growth'!$I26,+IF($AH$19='2. Customer Classes'!$B$18,+AM32/'4. Customer Growth'!$K26,+IF($AH$19='2. Customer Classes'!$B$19,+AM32/'4. Customer Growth'!$M26,IF($AH$19='2. Customer Classes'!$B$20,+AM32/'4. Customer Growth'!$O26)))))))</f>
        <v>#DIV/0!</v>
      </c>
    </row>
    <row r="33" spans="2:40" ht="13.5" customHeight="1" x14ac:dyDescent="0.2">
      <c r="B33" s="1016" t="s">
        <v>156</v>
      </c>
      <c r="C33" s="1016"/>
      <c r="D33" s="1016"/>
      <c r="E33" s="1016"/>
      <c r="F33" s="1016"/>
      <c r="G33" s="1016"/>
      <c r="H33" s="1016"/>
      <c r="I33" s="30"/>
      <c r="J33" s="1016" t="s">
        <v>156</v>
      </c>
      <c r="K33" s="1016"/>
      <c r="L33" s="1016"/>
      <c r="M33" s="1016"/>
      <c r="N33" s="1016"/>
      <c r="O33" s="1016"/>
      <c r="P33" s="1016"/>
      <c r="R33" s="1016" t="s">
        <v>156</v>
      </c>
      <c r="S33" s="1016"/>
      <c r="T33" s="1016"/>
      <c r="U33" s="1016"/>
      <c r="V33" s="1016"/>
      <c r="W33" s="1016"/>
      <c r="X33" s="1016"/>
      <c r="Z33" s="1016" t="s">
        <v>156</v>
      </c>
      <c r="AA33" s="1016"/>
      <c r="AB33" s="1016"/>
      <c r="AC33" s="1016"/>
      <c r="AD33" s="1016"/>
      <c r="AE33" s="1016"/>
      <c r="AF33" s="1016"/>
      <c r="AH33" s="1016" t="s">
        <v>156</v>
      </c>
      <c r="AI33" s="1016"/>
      <c r="AJ33" s="1016"/>
      <c r="AK33" s="1016"/>
      <c r="AL33" s="1016"/>
      <c r="AM33" s="1016"/>
      <c r="AN33" s="1016"/>
    </row>
    <row r="34" spans="2:40" x14ac:dyDescent="0.2">
      <c r="B34" s="148"/>
      <c r="C34" s="148"/>
      <c r="D34" s="148"/>
      <c r="E34" s="149"/>
      <c r="F34" s="150"/>
      <c r="G34" s="151"/>
      <c r="H34" s="153"/>
      <c r="I34" s="30"/>
      <c r="J34" s="152"/>
      <c r="K34" s="152"/>
      <c r="L34" s="152"/>
      <c r="M34" s="152"/>
      <c r="N34" s="152"/>
      <c r="O34" s="151"/>
      <c r="P34" s="152"/>
      <c r="R34" s="152"/>
      <c r="S34" s="152"/>
      <c r="T34" s="152"/>
      <c r="U34" s="152"/>
      <c r="V34" s="152"/>
      <c r="W34" s="151"/>
      <c r="X34" s="152"/>
      <c r="Z34" s="152"/>
      <c r="AA34" s="152"/>
      <c r="AB34" s="152"/>
      <c r="AC34" s="152"/>
      <c r="AD34" s="152"/>
      <c r="AE34" s="151"/>
      <c r="AF34" s="152"/>
      <c r="AH34" s="152"/>
      <c r="AI34" s="152"/>
      <c r="AJ34" s="152"/>
      <c r="AK34" s="152"/>
      <c r="AL34" s="152"/>
      <c r="AM34" s="151"/>
      <c r="AN34" s="152"/>
    </row>
    <row r="35" spans="2:40" x14ac:dyDescent="0.2">
      <c r="B35" s="148"/>
      <c r="C35" s="148"/>
      <c r="D35" s="148"/>
      <c r="E35" s="149"/>
      <c r="F35" s="150"/>
      <c r="G35" s="151"/>
      <c r="H35" s="153"/>
      <c r="I35" s="30"/>
      <c r="J35" s="152"/>
      <c r="K35" s="152"/>
      <c r="L35" s="152"/>
      <c r="M35" s="152"/>
      <c r="N35" s="152"/>
      <c r="O35" s="151"/>
      <c r="P35" s="152"/>
      <c r="R35" s="152"/>
      <c r="S35" s="152"/>
      <c r="T35" s="152"/>
      <c r="U35" s="152"/>
      <c r="V35" s="152"/>
      <c r="W35" s="151"/>
      <c r="X35" s="152"/>
      <c r="Z35" s="152"/>
      <c r="AA35" s="152"/>
      <c r="AB35" s="152"/>
      <c r="AC35" s="152"/>
      <c r="AD35" s="152"/>
      <c r="AE35" s="151"/>
      <c r="AF35" s="152"/>
      <c r="AH35" s="152"/>
      <c r="AI35" s="152"/>
      <c r="AJ35" s="152"/>
      <c r="AK35" s="152"/>
      <c r="AL35" s="152"/>
      <c r="AM35" s="151"/>
      <c r="AN35" s="152"/>
    </row>
    <row r="36" spans="2:40" x14ac:dyDescent="0.2">
      <c r="B36" s="148"/>
      <c r="C36" s="148"/>
      <c r="D36" s="148"/>
      <c r="E36" s="149"/>
      <c r="F36" s="150"/>
      <c r="G36" s="151"/>
      <c r="H36" s="153"/>
      <c r="I36" s="30"/>
      <c r="J36" s="152"/>
      <c r="K36" s="152"/>
      <c r="L36" s="152"/>
      <c r="M36" s="152"/>
      <c r="N36" s="152"/>
      <c r="O36" s="151"/>
      <c r="P36" s="152"/>
      <c r="R36" s="152"/>
      <c r="S36" s="152"/>
      <c r="T36" s="152"/>
      <c r="U36" s="152"/>
      <c r="V36" s="152"/>
      <c r="W36" s="151"/>
      <c r="X36" s="152"/>
      <c r="Z36" s="152"/>
      <c r="AA36" s="152"/>
      <c r="AB36" s="152"/>
      <c r="AC36" s="152"/>
      <c r="AD36" s="152"/>
      <c r="AE36" s="151"/>
      <c r="AF36" s="152"/>
      <c r="AH36" s="152"/>
      <c r="AI36" s="152"/>
      <c r="AJ36" s="152"/>
      <c r="AK36" s="152"/>
      <c r="AL36" s="152"/>
      <c r="AM36" s="151"/>
      <c r="AN36" s="152"/>
    </row>
    <row r="37" spans="2:40" x14ac:dyDescent="0.2">
      <c r="B37" s="148"/>
      <c r="C37" s="148"/>
      <c r="D37" s="148"/>
      <c r="E37" s="149"/>
      <c r="F37" s="150"/>
      <c r="G37" s="151"/>
      <c r="H37" s="153"/>
      <c r="I37" s="30"/>
      <c r="J37" s="152"/>
      <c r="K37" s="152"/>
      <c r="L37" s="152"/>
      <c r="M37" s="152"/>
      <c r="N37" s="152"/>
      <c r="O37" s="151"/>
      <c r="P37" s="152"/>
      <c r="R37" s="152"/>
      <c r="S37" s="152"/>
      <c r="T37" s="152"/>
      <c r="U37" s="152"/>
      <c r="V37" s="152"/>
      <c r="W37" s="151"/>
      <c r="X37" s="152"/>
      <c r="Z37" s="152"/>
      <c r="AA37" s="152"/>
      <c r="AB37" s="152"/>
      <c r="AC37" s="152"/>
      <c r="AD37" s="152"/>
      <c r="AE37" s="151"/>
      <c r="AF37" s="152"/>
      <c r="AH37" s="152"/>
      <c r="AI37" s="152"/>
      <c r="AJ37" s="152"/>
      <c r="AK37" s="152"/>
      <c r="AL37" s="152"/>
      <c r="AM37" s="151"/>
      <c r="AN37" s="152"/>
    </row>
    <row r="38" spans="2:40" ht="15" x14ac:dyDescent="0.2">
      <c r="B38" s="1017" t="s">
        <v>176</v>
      </c>
      <c r="C38" s="1017"/>
      <c r="D38" s="1017"/>
      <c r="E38" s="1017"/>
      <c r="F38" s="1017"/>
      <c r="G38" s="1017"/>
      <c r="H38" s="1017"/>
      <c r="I38" s="82"/>
      <c r="J38" s="1017" t="s">
        <v>176</v>
      </c>
      <c r="K38" s="1017"/>
      <c r="L38" s="1017"/>
      <c r="M38" s="1017"/>
      <c r="N38" s="1017"/>
      <c r="O38" s="1017"/>
      <c r="P38" s="1017"/>
      <c r="Q38" s="82"/>
      <c r="R38" s="1017" t="s">
        <v>176</v>
      </c>
      <c r="S38" s="1017"/>
      <c r="T38" s="1017"/>
      <c r="U38" s="1017"/>
      <c r="V38" s="1017"/>
      <c r="W38" s="1017"/>
      <c r="X38" s="1017"/>
      <c r="Z38" s="1017" t="s">
        <v>176</v>
      </c>
      <c r="AA38" s="1017"/>
      <c r="AB38" s="1017"/>
      <c r="AC38" s="1017"/>
      <c r="AD38" s="1017"/>
      <c r="AE38" s="1017"/>
      <c r="AF38" s="1017"/>
      <c r="AH38" s="1017" t="s">
        <v>176</v>
      </c>
      <c r="AI38" s="1017"/>
      <c r="AJ38" s="1017"/>
      <c r="AK38" s="1017"/>
      <c r="AL38" s="1017"/>
      <c r="AM38" s="1017"/>
      <c r="AN38" s="1017"/>
    </row>
    <row r="39" spans="2:40" ht="13.5" thickBot="1" x14ac:dyDescent="0.25">
      <c r="B39" s="79"/>
      <c r="C39" s="80"/>
      <c r="D39" s="80"/>
      <c r="E39" s="80"/>
      <c r="F39" s="80"/>
      <c r="G39" s="80"/>
      <c r="H39" s="82"/>
      <c r="I39" s="82"/>
      <c r="J39" s="79"/>
      <c r="K39" s="80"/>
      <c r="L39" s="80"/>
      <c r="M39" s="80"/>
      <c r="N39" s="80"/>
      <c r="O39" s="80"/>
      <c r="P39" s="82"/>
      <c r="Q39" s="82"/>
      <c r="R39" s="79"/>
      <c r="S39" s="80"/>
      <c r="T39" s="80"/>
      <c r="U39" s="80"/>
      <c r="V39" s="80"/>
      <c r="W39" s="80"/>
      <c r="X39" s="82"/>
      <c r="Z39" s="79"/>
      <c r="AA39" s="80"/>
      <c r="AB39" s="80"/>
      <c r="AC39" s="80"/>
      <c r="AD39" s="80"/>
      <c r="AE39" s="80"/>
      <c r="AF39" s="82"/>
      <c r="AH39" s="79"/>
      <c r="AI39" s="80"/>
      <c r="AJ39" s="80"/>
      <c r="AK39" s="80"/>
      <c r="AL39" s="80"/>
      <c r="AM39" s="80"/>
      <c r="AN39" s="82"/>
    </row>
    <row r="40" spans="2:40" ht="14.25" customHeight="1" thickBot="1" x14ac:dyDescent="0.25">
      <c r="B40" s="1018" t="str">
        <f>B19</f>
        <v>Residential</v>
      </c>
      <c r="C40" s="1019"/>
      <c r="D40" s="1019"/>
      <c r="E40" s="1019"/>
      <c r="F40" s="1019"/>
      <c r="G40" s="1019"/>
      <c r="H40" s="1020"/>
      <c r="I40" s="145"/>
      <c r="J40" s="1018" t="str">
        <f>J19</f>
        <v>General Service &lt; 50 kW</v>
      </c>
      <c r="K40" s="1019"/>
      <c r="L40" s="1019"/>
      <c r="M40" s="1019"/>
      <c r="N40" s="1019"/>
      <c r="O40" s="1019"/>
      <c r="P40" s="1020"/>
      <c r="Q40" s="145"/>
      <c r="R40" s="1018" t="str">
        <f>R19</f>
        <v>General Service &gt; 50 kW - 4999 kW</v>
      </c>
      <c r="S40" s="1019"/>
      <c r="T40" s="1019"/>
      <c r="U40" s="1019"/>
      <c r="V40" s="1019"/>
      <c r="W40" s="1019"/>
      <c r="X40" s="1020"/>
      <c r="Z40" s="1018">
        <f>Z19</f>
        <v>0</v>
      </c>
      <c r="AA40" s="1019"/>
      <c r="AB40" s="1019"/>
      <c r="AC40" s="1019"/>
      <c r="AD40" s="1019"/>
      <c r="AE40" s="1019"/>
      <c r="AF40" s="1020"/>
      <c r="AH40" s="1018">
        <f>AH19</f>
        <v>0</v>
      </c>
      <c r="AI40" s="1019"/>
      <c r="AJ40" s="1019"/>
      <c r="AK40" s="1019"/>
      <c r="AL40" s="1019"/>
      <c r="AM40" s="1019"/>
      <c r="AN40" s="1020"/>
    </row>
    <row r="41" spans="2:40" ht="42" customHeight="1" x14ac:dyDescent="0.2">
      <c r="B41" s="69" t="s">
        <v>33</v>
      </c>
      <c r="C41" s="282" t="s">
        <v>40</v>
      </c>
      <c r="D41" s="1030" t="s">
        <v>160</v>
      </c>
      <c r="E41" s="1030"/>
      <c r="F41" s="1034" t="s">
        <v>39</v>
      </c>
      <c r="G41" s="1035"/>
      <c r="H41" s="81" t="s">
        <v>16</v>
      </c>
      <c r="I41" s="146"/>
      <c r="J41" s="69" t="s">
        <v>33</v>
      </c>
      <c r="K41" s="282" t="s">
        <v>40</v>
      </c>
      <c r="L41" s="1030" t="s">
        <v>160</v>
      </c>
      <c r="M41" s="1030"/>
      <c r="N41" s="1031" t="s">
        <v>39</v>
      </c>
      <c r="O41" s="1032"/>
      <c r="P41" s="81" t="s">
        <v>16</v>
      </c>
      <c r="Q41" s="146"/>
      <c r="R41" s="69" t="s">
        <v>33</v>
      </c>
      <c r="S41" s="282" t="s">
        <v>40</v>
      </c>
      <c r="T41" s="1030" t="s">
        <v>160</v>
      </c>
      <c r="U41" s="1030"/>
      <c r="V41" s="1031" t="s">
        <v>39</v>
      </c>
      <c r="W41" s="1032"/>
      <c r="X41" s="81" t="s">
        <v>16</v>
      </c>
      <c r="Z41" s="69" t="s">
        <v>33</v>
      </c>
      <c r="AA41" s="282" t="s">
        <v>40</v>
      </c>
      <c r="AB41" s="1030" t="s">
        <v>160</v>
      </c>
      <c r="AC41" s="1030"/>
      <c r="AD41" s="1031" t="s">
        <v>39</v>
      </c>
      <c r="AE41" s="1032"/>
      <c r="AF41" s="81" t="s">
        <v>16</v>
      </c>
      <c r="AH41" s="358" t="s">
        <v>33</v>
      </c>
      <c r="AI41" s="359" t="s">
        <v>40</v>
      </c>
      <c r="AJ41" s="1021" t="s">
        <v>160</v>
      </c>
      <c r="AK41" s="1021"/>
      <c r="AL41" s="1022" t="s">
        <v>39</v>
      </c>
      <c r="AM41" s="1023"/>
      <c r="AN41" s="338" t="s">
        <v>16</v>
      </c>
    </row>
    <row r="42" spans="2:40" x14ac:dyDescent="0.2">
      <c r="B42" s="181" t="str">
        <f>B31</f>
        <v>2015</v>
      </c>
      <c r="C42" s="70">
        <v>0</v>
      </c>
      <c r="D42" s="1024">
        <f>IF(F30&gt;0,+H31,0)</f>
        <v>8429.7467157182837</v>
      </c>
      <c r="E42" s="1024"/>
      <c r="F42" s="1025">
        <f>IF(+$G$16="yes",+C42*D42,0)</f>
        <v>0</v>
      </c>
      <c r="G42" s="1026"/>
      <c r="H42" s="83">
        <f>G31+F42</f>
        <v>78438793.189758629</v>
      </c>
      <c r="I42" s="147"/>
      <c r="J42" s="181" t="str">
        <f>B42</f>
        <v>2015</v>
      </c>
      <c r="K42" s="70">
        <v>0</v>
      </c>
      <c r="L42" s="1024">
        <f>IF(N30&gt;0,+P31,0)</f>
        <v>26520.327445305611</v>
      </c>
      <c r="M42" s="1024"/>
      <c r="N42" s="1025">
        <f>IF(+$G$16="yes",+K42*L42,0)</f>
        <v>0</v>
      </c>
      <c r="O42" s="1026"/>
      <c r="P42" s="83">
        <f>O31+N42</f>
        <v>34953791.572912797</v>
      </c>
      <c r="Q42" s="147"/>
      <c r="R42" s="181" t="str">
        <f>B42</f>
        <v>2015</v>
      </c>
      <c r="S42" s="70">
        <v>0</v>
      </c>
      <c r="T42" s="1024">
        <f>IF(V30&gt;0,+X31,0)</f>
        <v>517481.10089059069</v>
      </c>
      <c r="U42" s="1024"/>
      <c r="V42" s="1025">
        <f>IF(+$G$16="yes",+S42*T42,0)</f>
        <v>0</v>
      </c>
      <c r="W42" s="1026"/>
      <c r="X42" s="83">
        <f>W31+V42</f>
        <v>75810981.280471534</v>
      </c>
      <c r="Z42" s="181" t="str">
        <f>J42</f>
        <v>2015</v>
      </c>
      <c r="AA42" s="70">
        <f>IF($Z$19='2. Customer Classes'!$B$14,+('4. Customer Growth'!$C$42-'4. Customer Growth'!$C$26),+IF($Z$19='2. Customer Classes'!$B$15,+('4. Customer Growth'!$E$42-'4. Customer Growth'!$E$26),+IF($Z$19='2. Customer Classes'!$B$16,+('4. Customer Growth'!$G$42-'4. Customer Growth'!$G$26),+IF($Z$19='2. Customer Classes'!$B$17,+('4. Customer Growth'!$I$42-'4. Customer Growth'!$I$26),+IF($Z$19='2. Customer Classes'!$B$18,+('4. Customer Growth'!$K$42-'4. Customer Growth'!$K$26),+IF($Z$19='2. Customer Classes'!$B$19,+('4. Customer Growth'!$M$42-'4. Customer Growth'!$M$26),IF($Z$19='2. Customer Classes'!$B$20,+('4. Customer Growth'!$O$42-'4. Customer Growth'!$O$26),0)))))))</f>
        <v>0</v>
      </c>
      <c r="AB42" s="1024">
        <f>IF(AD30&gt;0,+AF31,0)</f>
        <v>0</v>
      </c>
      <c r="AC42" s="1024"/>
      <c r="AD42" s="1025">
        <f>IF(+$G$16="yes",+AA42*AB42,0)</f>
        <v>0</v>
      </c>
      <c r="AE42" s="1026"/>
      <c r="AF42" s="83">
        <f>AE31+AD42</f>
        <v>0</v>
      </c>
      <c r="AH42" s="181" t="str">
        <f>R42</f>
        <v>2015</v>
      </c>
      <c r="AI42" s="70">
        <f>IF($AH$19='2. Customer Classes'!$B$14,+('4. Customer Growth'!$C$42-'4. Customer Growth'!$C$26),+IF($AH$19='2. Customer Classes'!$B$15,+('4. Customer Growth'!$E$42-'4. Customer Growth'!$E$26),+IF($AH$19='2. Customer Classes'!$B$16,+('4. Customer Growth'!$G$42-'4. Customer Growth'!$G$26),+IF($AH$19='2. Customer Classes'!$B$17,+('4. Customer Growth'!$I$42-'4. Customer Growth'!$I$26),+IF($AH$19='2. Customer Classes'!$B$18,+('4. Customer Growth'!$K$42-'4. Customer Growth'!$K$26),+IF($AH$19='2. Customer Classes'!$B$19,+('4. Customer Growth'!$M$42-'4. Customer Growth'!$M$26),IF($AH$19='2. Customer Classes'!$B$20,+('4. Customer Growth'!$O$42-'4. Customer Growth'!$O$26),0)))))))</f>
        <v>0</v>
      </c>
      <c r="AJ42" s="1024">
        <f>IF(AL30&gt;0,+AN31,0)</f>
        <v>0</v>
      </c>
      <c r="AK42" s="1024"/>
      <c r="AL42" s="1025">
        <f>IF(+$G$16="yes",+AI42*AJ42,0)</f>
        <v>0</v>
      </c>
      <c r="AM42" s="1026"/>
      <c r="AN42" s="83">
        <f>AM31+AL42</f>
        <v>0</v>
      </c>
    </row>
    <row r="43" spans="2:40" ht="13.5" thickBot="1" x14ac:dyDescent="0.25">
      <c r="B43" s="308" t="str">
        <f>B32</f>
        <v>2016</v>
      </c>
      <c r="C43" s="309">
        <v>0</v>
      </c>
      <c r="D43" s="1027">
        <f>IF(F30&gt;0,+H32,0)</f>
        <v>8413.791696226237</v>
      </c>
      <c r="E43" s="1027"/>
      <c r="F43" s="1028">
        <f>IF(+$G$16="yes",+C43*D43,0)</f>
        <v>0</v>
      </c>
      <c r="G43" s="1029"/>
      <c r="H43" s="84">
        <f>G32+F43</f>
        <v>78290331.733385131</v>
      </c>
      <c r="I43" s="147"/>
      <c r="J43" s="308" t="str">
        <f>B43</f>
        <v>2016</v>
      </c>
      <c r="K43" s="309">
        <v>0</v>
      </c>
      <c r="L43" s="1027">
        <f>IF(N30&gt;0,+P32,0)</f>
        <v>26470.132302367769</v>
      </c>
      <c r="M43" s="1027"/>
      <c r="N43" s="1028">
        <f>IF(+$G$16="yes",+K43*L43,0)</f>
        <v>0</v>
      </c>
      <c r="O43" s="1029"/>
      <c r="P43" s="84">
        <f>O32+N43</f>
        <v>34887634.374520719</v>
      </c>
      <c r="Q43" s="147"/>
      <c r="R43" s="308" t="str">
        <f>B43</f>
        <v>2016</v>
      </c>
      <c r="S43" s="309">
        <v>0</v>
      </c>
      <c r="T43" s="1027">
        <f>IF(V30&gt;0,+X32,0)</f>
        <v>516501.66208537953</v>
      </c>
      <c r="U43" s="1027"/>
      <c r="V43" s="1028">
        <f>IF(+$G$16="yes",+S43*T43,0)</f>
        <v>0</v>
      </c>
      <c r="W43" s="1029"/>
      <c r="X43" s="84">
        <f>W32+V43</f>
        <v>75667493.495508105</v>
      </c>
      <c r="Z43" s="308" t="str">
        <f>J43</f>
        <v>2016</v>
      </c>
      <c r="AA43" s="309">
        <f>IF($Z$19='2. Customer Classes'!$B$14,+('4. Customer Growth'!$C$43-'4. Customer Growth'!$C$26),+IF($Z$19='2. Customer Classes'!$B$15,+('4. Customer Growth'!$E$43-'4. Customer Growth'!$E$26),+IF($Z$19='2. Customer Classes'!$B$16,+('4. Customer Growth'!$G$43-'4. Customer Growth'!$G$26),+IF($Z$19='2. Customer Classes'!$B$17,+('4. Customer Growth'!$I$43-'4. Customer Growth'!$I$26),+IF($Z$19='2. Customer Classes'!$B$18,+('4. Customer Growth'!$K$43-'4. Customer Growth'!$K$26),+IF($Z$19='2. Customer Classes'!$B$19,+('4. Customer Growth'!$M$43-'4. Customer Growth'!$M$26),IF($Z$19='2. Customer Classes'!$B$20,+('4. Customer Growth'!$O$43-'4. Customer Growth'!$O$26),0)))))))</f>
        <v>0</v>
      </c>
      <c r="AB43" s="1027">
        <f>IF(AD30&gt;0,+AF32,0)</f>
        <v>0</v>
      </c>
      <c r="AC43" s="1027"/>
      <c r="AD43" s="1028">
        <f>IF(+$G$16="yes",+AA43*AB43,0)</f>
        <v>0</v>
      </c>
      <c r="AE43" s="1029"/>
      <c r="AF43" s="84">
        <f>AE32+AD43</f>
        <v>0</v>
      </c>
      <c r="AG43" s="310"/>
      <c r="AH43" s="308" t="str">
        <f>R43</f>
        <v>2016</v>
      </c>
      <c r="AI43" s="309">
        <f>IF($AH$19='2. Customer Classes'!$B$14,+('4. Customer Growth'!$C$43-'4. Customer Growth'!$C$26),+IF($AH$19='2. Customer Classes'!$B$15,+('4. Customer Growth'!$E$43-'4. Customer Growth'!$E$26),+IF($AH$19='2. Customer Classes'!$B$16,+('4. Customer Growth'!$G$43-'4. Customer Growth'!$G$26),+IF($AH$19='2. Customer Classes'!$B$17,+('4. Customer Growth'!$I$43-'4. Customer Growth'!$I$26),+IF($AH$19='2. Customer Classes'!$B$18,+('4. Customer Growth'!$K$43-'4. Customer Growth'!$K$26),+IF($AH$19='2. Customer Classes'!$B$19,+('4. Customer Growth'!$M$43-'4. Customer Growth'!$M$26),IF($AH$19='2. Customer Classes'!$B$20,+('4. Customer Growth'!$O$43-'4. Customer Growth'!$O$26),0)))))))</f>
        <v>0</v>
      </c>
      <c r="AJ43" s="1027">
        <f>IF(AL30&gt;0,+AN32,0)</f>
        <v>0</v>
      </c>
      <c r="AK43" s="1027"/>
      <c r="AL43" s="1028">
        <f>IF(+$G$16="yes",+AI43*AJ43,0)</f>
        <v>0</v>
      </c>
      <c r="AM43" s="1029"/>
      <c r="AN43" s="84">
        <f>AM32+AL43</f>
        <v>0</v>
      </c>
    </row>
    <row r="44" spans="2:40" x14ac:dyDescent="0.2">
      <c r="B44" s="1"/>
      <c r="C44" s="1"/>
      <c r="D44" s="1"/>
      <c r="E44" s="1"/>
      <c r="F44" s="1"/>
      <c r="G44" s="1"/>
    </row>
    <row r="46" spans="2:40" x14ac:dyDescent="0.2">
      <c r="X46" s="277"/>
    </row>
    <row r="47" spans="2:40" x14ac:dyDescent="0.2">
      <c r="G47" s="238"/>
    </row>
    <row r="54" spans="2:3" x14ac:dyDescent="0.2">
      <c r="B54" s="1033" t="s">
        <v>177</v>
      </c>
      <c r="C54" s="1033"/>
    </row>
    <row r="55" spans="2:3" x14ac:dyDescent="0.2">
      <c r="B55" s="567" t="s">
        <v>178</v>
      </c>
      <c r="C55" s="568"/>
    </row>
    <row r="56" spans="2:3" x14ac:dyDescent="0.2">
      <c r="B56" s="567" t="s">
        <v>179</v>
      </c>
      <c r="C56" s="568"/>
    </row>
  </sheetData>
  <mergeCells count="51">
    <mergeCell ref="B54:C54"/>
    <mergeCell ref="T43:U43"/>
    <mergeCell ref="V43:W43"/>
    <mergeCell ref="F43:G43"/>
    <mergeCell ref="N41:O41"/>
    <mergeCell ref="N42:O42"/>
    <mergeCell ref="N43:O43"/>
    <mergeCell ref="T41:U41"/>
    <mergeCell ref="V41:W41"/>
    <mergeCell ref="T42:U42"/>
    <mergeCell ref="V42:W42"/>
    <mergeCell ref="D43:E43"/>
    <mergeCell ref="L41:M41"/>
    <mergeCell ref="L42:M42"/>
    <mergeCell ref="L43:M43"/>
    <mergeCell ref="F41:G41"/>
    <mergeCell ref="F42:G42"/>
    <mergeCell ref="D41:E41"/>
    <mergeCell ref="D42:E42"/>
    <mergeCell ref="J19:P19"/>
    <mergeCell ref="R19:X19"/>
    <mergeCell ref="B19:H19"/>
    <mergeCell ref="B40:H40"/>
    <mergeCell ref="J40:P40"/>
    <mergeCell ref="R40:X40"/>
    <mergeCell ref="B38:H38"/>
    <mergeCell ref="J38:P38"/>
    <mergeCell ref="R38:X38"/>
    <mergeCell ref="B33:H33"/>
    <mergeCell ref="J33:P33"/>
    <mergeCell ref="R33:X33"/>
    <mergeCell ref="Z19:AF19"/>
    <mergeCell ref="Z33:AF33"/>
    <mergeCell ref="Z38:AF38"/>
    <mergeCell ref="Z40:AF40"/>
    <mergeCell ref="AB41:AC41"/>
    <mergeCell ref="AD41:AE41"/>
    <mergeCell ref="AB42:AC42"/>
    <mergeCell ref="AD42:AE42"/>
    <mergeCell ref="AJ42:AK42"/>
    <mergeCell ref="AL42:AM42"/>
    <mergeCell ref="AB43:AC43"/>
    <mergeCell ref="AD43:AE43"/>
    <mergeCell ref="AJ43:AK43"/>
    <mergeCell ref="AL43:AM43"/>
    <mergeCell ref="AH19:AN19"/>
    <mergeCell ref="AH33:AN33"/>
    <mergeCell ref="AH38:AN38"/>
    <mergeCell ref="AH40:AN40"/>
    <mergeCell ref="AJ41:AK41"/>
    <mergeCell ref="AL41:AM41"/>
  </mergeCells>
  <pageMargins left="0.7" right="0.7" top="0.75" bottom="0.75" header="0.3" footer="0.3"/>
  <pageSetup scale="44" orientation="landscape" horizont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'2. Customer Classes'!$B$14:$B$21</xm:f>
          </x14:formula1>
          <xm:sqref>B19:H19 J19:P19 R19:X19 Z19:AF19 AH19:AN19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68"/>
  <sheetViews>
    <sheetView showGridLines="0" topLeftCell="X13" workbookViewId="0">
      <selection activeCell="AK49" sqref="AK49"/>
    </sheetView>
  </sheetViews>
  <sheetFormatPr defaultColWidth="11.1640625" defaultRowHeight="12.75" x14ac:dyDescent="0.2"/>
  <cols>
    <col min="1" max="1" width="13.6640625" style="1" customWidth="1"/>
    <col min="2" max="6" width="15.1640625" style="58" customWidth="1"/>
    <col min="7" max="7" width="17" style="58" customWidth="1"/>
    <col min="8" max="8" width="16.6640625" style="58" customWidth="1"/>
    <col min="9" max="9" width="17.83203125" style="58" customWidth="1"/>
    <col min="10" max="10" width="16.1640625" style="58" customWidth="1"/>
    <col min="11" max="12" width="4.33203125" style="58" customWidth="1"/>
    <col min="13" max="15" width="15.1640625" style="145" customWidth="1"/>
    <col min="16" max="16" width="15.1640625" style="58" customWidth="1"/>
    <col min="17" max="21" width="15.1640625" style="1" customWidth="1"/>
    <col min="22" max="22" width="4.33203125" style="1" customWidth="1"/>
    <col min="23" max="29" width="15.1640625" style="1" customWidth="1"/>
    <col min="30" max="30" width="13.83203125" style="64" customWidth="1"/>
    <col min="31" max="31" width="13.83203125" style="1" customWidth="1"/>
    <col min="32" max="32" width="2.33203125" style="1" customWidth="1"/>
    <col min="33" max="40" width="15.1640625" style="1" customWidth="1"/>
    <col min="41" max="41" width="20.33203125" style="1" customWidth="1"/>
    <col min="42" max="42" width="3.33203125" style="1" customWidth="1"/>
    <col min="43" max="51" width="15.1640625" style="1" customWidth="1"/>
    <col min="52" max="16384" width="11.1640625" style="1"/>
  </cols>
  <sheetData>
    <row r="1" spans="1:30" s="536" customFormat="1" x14ac:dyDescent="0.2">
      <c r="A1" s="758" t="s">
        <v>272</v>
      </c>
      <c r="B1" s="58"/>
      <c r="C1" s="58"/>
      <c r="D1" s="58"/>
      <c r="E1" s="58"/>
      <c r="F1" s="58"/>
      <c r="G1" s="58"/>
      <c r="H1" s="58"/>
      <c r="I1" s="58"/>
      <c r="J1" s="58"/>
      <c r="K1" s="58"/>
      <c r="L1" s="58"/>
      <c r="M1" s="145"/>
      <c r="N1" s="145"/>
      <c r="O1" s="145"/>
      <c r="P1" s="58"/>
      <c r="AD1" s="64"/>
    </row>
    <row r="2" spans="1:30" s="536" customFormat="1" x14ac:dyDescent="0.2">
      <c r="B2" s="58"/>
      <c r="C2" s="58"/>
      <c r="D2" s="58"/>
      <c r="E2" s="58"/>
      <c r="F2" s="58"/>
      <c r="G2" s="58"/>
      <c r="H2" s="58"/>
      <c r="I2" s="58"/>
      <c r="J2" s="58"/>
      <c r="K2" s="58"/>
      <c r="L2" s="58"/>
      <c r="M2" s="145"/>
      <c r="N2" s="145"/>
      <c r="O2" s="145"/>
      <c r="P2" s="58"/>
      <c r="AD2" s="64"/>
    </row>
    <row r="3" spans="1:30" s="536" customFormat="1" x14ac:dyDescent="0.2">
      <c r="B3" s="58"/>
      <c r="C3" s="58"/>
      <c r="D3" s="58"/>
      <c r="E3" s="58"/>
      <c r="F3" s="58"/>
      <c r="G3" s="58"/>
      <c r="H3" s="58"/>
      <c r="I3" s="58"/>
      <c r="J3" s="58"/>
      <c r="K3" s="58"/>
      <c r="L3" s="58"/>
      <c r="M3" s="145"/>
      <c r="N3" s="145"/>
      <c r="O3" s="145"/>
      <c r="P3" s="58"/>
      <c r="AD3" s="64"/>
    </row>
    <row r="4" spans="1:30" s="536" customFormat="1" x14ac:dyDescent="0.2">
      <c r="B4" s="58"/>
      <c r="C4" s="58"/>
      <c r="D4" s="58"/>
      <c r="E4" s="58"/>
      <c r="F4" s="58"/>
      <c r="G4" s="58"/>
      <c r="H4" s="58"/>
      <c r="I4" s="58"/>
      <c r="J4" s="58"/>
      <c r="K4" s="58"/>
      <c r="L4" s="58"/>
      <c r="M4" s="145"/>
      <c r="N4" s="145"/>
      <c r="O4" s="145"/>
      <c r="P4" s="58"/>
      <c r="AD4" s="64"/>
    </row>
    <row r="5" spans="1:30" s="536" customFormat="1" x14ac:dyDescent="0.2">
      <c r="B5" s="58"/>
      <c r="C5" s="58"/>
      <c r="D5" s="58"/>
      <c r="E5" s="58"/>
      <c r="F5" s="58"/>
      <c r="G5" s="58"/>
      <c r="H5" s="58"/>
      <c r="I5" s="58"/>
      <c r="J5" s="58"/>
      <c r="K5" s="58"/>
      <c r="L5" s="58"/>
      <c r="M5" s="145"/>
      <c r="N5" s="145"/>
      <c r="O5" s="145"/>
      <c r="P5" s="58"/>
      <c r="AD5" s="64"/>
    </row>
    <row r="6" spans="1:30" s="536" customFormat="1" x14ac:dyDescent="0.2">
      <c r="B6" s="58"/>
      <c r="C6" s="58"/>
      <c r="D6" s="58"/>
      <c r="E6" s="58"/>
      <c r="F6" s="58"/>
      <c r="G6" s="58"/>
      <c r="H6" s="58"/>
      <c r="I6" s="58"/>
      <c r="J6" s="58"/>
      <c r="K6" s="58"/>
      <c r="L6" s="58"/>
      <c r="M6" s="145"/>
      <c r="N6" s="145"/>
      <c r="O6" s="145"/>
      <c r="P6" s="58"/>
      <c r="AD6" s="64"/>
    </row>
    <row r="7" spans="1:30" s="536" customFormat="1" x14ac:dyDescent="0.2">
      <c r="B7" s="58"/>
      <c r="C7" s="58"/>
      <c r="D7" s="58"/>
      <c r="E7" s="58"/>
      <c r="F7" s="58"/>
      <c r="G7" s="58"/>
      <c r="H7" s="58"/>
      <c r="I7" s="58"/>
      <c r="J7" s="58"/>
      <c r="K7" s="58"/>
      <c r="L7" s="58"/>
      <c r="M7" s="145"/>
      <c r="N7" s="145"/>
      <c r="O7" s="145"/>
      <c r="P7" s="58"/>
      <c r="AD7" s="64"/>
    </row>
    <row r="8" spans="1:30" s="536" customFormat="1" x14ac:dyDescent="0.2">
      <c r="B8" s="58"/>
      <c r="C8" s="58"/>
      <c r="D8" s="58"/>
      <c r="E8" s="58"/>
      <c r="F8" s="58"/>
      <c r="G8" s="58"/>
      <c r="H8" s="58"/>
      <c r="I8" s="58"/>
      <c r="J8" s="58"/>
      <c r="K8" s="58"/>
      <c r="L8" s="58"/>
      <c r="M8" s="145"/>
      <c r="N8" s="145"/>
      <c r="O8" s="145"/>
      <c r="P8" s="58"/>
      <c r="AD8" s="64"/>
    </row>
    <row r="9" spans="1:30" s="536" customFormat="1" x14ac:dyDescent="0.2">
      <c r="B9" s="58"/>
      <c r="C9" s="58"/>
      <c r="D9" s="58"/>
      <c r="E9" s="58"/>
      <c r="F9" s="58"/>
      <c r="G9" s="58"/>
      <c r="H9" s="58"/>
      <c r="I9" s="58"/>
      <c r="J9" s="58"/>
      <c r="K9" s="58"/>
      <c r="L9" s="58"/>
      <c r="M9" s="145"/>
      <c r="N9" s="145"/>
      <c r="O9" s="145"/>
      <c r="P9" s="58"/>
      <c r="AD9" s="64"/>
    </row>
    <row r="11" spans="1:30" ht="23.25" x14ac:dyDescent="0.2">
      <c r="B11" s="133" t="s">
        <v>100</v>
      </c>
      <c r="C11" s="133"/>
      <c r="D11" s="133"/>
      <c r="Z11" s="64"/>
      <c r="AD11" s="1"/>
    </row>
    <row r="12" spans="1:30" ht="15" customHeight="1" x14ac:dyDescent="0.2">
      <c r="B12" s="63" t="s">
        <v>64</v>
      </c>
      <c r="C12" s="133"/>
      <c r="D12" s="133"/>
    </row>
    <row r="13" spans="1:30" ht="15" customHeight="1" x14ac:dyDescent="0.2">
      <c r="B13" s="100" t="s">
        <v>258</v>
      </c>
      <c r="C13" s="133"/>
      <c r="D13" s="133"/>
    </row>
    <row r="14" spans="1:30" ht="15" customHeight="1" x14ac:dyDescent="0.2">
      <c r="B14" s="100" t="s">
        <v>259</v>
      </c>
      <c r="C14" s="133"/>
      <c r="D14" s="133"/>
    </row>
    <row r="15" spans="1:30" ht="15" customHeight="1" x14ac:dyDescent="0.2">
      <c r="B15" s="100" t="s">
        <v>260</v>
      </c>
      <c r="C15" s="133"/>
      <c r="D15" s="133"/>
    </row>
    <row r="16" spans="1:30" ht="14.25" x14ac:dyDescent="0.2">
      <c r="B16" s="100" t="s">
        <v>261</v>
      </c>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0"/>
      <c r="AD16" s="30"/>
    </row>
    <row r="17" spans="2:51" s="536" customFormat="1" ht="15" thickBot="1" x14ac:dyDescent="0.25">
      <c r="B17" s="100"/>
      <c r="C17" s="537"/>
      <c r="D17" s="537"/>
      <c r="E17" s="537"/>
      <c r="F17" s="537"/>
      <c r="G17" s="537"/>
      <c r="H17" s="537"/>
      <c r="I17" s="537"/>
      <c r="J17" s="537"/>
      <c r="K17" s="537"/>
      <c r="L17" s="537"/>
      <c r="M17" s="537"/>
      <c r="N17" s="537"/>
      <c r="O17" s="537"/>
      <c r="P17" s="537"/>
      <c r="Q17" s="537"/>
      <c r="R17" s="537"/>
      <c r="S17" s="537"/>
      <c r="T17" s="537"/>
      <c r="U17" s="537"/>
      <c r="V17" s="537"/>
      <c r="W17" s="537"/>
      <c r="X17" s="537"/>
      <c r="Y17" s="537"/>
      <c r="Z17" s="537"/>
      <c r="AA17" s="537"/>
      <c r="AB17" s="537"/>
      <c r="AC17" s="30"/>
      <c r="AD17" s="30"/>
    </row>
    <row r="18" spans="2:51" ht="12.75" customHeight="1" thickBot="1" x14ac:dyDescent="0.25">
      <c r="B18" s="1013" t="s">
        <v>267</v>
      </c>
      <c r="C18" s="1014"/>
      <c r="D18" s="1014"/>
      <c r="E18" s="1014"/>
      <c r="F18" s="1014"/>
      <c r="G18" s="1014"/>
      <c r="H18" s="1014"/>
      <c r="I18" s="1014"/>
      <c r="J18" s="1015"/>
      <c r="K18" s="185"/>
      <c r="L18" s="185"/>
      <c r="M18" s="1013" t="s">
        <v>104</v>
      </c>
      <c r="N18" s="1014"/>
      <c r="O18" s="1014"/>
      <c r="P18" s="1014"/>
      <c r="Q18" s="1014"/>
      <c r="R18" s="1014"/>
      <c r="S18" s="1014"/>
      <c r="T18" s="1014"/>
      <c r="U18" s="1015"/>
      <c r="V18" s="185"/>
      <c r="W18" s="1013" t="s">
        <v>87</v>
      </c>
      <c r="X18" s="1014"/>
      <c r="Y18" s="1014"/>
      <c r="Z18" s="1014"/>
      <c r="AA18" s="1014"/>
      <c r="AB18" s="1014"/>
      <c r="AC18" s="1014"/>
      <c r="AD18" s="1014"/>
      <c r="AE18" s="1015"/>
      <c r="AG18" s="1013" t="s">
        <v>105</v>
      </c>
      <c r="AH18" s="1014"/>
      <c r="AI18" s="1014"/>
      <c r="AJ18" s="1014"/>
      <c r="AK18" s="1014"/>
      <c r="AL18" s="1014"/>
      <c r="AM18" s="1014"/>
      <c r="AN18" s="1014"/>
      <c r="AO18" s="1015"/>
      <c r="AQ18" s="1013"/>
      <c r="AR18" s="1014"/>
      <c r="AS18" s="1014"/>
      <c r="AT18" s="1014"/>
      <c r="AU18" s="1014"/>
      <c r="AV18" s="1014"/>
      <c r="AW18" s="1014"/>
      <c r="AX18" s="1014"/>
      <c r="AY18" s="1015"/>
    </row>
    <row r="19" spans="2:51" ht="46.5" customHeight="1" x14ac:dyDescent="0.2">
      <c r="B19" s="404" t="s">
        <v>33</v>
      </c>
      <c r="C19" s="490" t="s">
        <v>36</v>
      </c>
      <c r="D19" s="490" t="s">
        <v>235</v>
      </c>
      <c r="E19" s="402" t="s">
        <v>36</v>
      </c>
      <c r="F19" s="402" t="s">
        <v>37</v>
      </c>
      <c r="G19" s="402" t="s">
        <v>183</v>
      </c>
      <c r="H19" s="402" t="s">
        <v>181</v>
      </c>
      <c r="I19" s="402" t="s">
        <v>182</v>
      </c>
      <c r="J19" s="403" t="s">
        <v>41</v>
      </c>
      <c r="K19" s="186"/>
      <c r="L19" s="186"/>
      <c r="M19" s="404" t="s">
        <v>33</v>
      </c>
      <c r="N19" s="490" t="s">
        <v>36</v>
      </c>
      <c r="O19" s="490" t="s">
        <v>235</v>
      </c>
      <c r="P19" s="402" t="s">
        <v>36</v>
      </c>
      <c r="Q19" s="402" t="s">
        <v>37</v>
      </c>
      <c r="R19" s="402" t="s">
        <v>183</v>
      </c>
      <c r="S19" s="402" t="s">
        <v>181</v>
      </c>
      <c r="T19" s="402" t="s">
        <v>182</v>
      </c>
      <c r="U19" s="403" t="s">
        <v>41</v>
      </c>
      <c r="V19" s="64"/>
      <c r="W19" s="380" t="s">
        <v>33</v>
      </c>
      <c r="X19" s="490" t="s">
        <v>36</v>
      </c>
      <c r="Y19" s="490" t="s">
        <v>235</v>
      </c>
      <c r="Z19" s="375" t="s">
        <v>36</v>
      </c>
      <c r="AA19" s="375" t="s">
        <v>37</v>
      </c>
      <c r="AB19" s="375" t="s">
        <v>183</v>
      </c>
      <c r="AC19" s="375" t="s">
        <v>181</v>
      </c>
      <c r="AD19" s="375" t="s">
        <v>182</v>
      </c>
      <c r="AE19" s="336" t="s">
        <v>41</v>
      </c>
      <c r="AG19" s="404" t="s">
        <v>33</v>
      </c>
      <c r="AH19" s="490" t="s">
        <v>36</v>
      </c>
      <c r="AI19" s="490" t="s">
        <v>235</v>
      </c>
      <c r="AJ19" s="375" t="s">
        <v>36</v>
      </c>
      <c r="AK19" s="402" t="s">
        <v>37</v>
      </c>
      <c r="AL19" s="402" t="s">
        <v>183</v>
      </c>
      <c r="AM19" s="402" t="s">
        <v>181</v>
      </c>
      <c r="AN19" s="402" t="s">
        <v>182</v>
      </c>
      <c r="AO19" s="403" t="s">
        <v>41</v>
      </c>
      <c r="AQ19" s="404" t="s">
        <v>33</v>
      </c>
      <c r="AR19" s="490" t="s">
        <v>36</v>
      </c>
      <c r="AS19" s="490" t="s">
        <v>235</v>
      </c>
      <c r="AT19" s="375" t="s">
        <v>36</v>
      </c>
      <c r="AU19" s="402" t="s">
        <v>37</v>
      </c>
      <c r="AV19" s="402" t="s">
        <v>183</v>
      </c>
      <c r="AW19" s="402" t="s">
        <v>181</v>
      </c>
      <c r="AX19" s="402" t="s">
        <v>182</v>
      </c>
      <c r="AY19" s="403" t="s">
        <v>41</v>
      </c>
    </row>
    <row r="20" spans="2:51" x14ac:dyDescent="0.2">
      <c r="B20" s="92" t="s">
        <v>30</v>
      </c>
      <c r="C20" s="491"/>
      <c r="D20" s="491"/>
      <c r="E20" s="93"/>
      <c r="F20" s="93"/>
      <c r="G20" s="330"/>
      <c r="H20" s="330"/>
      <c r="I20" s="225"/>
      <c r="J20" s="377"/>
      <c r="K20" s="146"/>
      <c r="L20" s="146"/>
      <c r="M20" s="92" t="s">
        <v>30</v>
      </c>
      <c r="N20" s="491"/>
      <c r="O20" s="491"/>
      <c r="P20" s="93"/>
      <c r="Q20" s="93"/>
      <c r="R20" s="93"/>
      <c r="S20" s="93"/>
      <c r="T20" s="93"/>
      <c r="U20" s="94"/>
      <c r="V20" s="64"/>
      <c r="W20" s="92" t="s">
        <v>30</v>
      </c>
      <c r="X20" s="491"/>
      <c r="Y20" s="491"/>
      <c r="Z20" s="93"/>
      <c r="AA20" s="93"/>
      <c r="AB20" s="93"/>
      <c r="AC20" s="93"/>
      <c r="AD20" s="93"/>
      <c r="AE20" s="242"/>
      <c r="AG20" s="92" t="s">
        <v>30</v>
      </c>
      <c r="AH20" s="491"/>
      <c r="AI20" s="491"/>
      <c r="AJ20" s="93"/>
      <c r="AK20" s="93"/>
      <c r="AL20" s="93"/>
      <c r="AM20" s="93"/>
      <c r="AN20" s="93"/>
      <c r="AO20" s="242"/>
      <c r="AQ20" s="92" t="s">
        <v>30</v>
      </c>
      <c r="AR20" s="491"/>
      <c r="AS20" s="491"/>
      <c r="AT20" s="93"/>
      <c r="AU20" s="93"/>
      <c r="AV20" s="93"/>
      <c r="AW20" s="93"/>
      <c r="AX20" s="93"/>
      <c r="AY20" s="242"/>
    </row>
    <row r="21" spans="2:51" ht="12.75" customHeight="1" x14ac:dyDescent="0.2">
      <c r="B21" s="190">
        <f>'4. Customer Growth'!B17</f>
        <v>2005</v>
      </c>
      <c r="C21" s="70">
        <f>IF($B$18='2. Customer Classes'!$B$14,+SUM('3. Consumption by Rate Class'!$D$25:$D$36),+IF($B$18='2. Customer Classes'!$B$15,+SUM('3. Consumption by Rate Class'!$F$25:$F$36),+IF($B$18='2. Customer Classes'!$B$16,+SUM('3. Consumption by Rate Class'!$H$25:$H$36),+IF($B$18='2. Customer Classes'!$B$17,+SUM('3. Consumption by Rate Class'!$J$25:$J$36),+IF($B$18='2. Customer Classes'!$B$18,+SUM('3. Consumption by Rate Class'!$L$25:$L$36),+IF($B$18='2. Customer Classes'!$B$19,+SUM('3. Consumption by Rate Class'!$O$25:$O$36),IF($B$18='2. Customer Classes'!$B$20,+SUM('3. Consumption by Rate Class'!$R$25:$R$36),0)))))))</f>
        <v>74429057</v>
      </c>
      <c r="D21" s="458"/>
      <c r="E21" s="70">
        <f>+D21+C21</f>
        <v>74429057</v>
      </c>
      <c r="F21" s="70">
        <f>+IF($B$18='2. Customer Classes'!$B$18,+SUM('3. Consumption by Rate Class'!$M$25:$M$36),+IF($B$18='2. Customer Classes'!$B$19,+SUM('3. Consumption by Rate Class'!$P$25:$P$36),IF($B$18='2. Customer Classes'!$B$20,+SUM('3. Consumption by Rate Class'!$S$25:$S$36),0)))</f>
        <v>212943</v>
      </c>
      <c r="G21" s="70">
        <f>IF($B$18='2. Customer Classes'!$B$14,+'4. Customer Growth'!$C17,+IF($B$18='2. Customer Classes'!$B$15,+'4. Customer Growth'!$E17,+IF($B$18='2. Customer Classes'!$B$16,+'4. Customer Growth'!$G17,+IF($B$18='2. Customer Classes'!$B$17,+'4. Customer Growth'!$I17,+IF($B$18='2. Customer Classes'!$B$18,+'4. Customer Growth'!$K17,+IF($B$18='2. Customer Classes'!$B$19,+'4. Customer Growth'!$M17,IF($B$18='2. Customer Classes'!$B$20,+'4. Customer Growth'!$O17,0)))))))</f>
        <v>134</v>
      </c>
      <c r="H21" s="376">
        <f>IF(F21&gt;0,+E21/G21,0)</f>
        <v>555440.72388059704</v>
      </c>
      <c r="I21" s="379">
        <f>IF(F21&gt;0,+F21/G21,0)</f>
        <v>1589.1268656716418</v>
      </c>
      <c r="J21" s="342">
        <f>IF(F21&gt;0,+F21/E21,0)</f>
        <v>2.8610197224452271E-3</v>
      </c>
      <c r="K21" s="183"/>
      <c r="L21" s="183"/>
      <c r="M21" s="190">
        <f t="shared" ref="M21:M32" si="0">B21</f>
        <v>2005</v>
      </c>
      <c r="N21" s="70">
        <f>IF($M$18='2. Customer Classes'!$B$14,+SUM('3. Consumption by Rate Class'!$D$25:$D$36),+IF($M$18='2. Customer Classes'!$B$15,+SUM('3. Consumption by Rate Class'!$F$25:$F$36),+IF($M$18='2. Customer Classes'!$B$16,+SUM('3. Consumption by Rate Class'!$H$25:$H$36),+IF($M$18='2. Customer Classes'!$B$17,+SUM('3. Consumption by Rate Class'!$J$25:$J$36),+IF($M$18='2. Customer Classes'!$B$18,+SUM('3. Consumption by Rate Class'!$L$25:$L$36),+IF($M$18='2. Customer Classes'!$B$19,+SUM('3. Consumption by Rate Class'!$O$25:$O$36),IF($M$18='2. Customer Classes'!$B$20,+SUM('3. Consumption by Rate Class'!$R$25:$R$36),0)))))))</f>
        <v>2426613</v>
      </c>
      <c r="O21" s="458"/>
      <c r="P21" s="70">
        <f>+N21+O21</f>
        <v>2426613</v>
      </c>
      <c r="Q21" s="225">
        <f>+IF($M$18='2. Customer Classes'!$B$18,+SUM('3. Consumption by Rate Class'!$M$25:$M$36),+IF($M$18='2. Customer Classes'!$B$19,+SUM('3. Consumption by Rate Class'!$P$25:$P$36),IF($M$18='2. Customer Classes'!$B$20,+SUM('3. Consumption by Rate Class'!$S$25:$S$36),0)))</f>
        <v>6774</v>
      </c>
      <c r="R21" s="225">
        <f>IF($M$18='2. Customer Classes'!$B$14,+'4. Customer Growth'!$C17,+IF($M$18='2. Customer Classes'!$B$15,+'4. Customer Growth'!$E17,+IF($M$18='2. Customer Classes'!$B$16,+'4. Customer Growth'!$G17,+IF($M$18='2. Customer Classes'!$B$17,+'4. Customer Growth'!$I17,+IF($M$18='2. Customer Classes'!$B$18,+'4. Customer Growth'!$K17,+IF($M$18='2. Customer Classes'!$B$19,+'4. Customer Growth'!$M17,IF($M$18='2. Customer Classes'!$B$20,+'4. Customer Growth'!$O17,0)))))))</f>
        <v>2604</v>
      </c>
      <c r="S21" s="376">
        <f>IF(Q21&gt;0,+P21/R21,0)</f>
        <v>931.87903225806451</v>
      </c>
      <c r="T21" s="379">
        <f>IF(Q21&gt;0,+Q21/R21,0)</f>
        <v>2.6013824884792625</v>
      </c>
      <c r="U21" s="342">
        <f>IF(Q21&gt;0,+Q21/P21,0)</f>
        <v>2.7915452525804486E-3</v>
      </c>
      <c r="V21" s="64"/>
      <c r="W21" s="190">
        <f t="shared" ref="W21:W32" si="1">B21</f>
        <v>2005</v>
      </c>
      <c r="X21" s="70">
        <f>IF($W$18='2. Customer Classes'!$B$14,+SUM('3. Consumption by Rate Class'!$D$25:$D$36),+IF($W$18='2. Customer Classes'!$B$15,+SUM('3. Consumption by Rate Class'!$F$25:$F$36),+IF($W$18='2. Customer Classes'!$B$16,+SUM('3. Consumption by Rate Class'!$H$25:$H$36),+IF($W$18='2. Customer Classes'!$B$17,+SUM('3. Consumption by Rate Class'!$J$25:$J$36),+IF($W$18='2. Customer Classes'!$B$18,+SUM('3. Consumption by Rate Class'!$L$25:$L$36),+IF($W$18='2. Customer Classes'!$B$19,+SUM('3. Consumption by Rate Class'!$O$25:$O$36),IF($W$18='2. Customer Classes'!$B$20,+SUM('3. Consumption by Rate Class'!$R$25:$R$36),0)))))))</f>
        <v>284178</v>
      </c>
      <c r="Y21" s="458"/>
      <c r="Z21" s="70">
        <f>+X21+Y21</f>
        <v>284178</v>
      </c>
      <c r="AA21" s="225">
        <f>+IF($W$18='2. Customer Classes'!$B$18,+SUM('3. Consumption by Rate Class'!$M$25:$M$36),+IF($W$18='2. Customer Classes'!$B$19,+SUM('3. Consumption by Rate Class'!$P$25:$P$36),IF($W$18='2. Customer Classes'!$B$20,+SUM('3. Consumption by Rate Class'!$S$25:$S$36),0)))</f>
        <v>783</v>
      </c>
      <c r="AB21" s="225">
        <f>IF($W$18='2. Customer Classes'!$B$14,+'4. Customer Growth'!$C17,+IF($W$18='2. Customer Classes'!$B$15,+'4. Customer Growth'!$E17,+IF($W$18='2. Customer Classes'!$B$16,+'4. Customer Growth'!$G17,+IF($W$18='2. Customer Classes'!$B$17,+'4. Customer Growth'!$I17,+IF($W$18='2. Customer Classes'!$B$18,+'4. Customer Growth'!$K17,+IF($W$18='2. Customer Classes'!$B$19,+'4. Customer Growth'!$M17,IF($W$18='2. Customer Classes'!$B$20,+'4. Customer Growth'!$O17,0)))))))</f>
        <v>250</v>
      </c>
      <c r="AC21" s="376">
        <f>IF(AA21&gt;0,+Z21/AB21,0)</f>
        <v>1136.712</v>
      </c>
      <c r="AD21" s="379">
        <f>IF(AA21&gt;0,+AA21/AB21,0)</f>
        <v>3.1320000000000001</v>
      </c>
      <c r="AE21" s="342">
        <f>IF(AA21&gt;0,+AA21/Z21,0)</f>
        <v>2.7553153305322721E-3</v>
      </c>
      <c r="AG21" s="357">
        <f>+B21</f>
        <v>2005</v>
      </c>
      <c r="AH21" s="70">
        <f>IF($AG$18='2. Customer Classes'!$B$14,+SUM('3. Consumption by Rate Class'!$D$25:$D$36),+IF($AG$18='2. Customer Classes'!$B$15,+SUM('3. Consumption by Rate Class'!$F$25:$F$36),+IF($AG$18='2. Customer Classes'!$B$16,+SUM('3. Consumption by Rate Class'!$H$25:$H$36),+IF($AG$18='2. Customer Classes'!$B$17,+SUM('3. Consumption by Rate Class'!$J$25:$J$36),+IF($AG$18='2. Customer Classes'!$B$18,+SUM('3. Consumption by Rate Class'!$L$25:$L$36),+IF($AG$18='2. Customer Classes'!$B$19,+SUM('3. Consumption by Rate Class'!$O$25:$O$36),IF($AG$18='2. Customer Classes'!$B$20,+SUM('3. Consumption by Rate Class'!$R$25:$R$36),IF($AG$18='2. Customer Classes'!$B$21,+SUM('3. Consumption by Rate Class'!$U$25:$U$36),0))))))))</f>
        <v>593390</v>
      </c>
      <c r="AI21" s="458"/>
      <c r="AJ21" s="70">
        <f>+AH21+AI21</f>
        <v>593390</v>
      </c>
      <c r="AK21" s="225">
        <f>+IF($AG$18='2. Customer Classes'!$B$18,+SUM('3. Consumption by Rate Class'!$M$25:$M$36),+IF($AG$18='2. Customer Classes'!$B$19,+SUM('3. Consumption by Rate Class'!$P$25:$P$36),IF($AG$18='2. Customer Classes'!$B$20,+SUM('3. Consumption by Rate Class'!$S$25:$S$36),IF($AG$18='2. Customer Classes'!$B$21,+SUM('3. Consumption by Rate Class'!$V$25:$V$36),0))))</f>
        <v>0</v>
      </c>
      <c r="AL21" s="225">
        <f>IF($AG$18='2. Customer Classes'!$B$14,+'4. Customer Growth'!$C17,+IF($AG$18='2. Customer Classes'!$B$15,+'4. Customer Growth'!$E17,+IF($AG$18='2. Customer Classes'!$B$16,+'4. Customer Growth'!$G17,+IF($AG$18='2. Customer Classes'!$B$17,+'4. Customer Growth'!$I17,+IF($AG$18='2. Customer Classes'!$B$18,+'4. Customer Growth'!$K17,+IF($AG$18='2. Customer Classes'!$B$19,+'4. Customer Growth'!$M17,IF($AG$18='2. Customer Classes'!$B$20,+'4. Customer Growth'!$O17,IF($AG$18='2. Customer Classes'!$B$21,+'4. Customer Growth'!$Q17,0))))))))</f>
        <v>17</v>
      </c>
      <c r="AM21" s="376">
        <f>IF(AK21=0,+AJ21/AL21,0)</f>
        <v>34905.294117647056</v>
      </c>
      <c r="AN21" s="379">
        <f>IF(AK21&gt;0,+AK21/AL21,0)</f>
        <v>0</v>
      </c>
      <c r="AO21" s="342">
        <f>IF(AK21=0,+AK21/AJ21,0)</f>
        <v>0</v>
      </c>
      <c r="AQ21" s="357">
        <f>+B21</f>
        <v>2005</v>
      </c>
      <c r="AR21" s="70">
        <f>IF($AQ$18='2. Customer Classes'!$B$14,+SUM('3. Consumption by Rate Class'!$D$25:$D$36),+IF($AQ$18='2. Customer Classes'!$B$15,+SUM('3. Consumption by Rate Class'!$F$25:$F$36),+IF($AQ$18='2. Customer Classes'!$B$16,+SUM('3. Consumption by Rate Class'!$H$25:$H$36),+IF($AQ$18='2. Customer Classes'!$B$17,+SUM('3. Consumption by Rate Class'!$J$25:$J$36),+IF($AQ$18='2. Customer Classes'!$B$18,+SUM('3. Consumption by Rate Class'!$L$25:$L$36),+IF($AQ$18='2. Customer Classes'!$B$19,+SUM('3. Consumption by Rate Class'!$O$25:$O$36),IF($AQ$18='2. Customer Classes'!$B$20,+SUM('3. Consumption by Rate Class'!$R$25:$R$36),0)))))))</f>
        <v>0</v>
      </c>
      <c r="AS21" s="458"/>
      <c r="AT21" s="70">
        <f>+AR21+AS21</f>
        <v>0</v>
      </c>
      <c r="AU21" s="225">
        <f>+IF($AQ$18='2. Customer Classes'!$B$18,+SUM('3. Consumption by Rate Class'!$M$25:$M$36),+IF($AQ$18='2. Customer Classes'!$B$19,+SUM('3. Consumption by Rate Class'!$P$25:$P$36),IF($AQ$18='2. Customer Classes'!$B$20,+SUM('3. Consumption by Rate Class'!$S$25:$S$36),0)))</f>
        <v>0</v>
      </c>
      <c r="AV21" s="225">
        <f>IF($AQ$18='2. Customer Classes'!$B$14,+'4. Customer Growth'!$C17,+IF($AQ$18='2. Customer Classes'!$B$15,+'4. Customer Growth'!$E17,+IF($AQ$18='2. Customer Classes'!$B$16,+'4. Customer Growth'!$G17,+IF($AQ$18='2. Customer Classes'!$B$17,+'4. Customer Growth'!$I17,+IF($AQ$18='2. Customer Classes'!$B$18,+'4. Customer Growth'!$K17,+IF($AQ$18='2. Customer Classes'!$B$19,+'4. Customer Growth'!$M17,IF($AQ$18='2. Customer Classes'!$B$20,+'4. Customer Growth'!$O17,0)))))))</f>
        <v>0</v>
      </c>
      <c r="AW21" s="376">
        <f>IF(AV21&gt;0,+AT21/AV21,0)</f>
        <v>0</v>
      </c>
      <c r="AX21" s="379">
        <f>IF(AU21&gt;0,+AU21/AV21,0)</f>
        <v>0</v>
      </c>
      <c r="AY21" s="342">
        <f>IF(AU21&gt;0,+AU21/AT21,0)</f>
        <v>0</v>
      </c>
    </row>
    <row r="22" spans="2:51" ht="12.75" customHeight="1" x14ac:dyDescent="0.2">
      <c r="B22" s="190">
        <f>'4. Customer Growth'!B18</f>
        <v>2006</v>
      </c>
      <c r="C22" s="70">
        <f>IF($B$18='2. Customer Classes'!$B$14,+SUM('3. Consumption by Rate Class'!$D$37:$D$48),+IF($B$18='2. Customer Classes'!$B$15,+SUM('3. Consumption by Rate Class'!$F$37:$F$48),+IF($B$18='2. Customer Classes'!$B$16,+SUM('3. Consumption by Rate Class'!$H$37:$H$48),+IF($B$18='2. Customer Classes'!$B$17,+SUM('3. Consumption by Rate Class'!$J$37:$J$48),+IF($B$18='2. Customer Classes'!$B$18,+SUM('3. Consumption by Rate Class'!$L$37:$L$48),+IF($B$18='2. Customer Classes'!$B$19,+SUM('3. Consumption by Rate Class'!$O$37:$O$48),IF($B$18='2. Customer Classes'!$B$20,+SUM('3. Consumption by Rate Class'!$R$37:$R$48),0)))))))</f>
        <v>75435895</v>
      </c>
      <c r="D22" s="458"/>
      <c r="E22" s="70">
        <f t="shared" ref="E22:E32" si="2">+D22+C22</f>
        <v>75435895</v>
      </c>
      <c r="F22" s="70">
        <f>+IF($B$18='2. Customer Classes'!$B$18,+SUM('3. Consumption by Rate Class'!$M$37:$M$48),+IF($B$18='2. Customer Classes'!$B$19,+SUM('3. Consumption by Rate Class'!$P$37:$P$48),IF($B$18='2. Customer Classes'!$B$20,+SUM('3. Consumption by Rate Class'!$S$37:$S$48),0)))</f>
        <v>207000</v>
      </c>
      <c r="G22" s="70">
        <f>IF($B$18='2. Customer Classes'!$B$14,+'4. Customer Growth'!$C18,+IF($B$18='2. Customer Classes'!$B$15,+'4. Customer Growth'!$E18,+IF($B$18='2. Customer Classes'!$B$16,+'4. Customer Growth'!$G18,+IF($B$18='2. Customer Classes'!$B$17,+'4. Customer Growth'!$I18,+IF($B$18='2. Customer Classes'!$B$18,+'4. Customer Growth'!$K18,+IF($B$18='2. Customer Classes'!$B$19,+'4. Customer Growth'!$M18,IF($B$18='2. Customer Classes'!$B$20,+'4. Customer Growth'!$O18,0)))))))</f>
        <v>136</v>
      </c>
      <c r="H22" s="376">
        <f t="shared" ref="H22:H32" si="3">IF(F22&gt;0,+E22/G22,0)</f>
        <v>554675.69852941181</v>
      </c>
      <c r="I22" s="379">
        <f t="shared" ref="I22:I32" si="4">IF(F22&gt;0,+F22/G22,0)</f>
        <v>1522.0588235294117</v>
      </c>
      <c r="J22" s="342">
        <f t="shared" ref="J22:J30" si="5">IF(F22&gt;0,+F22/E22,0)</f>
        <v>2.7440517541417121E-3</v>
      </c>
      <c r="K22" s="183"/>
      <c r="L22" s="183"/>
      <c r="M22" s="190">
        <f t="shared" si="0"/>
        <v>2006</v>
      </c>
      <c r="N22" s="70">
        <f>IF($M$18='2. Customer Classes'!$B$14,+SUM('3. Consumption by Rate Class'!$D$37:$D$48),+IF($M$18='2. Customer Classes'!$B$15,+SUM('3. Consumption by Rate Class'!$F$37:$F$48),+IF($M$18='2. Customer Classes'!$B$16,+SUM('3. Consumption by Rate Class'!$H$37:$H$48),+IF($M$18='2. Customer Classes'!$B$17,+SUM('3. Consumption by Rate Class'!$J$37:$J$48),+IF($M$18='2. Customer Classes'!$B$18,+SUM('3. Consumption by Rate Class'!$L$37:$L$48),+IF($M$18='2. Customer Classes'!$B$19,+SUM('3. Consumption by Rate Class'!$O$37:$O$48),IF($M$18='2. Customer Classes'!$B$20,+SUM('3. Consumption by Rate Class'!$R$37:$R$48),0)))))))</f>
        <v>2517491</v>
      </c>
      <c r="O22" s="458"/>
      <c r="P22" s="70">
        <f t="shared" ref="P22:P32" si="6">+N22+O22</f>
        <v>2517491</v>
      </c>
      <c r="Q22" s="225">
        <f>+IF($M$18='2. Customer Classes'!$B$18,+SUM('3. Consumption by Rate Class'!$M$37:$M$48),+IF($M$18='2. Customer Classes'!$B$19,+SUM('3. Consumption by Rate Class'!$P$37:$P$48),IF($M$18='2. Customer Classes'!$B$20,+SUM('3. Consumption by Rate Class'!$S$37:$S$48),0)))</f>
        <v>6784</v>
      </c>
      <c r="R22" s="225">
        <f>IF($M$18='2. Customer Classes'!$B$14,+'4. Customer Growth'!$C18,+IF($M$18='2. Customer Classes'!$B$15,+'4. Customer Growth'!$E18,+IF($M$18='2. Customer Classes'!$B$16,+'4. Customer Growth'!$G18,+IF($M$18='2. Customer Classes'!$B$17,+'4. Customer Growth'!$I18,+IF($M$18='2. Customer Classes'!$B$18,+'4. Customer Growth'!$K18,+IF($M$18='2. Customer Classes'!$B$19,+'4. Customer Growth'!$M18,IF($M$18='2. Customer Classes'!$B$20,+'4. Customer Growth'!$O18,0)))))))</f>
        <v>2635</v>
      </c>
      <c r="S22" s="376">
        <f t="shared" ref="S22:S32" si="7">IF(Q22&gt;0,+P22/R22,0)</f>
        <v>955.40455407969637</v>
      </c>
      <c r="T22" s="379">
        <f t="shared" ref="T22:T32" si="8">IF(Q22&gt;0,+Q22/R22,0)</f>
        <v>2.5745730550284631</v>
      </c>
      <c r="U22" s="342">
        <f t="shared" ref="U22:U30" si="9">IF(Q22&gt;0,+Q22/P22,0)</f>
        <v>2.6947464757570137E-3</v>
      </c>
      <c r="V22" s="64"/>
      <c r="W22" s="190">
        <f t="shared" si="1"/>
        <v>2006</v>
      </c>
      <c r="X22" s="70">
        <f>IF($W$18='2. Customer Classes'!$B$14,+SUM('3. Consumption by Rate Class'!$D$37:$D$48),+IF($W$18='2. Customer Classes'!$B$15,+SUM('3. Consumption by Rate Class'!$F$37:$F$48),+IF($W$18='2. Customer Classes'!$B$16,+SUM('3. Consumption by Rate Class'!$H$37:$H$48),+IF($W$18='2. Customer Classes'!$B$17,+SUM('3. Consumption by Rate Class'!$J$37:$J$48),+IF($W$18='2. Customer Classes'!$B$18,+SUM('3. Consumption by Rate Class'!$L$37:$L$48),+IF($W$18='2. Customer Classes'!$B$19,+SUM('3. Consumption by Rate Class'!$O$37:$O$48),IF($W$18='2. Customer Classes'!$B$20,+SUM('3. Consumption by Rate Class'!$R$37:$R$48),0)))))))</f>
        <v>267504</v>
      </c>
      <c r="Y22" s="458"/>
      <c r="Z22" s="70">
        <f t="shared" ref="Z22:Z32" si="10">+X22+Y22</f>
        <v>267504</v>
      </c>
      <c r="AA22" s="225">
        <f>+IF($W$18='2. Customer Classes'!$B$18,+SUM('3. Consumption by Rate Class'!$M$37:$M$48),+IF($W$18='2. Customer Classes'!$B$19,+SUM('3. Consumption by Rate Class'!$P$37:$P$48),IF($W$18='2. Customer Classes'!$B$20,+SUM('3. Consumption by Rate Class'!$S$37:$S$48),0)))</f>
        <v>767</v>
      </c>
      <c r="AB22" s="225">
        <f>IF($W$18='2. Customer Classes'!$B$14,+'4. Customer Growth'!$C18,+IF($W$18='2. Customer Classes'!$B$15,+'4. Customer Growth'!$E18,+IF($W$18='2. Customer Classes'!$B$16,+'4. Customer Growth'!$G18,+IF($W$18='2. Customer Classes'!$B$17,+'4. Customer Growth'!$I18,+IF($W$18='2. Customer Classes'!$B$18,+'4. Customer Growth'!$K18,+IF($W$18='2. Customer Classes'!$B$19,+'4. Customer Growth'!$M18,IF($W$18='2. Customer Classes'!$B$20,+'4. Customer Growth'!$O18,0)))))))</f>
        <v>225</v>
      </c>
      <c r="AC22" s="376">
        <f t="shared" ref="AC22:AC32" si="11">IF(AA22&gt;0,+Z22/AB22,0)</f>
        <v>1188.9066666666668</v>
      </c>
      <c r="AD22" s="379">
        <f t="shared" ref="AD22:AD32" si="12">IF(AA22&gt;0,+AA22/AB22,0)</f>
        <v>3.4088888888888889</v>
      </c>
      <c r="AE22" s="342">
        <f t="shared" ref="AE22:AE30" si="13">IF(AA22&gt;0,+AA22/Z22,0)</f>
        <v>2.867246844906992E-3</v>
      </c>
      <c r="AG22" s="357">
        <f t="shared" ref="AG22:AG32" si="14">+B22</f>
        <v>2006</v>
      </c>
      <c r="AH22" s="70">
        <f>IF($AG$18='2. Customer Classes'!$B$14,+SUM('3. Consumption by Rate Class'!$D$37:$D$48),+IF($AG$18='2. Customer Classes'!$B$15,+SUM('3. Consumption by Rate Class'!$F$37:$F$48),+IF($AG$18='2. Customer Classes'!$B$16,+SUM('3. Consumption by Rate Class'!$H$37:$H$48),+IF($AG$18='2. Customer Classes'!$B$17,+SUM('3. Consumption by Rate Class'!$J$37:$J$48),+IF($AG$18='2. Customer Classes'!$B$18,+SUM('3. Consumption by Rate Class'!$L$37:$L$48),+IF($AG$18='2. Customer Classes'!$B$19,+SUM('3. Consumption by Rate Class'!$O$37:$O$48),IF($AG$18='2. Customer Classes'!$B$20,+SUM('3. Consumption by Rate Class'!$R$37:$R$48),IF($AG$18='2. Customer Classes'!$B$21,+SUM('3. Consumption by Rate Class'!$U$37:$U$48),0))))))))</f>
        <v>364006</v>
      </c>
      <c r="AI22" s="458"/>
      <c r="AJ22" s="70">
        <f t="shared" ref="AJ22:AJ32" si="15">+AH22+AI22</f>
        <v>364006</v>
      </c>
      <c r="AK22" s="225">
        <f>+IF($AG$18='2. Customer Classes'!$B$18,+SUM('3. Consumption by Rate Class'!$M$37:$M$48),+IF($AG$18='2. Customer Classes'!$B$19,+SUM('3. Consumption by Rate Class'!$P$37:$P$48),IF($AG$18='2. Customer Classes'!$B$20,+SUM('3. Consumption by Rate Class'!$S$37:$S$48),IF($AG$18='2. Customer Classes'!$B$21,+SUM('3. Consumption by Rate Class'!$V$37:$V$48),0))))</f>
        <v>0</v>
      </c>
      <c r="AL22" s="225">
        <f>IF($AG$18='2. Customer Classes'!$B$14,+'4. Customer Growth'!$C18,+IF($AG$18='2. Customer Classes'!$B$15,+'4. Customer Growth'!$E18,+IF($AG$18='2. Customer Classes'!$B$16,+'4. Customer Growth'!$G18,+IF($AG$18='2. Customer Classes'!$B$17,+'4. Customer Growth'!$I18,+IF($AG$18='2. Customer Classes'!$B$18,+'4. Customer Growth'!$K18,+IF($AG$18='2. Customer Classes'!$B$19,+'4. Customer Growth'!$M18,IF($AG$18='2. Customer Classes'!$B$20,+'4. Customer Growth'!$O18,IF($AG$18='2. Customer Classes'!$B$21,+'4. Customer Growth'!$Q18,0))))))))</f>
        <v>20</v>
      </c>
      <c r="AM22" s="376">
        <f t="shared" ref="AM22:AM32" si="16">IF(AK22=0,+AJ22/AL22,0)</f>
        <v>18200.3</v>
      </c>
      <c r="AN22" s="379">
        <f t="shared" ref="AN22:AN32" si="17">IF(AK22&gt;0,+AK22/AL22,0)</f>
        <v>0</v>
      </c>
      <c r="AO22" s="342">
        <f t="shared" ref="AO22:AO30" si="18">IF(AK22&gt;0,+AK22/AJ22,0)</f>
        <v>0</v>
      </c>
      <c r="AQ22" s="357">
        <f t="shared" ref="AQ22:AQ32" si="19">+B22</f>
        <v>2006</v>
      </c>
      <c r="AR22" s="70">
        <f>IF($AQ$18='2. Customer Classes'!$B$14,+SUM('3. Consumption by Rate Class'!$D$37:$D$48),+IF($AQ$18='2. Customer Classes'!$B$15,+SUM('3. Consumption by Rate Class'!$F$37:$F$48),+IF($AQ$18='2. Customer Classes'!$B$16,+SUM('3. Consumption by Rate Class'!$H$37:$H$48),+IF($AQ$18='2. Customer Classes'!$B$17,+SUM('3. Consumption by Rate Class'!$J$37:$J$48),+IF($AQ$18='2. Customer Classes'!$B$18,+SUM('3. Consumption by Rate Class'!$L$37:$L$48),+IF($AQ$18='2. Customer Classes'!$B$19,+SUM('3. Consumption by Rate Class'!$O$37:$O$48),IF($AQ$18='2. Customer Classes'!$B$20,+SUM('3. Consumption by Rate Class'!$R$37:$R$48),0)))))))</f>
        <v>0</v>
      </c>
      <c r="AS22" s="458"/>
      <c r="AT22" s="70">
        <f t="shared" ref="AT22:AT32" si="20">+AR22+AS22</f>
        <v>0</v>
      </c>
      <c r="AU22" s="225">
        <f>+IF($AQ$18='2. Customer Classes'!$B$18,+SUM('3. Consumption by Rate Class'!$M$37:$M$48),+IF($AQ$18='2. Customer Classes'!$B$19,+SUM('3. Consumption by Rate Class'!$P$37:$P$48),IF($AQ$18='2. Customer Classes'!$B$20,+SUM('3. Consumption by Rate Class'!$S$37:$S$48),0)))</f>
        <v>0</v>
      </c>
      <c r="AV22" s="225">
        <f>IF($AQ$18='2. Customer Classes'!$B$14,+'4. Customer Growth'!$C18,+IF($AQ$18='2. Customer Classes'!$B$15,+'4. Customer Growth'!$E18,+IF($AQ$18='2. Customer Classes'!$B$16,+'4. Customer Growth'!$G18,+IF($AQ$18='2. Customer Classes'!$B$17,+'4. Customer Growth'!$I18,+IF($AQ$18='2. Customer Classes'!$B$18,+'4. Customer Growth'!$K18,+IF($AQ$18='2. Customer Classes'!$B$19,+'4. Customer Growth'!$M18,IF($AQ$18='2. Customer Classes'!$B$20,+'4. Customer Growth'!$O18,0)))))))</f>
        <v>0</v>
      </c>
      <c r="AW22" s="376">
        <f t="shared" ref="AW22:AW32" si="21">IF(AV22&gt;0,+AT22/AV22,0)</f>
        <v>0</v>
      </c>
      <c r="AX22" s="379">
        <f t="shared" ref="AX22:AX32" si="22">IF(AU22&gt;0,+AU22/AV22,0)</f>
        <v>0</v>
      </c>
      <c r="AY22" s="342">
        <f t="shared" ref="AY22:AY30" si="23">IF(AU22&gt;0,+AU22/AT22,0)</f>
        <v>0</v>
      </c>
    </row>
    <row r="23" spans="2:51" ht="12.75" customHeight="1" x14ac:dyDescent="0.2">
      <c r="B23" s="190">
        <f>'4. Customer Growth'!B19</f>
        <v>2007</v>
      </c>
      <c r="C23" s="70">
        <f>IF($B$18='2. Customer Classes'!$B$14,+SUM('3. Consumption by Rate Class'!$D$49:$D$60),+IF($B$18='2. Customer Classes'!$B$15,+SUM('3. Consumption by Rate Class'!$F$49:$F$60),+IF($B$18='2. Customer Classes'!$B$16,+SUM('3. Consumption by Rate Class'!$H$49:$H$60),+IF($B$18='2. Customer Classes'!$B$17,+SUM('3. Consumption by Rate Class'!$J$49:$J$60),+IF($B$18='2. Customer Classes'!$B$18,+SUM('3. Consumption by Rate Class'!$L$49:$L$60),+IF($B$18='2. Customer Classes'!$B$19,+SUM('3. Consumption by Rate Class'!$O$49:$O$60),IF($B$18='2. Customer Classes'!$B$20,+SUM('3. Consumption by Rate Class'!$R$49:$R$60),0)))))))</f>
        <v>78527667</v>
      </c>
      <c r="D23" s="458"/>
      <c r="E23" s="70">
        <f t="shared" si="2"/>
        <v>78527667</v>
      </c>
      <c r="F23" s="70">
        <f>+IF($B$18='2. Customer Classes'!$B$18,+SUM('3. Consumption by Rate Class'!$M$49:$M$60),+IF($B$18='2. Customer Classes'!$B$19,+SUM('3. Consumption by Rate Class'!$P$49:$P$60),IF($B$18='2. Customer Classes'!$B$20,+SUM('3. Consumption by Rate Class'!$S$49:$S$60),0)))</f>
        <v>213039</v>
      </c>
      <c r="G23" s="70">
        <f>IF($B$18='2. Customer Classes'!$B$14,+'4. Customer Growth'!$C19,+IF($B$18='2. Customer Classes'!$B$15,+'4. Customer Growth'!$E19,+IF($B$18='2. Customer Classes'!$B$16,+'4. Customer Growth'!$G19,+IF($B$18='2. Customer Classes'!$B$17,+'4. Customer Growth'!$I19,+IF($B$18='2. Customer Classes'!$B$18,+'4. Customer Growth'!$K19,+IF($B$18='2. Customer Classes'!$B$19,+'4. Customer Growth'!$M19,IF($B$18='2. Customer Classes'!$B$20,+'4. Customer Growth'!$O19,0)))))))</f>
        <v>136</v>
      </c>
      <c r="H23" s="376">
        <f t="shared" si="3"/>
        <v>577409.3161764706</v>
      </c>
      <c r="I23" s="379">
        <f t="shared" si="4"/>
        <v>1566.4632352941176</v>
      </c>
      <c r="J23" s="342">
        <f t="shared" si="5"/>
        <v>2.7129164552921201E-3</v>
      </c>
      <c r="K23" s="183"/>
      <c r="L23" s="183"/>
      <c r="M23" s="190">
        <f t="shared" si="0"/>
        <v>2007</v>
      </c>
      <c r="N23" s="70">
        <f>IF($M$18='2. Customer Classes'!$B$14,+SUM('3. Consumption by Rate Class'!$D$49:$D$60),+IF($M$18='2. Customer Classes'!$B$15,+SUM('3. Consumption by Rate Class'!$F$49:$F$60),+IF($M$18='2. Customer Classes'!$B$16,+SUM('3. Consumption by Rate Class'!$H$49:$H$60),+IF($M$18='2. Customer Classes'!$B$17,+SUM('3. Consumption by Rate Class'!$J$49:$J$60),+IF($M$18='2. Customer Classes'!$B$18,+SUM('3. Consumption by Rate Class'!$L$49:$L$60),+IF($M$18='2. Customer Classes'!$B$19,+SUM('3. Consumption by Rate Class'!$O$49:$O$60),IF($M$18='2. Customer Classes'!$B$20,+SUM('3. Consumption by Rate Class'!$R$49:$R$60),0)))))))</f>
        <v>2426477</v>
      </c>
      <c r="O23" s="458"/>
      <c r="P23" s="70">
        <f t="shared" si="6"/>
        <v>2426477</v>
      </c>
      <c r="Q23" s="225">
        <f>+IF($M$18='2. Customer Classes'!$B$18,+SUM('3. Consumption by Rate Class'!$M$49:$M$60),+IF($M$18='2. Customer Classes'!$B$19,+SUM('3. Consumption by Rate Class'!$P$49:$P$60),IF($M$18='2. Customer Classes'!$B$20,+SUM('3. Consumption by Rate Class'!$S$49:$S$60),0)))</f>
        <v>6778</v>
      </c>
      <c r="R23" s="225">
        <f>IF($M$18='2. Customer Classes'!$B$14,+'4. Customer Growth'!$C19,+IF($M$18='2. Customer Classes'!$B$15,+'4. Customer Growth'!$E19,+IF($M$18='2. Customer Classes'!$B$16,+'4. Customer Growth'!$G19,+IF($M$18='2. Customer Classes'!$B$17,+'4. Customer Growth'!$I19,+IF($M$18='2. Customer Classes'!$B$18,+'4. Customer Growth'!$K19,+IF($M$18='2. Customer Classes'!$B$19,+'4. Customer Growth'!$M19,IF($M$18='2. Customer Classes'!$B$20,+'4. Customer Growth'!$O19,0)))))))</f>
        <v>2648</v>
      </c>
      <c r="S23" s="376">
        <f t="shared" si="7"/>
        <v>916.34327794561932</v>
      </c>
      <c r="T23" s="379">
        <f t="shared" si="8"/>
        <v>2.559667673716012</v>
      </c>
      <c r="U23" s="342">
        <f t="shared" si="9"/>
        <v>2.7933501945413041E-3</v>
      </c>
      <c r="V23" s="64"/>
      <c r="W23" s="190">
        <f t="shared" si="1"/>
        <v>2007</v>
      </c>
      <c r="X23" s="70">
        <f>IF($W$18='2. Customer Classes'!$B$14,+SUM('3. Consumption by Rate Class'!$D$49:$D$60),+IF($W$18='2. Customer Classes'!$B$15,+SUM('3. Consumption by Rate Class'!$F$49:$F$60),+IF($W$18='2. Customer Classes'!$B$16,+SUM('3. Consumption by Rate Class'!$H$49:$H$60),+IF($W$18='2. Customer Classes'!$B$17,+SUM('3. Consumption by Rate Class'!$J$49:$J$60),+IF($W$18='2. Customer Classes'!$B$18,+SUM('3. Consumption by Rate Class'!$L$49:$L$60),+IF($W$18='2. Customer Classes'!$B$19,+SUM('3. Consumption by Rate Class'!$O$49:$O$60),IF($W$18='2. Customer Classes'!$B$20,+SUM('3. Consumption by Rate Class'!$R$49:$R$60),0)))))))</f>
        <v>266011</v>
      </c>
      <c r="Y23" s="458"/>
      <c r="Z23" s="70">
        <f t="shared" si="10"/>
        <v>266011</v>
      </c>
      <c r="AA23" s="225">
        <f>+IF($W$18='2. Customer Classes'!$B$18,+SUM('3. Consumption by Rate Class'!$M$49:$M$60),+IF($W$18='2. Customer Classes'!$B$19,+SUM('3. Consumption by Rate Class'!$P$49:$P$60),IF($W$18='2. Customer Classes'!$B$20,+SUM('3. Consumption by Rate Class'!$S$49:$S$60),0)))</f>
        <v>766</v>
      </c>
      <c r="AB23" s="225">
        <f>IF($W$18='2. Customer Classes'!$B$14,+'4. Customer Growth'!$C19,+IF($W$18='2. Customer Classes'!$B$15,+'4. Customer Growth'!$E19,+IF($W$18='2. Customer Classes'!$B$16,+'4. Customer Growth'!$G19,+IF($W$18='2. Customer Classes'!$B$17,+'4. Customer Growth'!$I19,+IF($W$18='2. Customer Classes'!$B$18,+'4. Customer Growth'!$K19,+IF($W$18='2. Customer Classes'!$B$19,+'4. Customer Growth'!$M19,IF($W$18='2. Customer Classes'!$B$20,+'4. Customer Growth'!$O19,0)))))))</f>
        <v>225</v>
      </c>
      <c r="AC23" s="376">
        <f t="shared" si="11"/>
        <v>1182.2711111111112</v>
      </c>
      <c r="AD23" s="379">
        <f t="shared" si="12"/>
        <v>3.4044444444444446</v>
      </c>
      <c r="AE23" s="342">
        <f t="shared" si="13"/>
        <v>2.8795801677374243E-3</v>
      </c>
      <c r="AG23" s="357">
        <f t="shared" si="14"/>
        <v>2007</v>
      </c>
      <c r="AH23" s="70">
        <f>IF($AG$18='2. Customer Classes'!$B$14,+SUM('3. Consumption by Rate Class'!$D$49:$D$60),+IF($AG$18='2. Customer Classes'!$B$15,+SUM('3. Consumption by Rate Class'!$F$49:$F$60),+IF($AG$18='2. Customer Classes'!$B$16,+SUM('3. Consumption by Rate Class'!$H$49:$H$60),+IF($AG$18='2. Customer Classes'!$B$17,+SUM('3. Consumption by Rate Class'!$J$49:$J$60),+IF($AG$18='2. Customer Classes'!$B$18,+SUM('3. Consumption by Rate Class'!$L$49:$L$60),+IF($AG$18='2. Customer Classes'!$B$19,+SUM('3. Consumption by Rate Class'!$O$49:$O$60),IF($AG$18='2. Customer Classes'!$B$20,+SUM('3. Consumption by Rate Class'!$R$49:$R$60),IF($AG$18='2. Customer Classes'!$B$21,+SUM('3. Consumption by Rate Class'!$U$49:$U$60),0))))))))</f>
        <v>348199</v>
      </c>
      <c r="AI23" s="458"/>
      <c r="AJ23" s="70">
        <f t="shared" si="15"/>
        <v>348199</v>
      </c>
      <c r="AK23" s="225">
        <f>+IF($AG$18='2. Customer Classes'!$B$18,+SUM('3. Consumption by Rate Class'!$M$49:$M$60),+IF($AG$18='2. Customer Classes'!$B$19,+SUM('3. Consumption by Rate Class'!$P$49:$P$60),IF($AG$18='2. Customer Classes'!$B$20,+SUM('3. Consumption by Rate Class'!$S$49:$S$60),IF($AG$18='2. Customer Classes'!$B$21,+SUM('3. Consumption by Rate Class'!$V$49:$V$60),0))))</f>
        <v>0</v>
      </c>
      <c r="AL23" s="225">
        <f>IF($AG$18='2. Customer Classes'!$B$14,+'4. Customer Growth'!$C19,+IF($AG$18='2. Customer Classes'!$B$15,+'4. Customer Growth'!$E19,+IF($AG$18='2. Customer Classes'!$B$16,+'4. Customer Growth'!$G19,+IF($AG$18='2. Customer Classes'!$B$17,+'4. Customer Growth'!$I19,+IF($AG$18='2. Customer Classes'!$B$18,+'4. Customer Growth'!$K19,+IF($AG$18='2. Customer Classes'!$B$19,+'4. Customer Growth'!$M19,IF($AG$18='2. Customer Classes'!$B$20,+'4. Customer Growth'!$O19,IF($AG$18='2. Customer Classes'!$B$21,+'4. Customer Growth'!$Q19,0))))))))</f>
        <v>20</v>
      </c>
      <c r="AM23" s="376">
        <f t="shared" si="16"/>
        <v>17409.95</v>
      </c>
      <c r="AN23" s="379">
        <f t="shared" si="17"/>
        <v>0</v>
      </c>
      <c r="AO23" s="342">
        <f t="shared" si="18"/>
        <v>0</v>
      </c>
      <c r="AQ23" s="357">
        <f t="shared" si="19"/>
        <v>2007</v>
      </c>
      <c r="AR23" s="70">
        <f>IF($AQ$18='2. Customer Classes'!$B$14,+SUM('3. Consumption by Rate Class'!$D$49:$D$60),+IF($AQ$18='2. Customer Classes'!$B$15,+SUM('3. Consumption by Rate Class'!$F$49:$F$60),+IF($AQ$18='2. Customer Classes'!$B$16,+SUM('3. Consumption by Rate Class'!$H$49:$H$60),+IF($AQ$18='2. Customer Classes'!$B$17,+SUM('3. Consumption by Rate Class'!$J$49:$J$60),+IF($AQ$18='2. Customer Classes'!$B$18,+SUM('3. Consumption by Rate Class'!$L$49:$L$60),+IF($AQ$18='2. Customer Classes'!$B$19,+SUM('3. Consumption by Rate Class'!$O$49:$O$60),IF($AQ$18='2. Customer Classes'!$B$20,+SUM('3. Consumption by Rate Class'!$R$49:$R$60),0)))))))</f>
        <v>0</v>
      </c>
      <c r="AS23" s="458"/>
      <c r="AT23" s="70">
        <f t="shared" si="20"/>
        <v>0</v>
      </c>
      <c r="AU23" s="225">
        <f>+IF($AQ$18='2. Customer Classes'!$B$18,+SUM('3. Consumption by Rate Class'!$M$49:$M$60),+IF($AQ$18='2. Customer Classes'!$B$19,+SUM('3. Consumption by Rate Class'!$P$49:$P$60),IF($AQ$18='2. Customer Classes'!$B$20,+SUM('3. Consumption by Rate Class'!$S$49:$S$60),0)))</f>
        <v>0</v>
      </c>
      <c r="AV23" s="225">
        <f>IF($AQ$18='2. Customer Classes'!$B$14,+'4. Customer Growth'!$C19,+IF($AQ$18='2. Customer Classes'!$B$15,+'4. Customer Growth'!$E19,+IF($AQ$18='2. Customer Classes'!$B$16,+'4. Customer Growth'!$G19,+IF($AQ$18='2. Customer Classes'!$B$17,+'4. Customer Growth'!$I19,+IF($AQ$18='2. Customer Classes'!$B$18,+'4. Customer Growth'!$K19,+IF($AQ$18='2. Customer Classes'!$B$19,+'4. Customer Growth'!$M19,IF($AQ$18='2. Customer Classes'!$B$20,+'4. Customer Growth'!$O19,0)))))))</f>
        <v>0</v>
      </c>
      <c r="AW23" s="376">
        <f t="shared" si="21"/>
        <v>0</v>
      </c>
      <c r="AX23" s="379">
        <f t="shared" si="22"/>
        <v>0</v>
      </c>
      <c r="AY23" s="342">
        <f t="shared" si="23"/>
        <v>0</v>
      </c>
    </row>
    <row r="24" spans="2:51" ht="12.75" customHeight="1" x14ac:dyDescent="0.2">
      <c r="B24" s="190">
        <f>'4. Customer Growth'!B20</f>
        <v>2008</v>
      </c>
      <c r="C24" s="70">
        <f>IF($B$18='2. Customer Classes'!$B$14,+SUM('3. Consumption by Rate Class'!$D$61:$D$72),+IF($B$18='2. Customer Classes'!$B$15,+SUM('3. Consumption by Rate Class'!$F$61:$F$72),+IF($B$18='2. Customer Classes'!$B$16,+SUM('3. Consumption by Rate Class'!$H$61:$H$72),+IF($B$18='2. Customer Classes'!$B$17,+SUM('3. Consumption by Rate Class'!$J$61:$J$72),+IF($B$18='2. Customer Classes'!$B$18,+SUM('3. Consumption by Rate Class'!$L$61:$L$72),+IF($B$18='2. Customer Classes'!$B$19,+SUM('3. Consumption by Rate Class'!$O$61:$O$72),IF($B$18='2. Customer Classes'!$B$20,+SUM('3. Consumption by Rate Class'!$R$61:$R$72),0)))))))</f>
        <v>78693630</v>
      </c>
      <c r="D24" s="458"/>
      <c r="E24" s="70">
        <f t="shared" si="2"/>
        <v>78693630</v>
      </c>
      <c r="F24" s="70">
        <f>+IF($B$18='2. Customer Classes'!$B$18,+SUM('3. Consumption by Rate Class'!$M$61:$M$72),+IF($B$18='2. Customer Classes'!$B$19,+SUM('3. Consumption by Rate Class'!$P$61:$P$72),IF($B$18='2. Customer Classes'!$B$20,+SUM('3. Consumption by Rate Class'!$S$61:$S$72),0)))</f>
        <v>202855</v>
      </c>
      <c r="G24" s="70">
        <f>IF($B$18='2. Customer Classes'!$B$14,+'4. Customer Growth'!$C20,+IF($B$18='2. Customer Classes'!$B$15,+'4. Customer Growth'!$E20,+IF($B$18='2. Customer Classes'!$B$16,+'4. Customer Growth'!$G20,+IF($B$18='2. Customer Classes'!$B$17,+'4. Customer Growth'!$I20,+IF($B$18='2. Customer Classes'!$B$18,+'4. Customer Growth'!$K20,+IF($B$18='2. Customer Classes'!$B$19,+'4. Customer Growth'!$M20,IF($B$18='2. Customer Classes'!$B$20,+'4. Customer Growth'!$O20,0)))))))</f>
        <v>143</v>
      </c>
      <c r="H24" s="376">
        <f t="shared" si="3"/>
        <v>550305.10489510489</v>
      </c>
      <c r="I24" s="379">
        <f t="shared" si="4"/>
        <v>1418.5664335664335</v>
      </c>
      <c r="J24" s="342">
        <f t="shared" si="5"/>
        <v>2.5777817086338499E-3</v>
      </c>
      <c r="K24" s="183"/>
      <c r="L24" s="183"/>
      <c r="M24" s="190">
        <f t="shared" si="0"/>
        <v>2008</v>
      </c>
      <c r="N24" s="70">
        <f>IF($M$18='2. Customer Classes'!$B$14,+SUM('3. Consumption by Rate Class'!$D$61:$D$72),+IF($M$18='2. Customer Classes'!$B$15,+SUM('3. Consumption by Rate Class'!$F$61:$F$72),+IF($M$18='2. Customer Classes'!$B$16,+SUM('3. Consumption by Rate Class'!$H$61:$H$72),+IF($M$18='2. Customer Classes'!$B$17,+SUM('3. Consumption by Rate Class'!$J$61:$J$72),+IF($M$18='2. Customer Classes'!$B$18,+SUM('3. Consumption by Rate Class'!$L$61:$L$72),+IF($M$18='2. Customer Classes'!$B$19,+SUM('3. Consumption by Rate Class'!$O$61:$O$72),IF($M$18='2. Customer Classes'!$B$20,+SUM('3. Consumption by Rate Class'!$R$61:$R$72),0)))))))</f>
        <v>2370504</v>
      </c>
      <c r="O24" s="458"/>
      <c r="P24" s="70">
        <f t="shared" si="6"/>
        <v>2370504</v>
      </c>
      <c r="Q24" s="225">
        <f>+IF($M$18='2. Customer Classes'!$B$18,+SUM('3. Consumption by Rate Class'!$M$61:$M$72),+IF($M$18='2. Customer Classes'!$B$19,+SUM('3. Consumption by Rate Class'!$P$61:$P$72),IF($M$18='2. Customer Classes'!$B$20,+SUM('3. Consumption by Rate Class'!$S$61:$S$72),0)))</f>
        <v>6728</v>
      </c>
      <c r="R24" s="225">
        <f>IF($M$18='2. Customer Classes'!$B$14,+'4. Customer Growth'!$C20,+IF($M$18='2. Customer Classes'!$B$15,+'4. Customer Growth'!$E20,+IF($M$18='2. Customer Classes'!$B$16,+'4. Customer Growth'!$G20,+IF($M$18='2. Customer Classes'!$B$17,+'4. Customer Growth'!$I20,+IF($M$18='2. Customer Classes'!$B$18,+'4. Customer Growth'!$K20,+IF($M$18='2. Customer Classes'!$B$19,+'4. Customer Growth'!$M20,IF($M$18='2. Customer Classes'!$B$20,+'4. Customer Growth'!$O20,0)))))))</f>
        <v>2653</v>
      </c>
      <c r="S24" s="376">
        <f t="shared" si="7"/>
        <v>893.51828119110439</v>
      </c>
      <c r="T24" s="379">
        <f t="shared" si="8"/>
        <v>2.5359969845457973</v>
      </c>
      <c r="U24" s="342">
        <f t="shared" si="9"/>
        <v>2.8382149956296212E-3</v>
      </c>
      <c r="V24" s="64"/>
      <c r="W24" s="190">
        <f t="shared" si="1"/>
        <v>2008</v>
      </c>
      <c r="X24" s="70">
        <f>IF($W$18='2. Customer Classes'!$B$14,+SUM('3. Consumption by Rate Class'!$D$61:$D$72),+IF($W$18='2. Customer Classes'!$B$15,+SUM('3. Consumption by Rate Class'!$F$61:$F$72),+IF($W$18='2. Customer Classes'!$B$16,+SUM('3. Consumption by Rate Class'!$H$61:$H$72),+IF($W$18='2. Customer Classes'!$B$17,+SUM('3. Consumption by Rate Class'!$J$61:$J$72),+IF($W$18='2. Customer Classes'!$B$18,+SUM('3. Consumption by Rate Class'!$L$61:$L$72),+IF($W$18='2. Customer Classes'!$B$19,+SUM('3. Consumption by Rate Class'!$O$61:$O$72),IF($W$18='2. Customer Classes'!$B$20,+SUM('3. Consumption by Rate Class'!$R$61:$R$72),0)))))))</f>
        <v>262124</v>
      </c>
      <c r="Y24" s="458"/>
      <c r="Z24" s="70">
        <f t="shared" si="10"/>
        <v>262124</v>
      </c>
      <c r="AA24" s="540">
        <f>+IF($W$18='2. Customer Classes'!$B$18,+SUM('3. Consumption by Rate Class'!$M$61:$M$72),+IF($W$18='2. Customer Classes'!$B$19,+SUM('3. Consumption by Rate Class'!$P$61:$P$72),IF($W$18='2. Customer Classes'!$B$20,+SUM('3. Consumption by Rate Class'!$S$61:$S$72),0)))</f>
        <v>751</v>
      </c>
      <c r="AB24" s="225">
        <f>IF($W$18='2. Customer Classes'!$B$14,+'4. Customer Growth'!$C20,+IF($W$18='2. Customer Classes'!$B$15,+'4. Customer Growth'!$E20,+IF($W$18='2. Customer Classes'!$B$16,+'4. Customer Growth'!$G20,+IF($W$18='2. Customer Classes'!$B$17,+'4. Customer Growth'!$I20,+IF($W$18='2. Customer Classes'!$B$18,+'4. Customer Growth'!$K20,+IF($W$18='2. Customer Classes'!$B$19,+'4. Customer Growth'!$M20,IF($W$18='2. Customer Classes'!$B$20,+'4. Customer Growth'!$O20,0)))))))</f>
        <v>226</v>
      </c>
      <c r="AC24" s="376">
        <f t="shared" si="11"/>
        <v>1159.8407079646017</v>
      </c>
      <c r="AD24" s="379">
        <f t="shared" si="12"/>
        <v>3.3230088495575223</v>
      </c>
      <c r="AE24" s="342">
        <f t="shared" si="13"/>
        <v>2.8650562329279273E-3</v>
      </c>
      <c r="AG24" s="357">
        <f t="shared" si="14"/>
        <v>2008</v>
      </c>
      <c r="AH24" s="70">
        <f>IF($AG$18='2. Customer Classes'!$B$14,+SUM('3. Consumption by Rate Class'!$D$61:$D$72),+IF($AG$18='2. Customer Classes'!$B$15,+SUM('3. Consumption by Rate Class'!$F$61:$F$72),+IF($AG$18='2. Customer Classes'!$B$16,+SUM('3. Consumption by Rate Class'!$H$61:$H$72),+IF($AG$18='2. Customer Classes'!$B$17,+SUM('3. Consumption by Rate Class'!$J$61:$J$72),+IF($AG$18='2. Customer Classes'!$B$18,+SUM('3. Consumption by Rate Class'!$L$61:$L$72),+IF($AG$18='2. Customer Classes'!$B$19,+SUM('3. Consumption by Rate Class'!$O$61:$O$72),IF($AG$18='2. Customer Classes'!$B$20,+SUM('3. Consumption by Rate Class'!$R$61:$R$72),IF($AG$18='2. Customer Classes'!$B$21,+SUM('3. Consumption by Rate Class'!$U$61:$U$72),0))))))))</f>
        <v>386944</v>
      </c>
      <c r="AI24" s="458"/>
      <c r="AJ24" s="70">
        <f t="shared" si="15"/>
        <v>386944</v>
      </c>
      <c r="AK24" s="225">
        <f>+IF($AG$18='2. Customer Classes'!$B$18,+SUM('3. Consumption by Rate Class'!$M$61:$M$72),+IF($AG$18='2. Customer Classes'!$B$19,+SUM('3. Consumption by Rate Class'!$P$61:$P$72),IF($AG$18='2. Customer Classes'!$B$20,+SUM('3. Consumption by Rate Class'!$S$61:$S$72),IF($AG$18='2. Customer Classes'!$B$21,+SUM('3. Consumption by Rate Class'!$V$61:$V$72),0))))</f>
        <v>0</v>
      </c>
      <c r="AL24" s="225">
        <f>IF($AG$18='2. Customer Classes'!$B$14,+'4. Customer Growth'!$C20,+IF($AG$18='2. Customer Classes'!$B$15,+'4. Customer Growth'!$E20,+IF($AG$18='2. Customer Classes'!$B$16,+'4. Customer Growth'!$G20,+IF($AG$18='2. Customer Classes'!$B$17,+'4. Customer Growth'!$I20,+IF($AG$18='2. Customer Classes'!$B$18,+'4. Customer Growth'!$K20,+IF($AG$18='2. Customer Classes'!$B$19,+'4. Customer Growth'!$M20,IF($AG$18='2. Customer Classes'!$B$20,+'4. Customer Growth'!$O20,IF($AG$18='2. Customer Classes'!$B$21,+'4. Customer Growth'!$Q20,0))))))))</f>
        <v>20</v>
      </c>
      <c r="AM24" s="376">
        <f t="shared" si="16"/>
        <v>19347.2</v>
      </c>
      <c r="AN24" s="379">
        <f t="shared" si="17"/>
        <v>0</v>
      </c>
      <c r="AO24" s="342">
        <f t="shared" si="18"/>
        <v>0</v>
      </c>
      <c r="AQ24" s="357">
        <f t="shared" si="19"/>
        <v>2008</v>
      </c>
      <c r="AR24" s="70">
        <f>IF($AQ$18='2. Customer Classes'!$B$14,+SUM('3. Consumption by Rate Class'!$D$61:$D$72),+IF($AQ$18='2. Customer Classes'!$B$15,+SUM('3. Consumption by Rate Class'!$F$61:$F$72),+IF($AQ$18='2. Customer Classes'!$B$16,+SUM('3. Consumption by Rate Class'!$H$61:$H$72),+IF($AQ$18='2. Customer Classes'!$B$17,+SUM('3. Consumption by Rate Class'!$J$61:$J$72),+IF($AQ$18='2. Customer Classes'!$B$18,+SUM('3. Consumption by Rate Class'!$L$61:$L$72),+IF($AQ$18='2. Customer Classes'!$B$19,+SUM('3. Consumption by Rate Class'!$O$61:$O$72),IF($AQ$18='2. Customer Classes'!$B$20,+SUM('3. Consumption by Rate Class'!$R$61:$R$72),0)))))))</f>
        <v>0</v>
      </c>
      <c r="AS24" s="458"/>
      <c r="AT24" s="70">
        <f t="shared" si="20"/>
        <v>0</v>
      </c>
      <c r="AU24" s="225">
        <f>+IF($AQ$18='2. Customer Classes'!$B$18,+SUM('3. Consumption by Rate Class'!$M$61:$M$72),+IF($AQ$18='2. Customer Classes'!$B$19,+SUM('3. Consumption by Rate Class'!$P$61:$P$72),IF($AQ$18='2. Customer Classes'!$B$20,+SUM('3. Consumption by Rate Class'!$S$61:$S$72),0)))</f>
        <v>0</v>
      </c>
      <c r="AV24" s="225">
        <f>IF($AQ$18='2. Customer Classes'!$B$14,+'4. Customer Growth'!$C20,+IF($AQ$18='2. Customer Classes'!$B$15,+'4. Customer Growth'!$E20,+IF($AQ$18='2. Customer Classes'!$B$16,+'4. Customer Growth'!$G20,+IF($AQ$18='2. Customer Classes'!$B$17,+'4. Customer Growth'!$I20,+IF($AQ$18='2. Customer Classes'!$B$18,+'4. Customer Growth'!$K20,+IF($AQ$18='2. Customer Classes'!$B$19,+'4. Customer Growth'!$M20,IF($AQ$18='2. Customer Classes'!$B$20,+'4. Customer Growth'!$O20,0)))))))</f>
        <v>0</v>
      </c>
      <c r="AW24" s="376">
        <f t="shared" si="21"/>
        <v>0</v>
      </c>
      <c r="AX24" s="379">
        <f t="shared" si="22"/>
        <v>0</v>
      </c>
      <c r="AY24" s="342">
        <f t="shared" si="23"/>
        <v>0</v>
      </c>
    </row>
    <row r="25" spans="2:51" ht="12.75" customHeight="1" x14ac:dyDescent="0.2">
      <c r="B25" s="190">
        <f>'4. Customer Growth'!B21</f>
        <v>2009</v>
      </c>
      <c r="C25" s="70">
        <f>IF($B$18='2. Customer Classes'!$B$14,+SUM('3. Consumption by Rate Class'!$D$73:$D$84),+IF($B$18='2. Customer Classes'!$B$15,+SUM('3. Consumption by Rate Class'!$F$73:$F$84),+IF($B$18='2. Customer Classes'!$B$16,+SUM('3. Consumption by Rate Class'!$H$73:$H$84),+IF($B$18='2. Customer Classes'!$B$17,+SUM('3. Consumption by Rate Class'!$J$73:$J$84),+IF($B$18='2. Customer Classes'!$B$18,+SUM('3. Consumption by Rate Class'!$L$73:$L$84),+IF($B$18='2. Customer Classes'!$B$19,+SUM('3. Consumption by Rate Class'!$O$73:$O$84),IF($B$18='2. Customer Classes'!$B$20,+SUM('3. Consumption by Rate Class'!$R$73:$R$84),0)))))))</f>
        <v>78622635.780000001</v>
      </c>
      <c r="D25" s="458"/>
      <c r="E25" s="70">
        <f t="shared" si="2"/>
        <v>78622635.780000001</v>
      </c>
      <c r="F25" s="70">
        <f>+IF($B$18='2. Customer Classes'!$B$18,+SUM('3. Consumption by Rate Class'!$M$73:$M$84),+IF($B$18='2. Customer Classes'!$B$19,+SUM('3. Consumption by Rate Class'!$P$73:$P$84),IF($B$18='2. Customer Classes'!$B$20,+SUM('3. Consumption by Rate Class'!$S$73:$S$84),0)))</f>
        <v>209853</v>
      </c>
      <c r="G25" s="70">
        <f>IF($B$18='2. Customer Classes'!$B$14,+'4. Customer Growth'!$C21,+IF($B$18='2. Customer Classes'!$B$15,+'4. Customer Growth'!$E21,+IF($B$18='2. Customer Classes'!$B$16,+'4. Customer Growth'!$G21,+IF($B$18='2. Customer Classes'!$B$17,+'4. Customer Growth'!$I21,+IF($B$18='2. Customer Classes'!$B$18,+'4. Customer Growth'!$K21,+IF($B$18='2. Customer Classes'!$B$19,+'4. Customer Growth'!$M21,IF($B$18='2. Customer Classes'!$B$20,+'4. Customer Growth'!$O21,0)))))))</f>
        <v>144</v>
      </c>
      <c r="H25" s="376">
        <f t="shared" si="3"/>
        <v>545990.52625</v>
      </c>
      <c r="I25" s="379">
        <f t="shared" si="4"/>
        <v>1457.3125</v>
      </c>
      <c r="J25" s="342">
        <f t="shared" si="5"/>
        <v>2.6691168251749497E-3</v>
      </c>
      <c r="K25" s="183"/>
      <c r="L25" s="183"/>
      <c r="M25" s="190">
        <f t="shared" si="0"/>
        <v>2009</v>
      </c>
      <c r="N25" s="70">
        <f>IF($M$18='2. Customer Classes'!$B$14,+SUM('3. Consumption by Rate Class'!$D$73:$D$84),+IF($M$18='2. Customer Classes'!$B$15,+SUM('3. Consumption by Rate Class'!$F$73:$F$84),+IF($M$18='2. Customer Classes'!$B$16,+SUM('3. Consumption by Rate Class'!$H$73:$H$84),+IF($M$18='2. Customer Classes'!$B$17,+SUM('3. Consumption by Rate Class'!$J$73:$J$84),+IF($M$18='2. Customer Classes'!$B$18,+SUM('3. Consumption by Rate Class'!$L$73:$L$84),+IF($M$18='2. Customer Classes'!$B$19,+SUM('3. Consumption by Rate Class'!$O$73:$O$84),IF($M$18='2. Customer Classes'!$B$20,+SUM('3. Consumption by Rate Class'!$R$73:$R$84),0)))))))</f>
        <v>2414486.62</v>
      </c>
      <c r="O25" s="458"/>
      <c r="P25" s="70">
        <f t="shared" si="6"/>
        <v>2414486.62</v>
      </c>
      <c r="Q25" s="225">
        <f>+IF($M$18='2. Customer Classes'!$B$18,+SUM('3. Consumption by Rate Class'!$M$73:$M$84),+IF($M$18='2. Customer Classes'!$B$19,+SUM('3. Consumption by Rate Class'!$P$73:$P$84),IF($M$18='2. Customer Classes'!$B$20,+SUM('3. Consumption by Rate Class'!$S$73:$S$84),0)))</f>
        <v>6652</v>
      </c>
      <c r="R25" s="225">
        <f>IF($M$18='2. Customer Classes'!$B$14,+'4. Customer Growth'!$C21,+IF($M$18='2. Customer Classes'!$B$15,+'4. Customer Growth'!$E21,+IF($M$18='2. Customer Classes'!$B$16,+'4. Customer Growth'!$G21,+IF($M$18='2. Customer Classes'!$B$17,+'4. Customer Growth'!$I21,+IF($M$18='2. Customer Classes'!$B$18,+'4. Customer Growth'!$K21,+IF($M$18='2. Customer Classes'!$B$19,+'4. Customer Growth'!$M21,IF($M$18='2. Customer Classes'!$B$20,+'4. Customer Growth'!$O21,0)))))))</f>
        <v>2701</v>
      </c>
      <c r="S25" s="376">
        <f t="shared" si="7"/>
        <v>893.92322102924845</v>
      </c>
      <c r="T25" s="379">
        <f t="shared" si="8"/>
        <v>2.4627915586819698</v>
      </c>
      <c r="U25" s="342">
        <f t="shared" si="9"/>
        <v>2.7550370107248721E-3</v>
      </c>
      <c r="V25" s="64"/>
      <c r="W25" s="190">
        <f t="shared" si="1"/>
        <v>2009</v>
      </c>
      <c r="X25" s="70">
        <f>IF($W$18='2. Customer Classes'!$B$14,+SUM('3. Consumption by Rate Class'!$D$73:$D$84),+IF($W$18='2. Customer Classes'!$B$15,+SUM('3. Consumption by Rate Class'!$F$73:$F$84),+IF($W$18='2. Customer Classes'!$B$16,+SUM('3. Consumption by Rate Class'!$H$73:$H$84),+IF($W$18='2. Customer Classes'!$B$17,+SUM('3. Consumption by Rate Class'!$J$73:$J$84),+IF($W$18='2. Customer Classes'!$B$18,+SUM('3. Consumption by Rate Class'!$L$73:$L$84),+IF($W$18='2. Customer Classes'!$B$19,+SUM('3. Consumption by Rate Class'!$O$73:$O$84),IF($W$18='2. Customer Classes'!$B$20,+SUM('3. Consumption by Rate Class'!$R$73:$R$84),0)))))))</f>
        <v>265370.21000000002</v>
      </c>
      <c r="Y25" s="458"/>
      <c r="Z25" s="70">
        <f t="shared" si="10"/>
        <v>265370.21000000002</v>
      </c>
      <c r="AA25" s="225">
        <f>+IF($W$18='2. Customer Classes'!$B$18,+SUM('3. Consumption by Rate Class'!$M$73:$M$84),+IF($W$18='2. Customer Classes'!$B$19,+SUM('3. Consumption by Rate Class'!$P$73:$P$84),IF($W$18='2. Customer Classes'!$B$20,+SUM('3. Consumption by Rate Class'!$S$73:$S$84),0)))</f>
        <v>756</v>
      </c>
      <c r="AB25" s="225">
        <f>IF($W$18='2. Customer Classes'!$B$14,+'4. Customer Growth'!$C21,+IF($W$18='2. Customer Classes'!$B$15,+'4. Customer Growth'!$E21,+IF($W$18='2. Customer Classes'!$B$16,+'4. Customer Growth'!$G21,+IF($W$18='2. Customer Classes'!$B$17,+'4. Customer Growth'!$I21,+IF($W$18='2. Customer Classes'!$B$18,+'4. Customer Growth'!$K21,+IF($W$18='2. Customer Classes'!$B$19,+'4. Customer Growth'!$M21,IF($W$18='2. Customer Classes'!$B$20,+'4. Customer Growth'!$O21,0)))))))</f>
        <v>226</v>
      </c>
      <c r="AC25" s="376">
        <f t="shared" si="11"/>
        <v>1174.2044690265488</v>
      </c>
      <c r="AD25" s="379">
        <f t="shared" si="12"/>
        <v>3.3451327433628317</v>
      </c>
      <c r="AE25" s="342">
        <f t="shared" si="13"/>
        <v>2.848850291070727E-3</v>
      </c>
      <c r="AG25" s="357">
        <f t="shared" si="14"/>
        <v>2009</v>
      </c>
      <c r="AH25" s="70">
        <f>IF($AG$18='2. Customer Classes'!$B$14,+SUM('3. Consumption by Rate Class'!$D$73:$D$84),+IF($AG$18='2. Customer Classes'!$B$15,+SUM('3. Consumption by Rate Class'!$F$73:$F$84),+IF($AG$18='2. Customer Classes'!$B$16,+SUM('3. Consumption by Rate Class'!$H$73:$H$84),+IF($AG$18='2. Customer Classes'!$B$17,+SUM('3. Consumption by Rate Class'!$J$73:$J$84),+IF($AG$18='2. Customer Classes'!$B$18,+SUM('3. Consumption by Rate Class'!$L$73:$L$84),+IF($AG$18='2. Customer Classes'!$B$19,+SUM('3. Consumption by Rate Class'!$O$73:$O$84),IF($AG$18='2. Customer Classes'!$B$20,+SUM('3. Consumption by Rate Class'!$R$73:$R$84),IF($AG$18='2. Customer Classes'!$B$21,+SUM('3. Consumption by Rate Class'!$U$73:$U$84),0))))))))</f>
        <v>437952.27</v>
      </c>
      <c r="AI25" s="458"/>
      <c r="AJ25" s="70">
        <f t="shared" si="15"/>
        <v>437952.27</v>
      </c>
      <c r="AK25" s="225">
        <f>+IF($AG$18='2. Customer Classes'!$B$18,+SUM('3. Consumption by Rate Class'!$M$73:$M$84),+IF($AG$18='2. Customer Classes'!$B$19,+SUM('3. Consumption by Rate Class'!$P$73:$P$84),IF($AG$18='2. Customer Classes'!$B$20,+SUM('3. Consumption by Rate Class'!$S$73:$S$84),IF($AG$18='2. Customer Classes'!$B$21,+SUM('3. Consumption by Rate Class'!$V$73:$V$84),0))))</f>
        <v>0</v>
      </c>
      <c r="AL25" s="225">
        <f>IF($AG$18='2. Customer Classes'!$B$14,+'4. Customer Growth'!$C21,+IF($AG$18='2. Customer Classes'!$B$15,+'4. Customer Growth'!$E21,+IF($AG$18='2. Customer Classes'!$B$16,+'4. Customer Growth'!$G21,+IF($AG$18='2. Customer Classes'!$B$17,+'4. Customer Growth'!$I21,+IF($AG$18='2. Customer Classes'!$B$18,+'4. Customer Growth'!$K21,+IF($AG$18='2. Customer Classes'!$B$19,+'4. Customer Growth'!$M21,IF($AG$18='2. Customer Classes'!$B$20,+'4. Customer Growth'!$O21,IF($AG$18='2. Customer Classes'!$B$21,+'4. Customer Growth'!$Q21,0))))))))</f>
        <v>20</v>
      </c>
      <c r="AM25" s="376">
        <f t="shared" si="16"/>
        <v>21897.613499999999</v>
      </c>
      <c r="AN25" s="379">
        <f t="shared" si="17"/>
        <v>0</v>
      </c>
      <c r="AO25" s="342">
        <f t="shared" si="18"/>
        <v>0</v>
      </c>
      <c r="AQ25" s="357">
        <f t="shared" si="19"/>
        <v>2009</v>
      </c>
      <c r="AR25" s="70">
        <f>IF($AQ$18='2. Customer Classes'!$B$14,+SUM('3. Consumption by Rate Class'!$D$73:$D$84),+IF($AQ$18='2. Customer Classes'!$B$15,+SUM('3. Consumption by Rate Class'!$F$73:$F$84),+IF($AQ$18='2. Customer Classes'!$B$16,+SUM('3. Consumption by Rate Class'!$H$73:$H$84),+IF($AQ$18='2. Customer Classes'!$B$17,+SUM('3. Consumption by Rate Class'!$J$73:$J$84),+IF($AQ$18='2. Customer Classes'!$B$18,+SUM('3. Consumption by Rate Class'!$L$73:$L$84),+IF($AQ$18='2. Customer Classes'!$B$19,+SUM('3. Consumption by Rate Class'!$O$73:$O$84),IF($AQ$18='2. Customer Classes'!$B$20,+SUM('3. Consumption by Rate Class'!$R$73:$R$84),0)))))))</f>
        <v>0</v>
      </c>
      <c r="AS25" s="458"/>
      <c r="AT25" s="70">
        <f t="shared" si="20"/>
        <v>0</v>
      </c>
      <c r="AU25" s="225">
        <f>+IF($AQ$18='2. Customer Classes'!$B$18,+SUM('3. Consumption by Rate Class'!$M$73:$M$84),+IF($AQ$18='2. Customer Classes'!$B$19,+SUM('3. Consumption by Rate Class'!$P$73:$P$84),IF($AQ$18='2. Customer Classes'!$B$20,+SUM('3. Consumption by Rate Class'!$S$73:$S$84),0)))</f>
        <v>0</v>
      </c>
      <c r="AV25" s="225">
        <f>IF($AQ$18='2. Customer Classes'!$B$14,+'4. Customer Growth'!$C21,+IF($AQ$18='2. Customer Classes'!$B$15,+'4. Customer Growth'!$E21,+IF($AQ$18='2. Customer Classes'!$B$16,+'4. Customer Growth'!$G21,+IF($AQ$18='2. Customer Classes'!$B$17,+'4. Customer Growth'!$I21,+IF($AQ$18='2. Customer Classes'!$B$18,+'4. Customer Growth'!$K21,+IF($AQ$18='2. Customer Classes'!$B$19,+'4. Customer Growth'!$M21,IF($AQ$18='2. Customer Classes'!$B$20,+'4. Customer Growth'!$O21,0)))))))</f>
        <v>0</v>
      </c>
      <c r="AW25" s="376">
        <f t="shared" si="21"/>
        <v>0</v>
      </c>
      <c r="AX25" s="379">
        <f t="shared" si="22"/>
        <v>0</v>
      </c>
      <c r="AY25" s="342">
        <f t="shared" si="23"/>
        <v>0</v>
      </c>
    </row>
    <row r="26" spans="2:51" ht="12.75" customHeight="1" x14ac:dyDescent="0.2">
      <c r="B26" s="190">
        <f>'4. Customer Growth'!B22</f>
        <v>2010</v>
      </c>
      <c r="C26" s="70">
        <f>IF($B$18='2. Customer Classes'!$B$14,+SUM('3. Consumption by Rate Class'!$D$85:$D$96),+IF($B$18='2. Customer Classes'!$B$15,+SUM('3. Consumption by Rate Class'!$F$85:$F$96),+IF($B$18='2. Customer Classes'!$B$16,+SUM('3. Consumption by Rate Class'!$H$85:$H$96),+IF($B$18='2. Customer Classes'!$B$17,+SUM('3. Consumption by Rate Class'!$J$85:$J$96),+IF($B$18='2. Customer Classes'!$B$18,+SUM('3. Consumption by Rate Class'!$L$85:$L$96),+IF($B$18='2. Customer Classes'!$B$19,+SUM('3. Consumption by Rate Class'!$O$85:$O$96),IF($B$18='2. Customer Classes'!$B$20,+SUM('3. Consumption by Rate Class'!$R$85:$R$96),0)))))))</f>
        <v>76510234.719999999</v>
      </c>
      <c r="D26" s="458"/>
      <c r="E26" s="70">
        <f t="shared" si="2"/>
        <v>76510234.719999999</v>
      </c>
      <c r="F26" s="70">
        <f>+IF($B$18='2. Customer Classes'!$B$18,+SUM('3. Consumption by Rate Class'!$M$85:$M$96),+IF($B$18='2. Customer Classes'!$B$19,+SUM('3. Consumption by Rate Class'!$P$85:$P$96),IF($B$18='2. Customer Classes'!$B$20,+SUM('3. Consumption by Rate Class'!$S$85:$S$96),0)))</f>
        <v>202775</v>
      </c>
      <c r="G26" s="70">
        <f>IF($B$18='2. Customer Classes'!$B$14,+'4. Customer Growth'!$C22,+IF($B$18='2. Customer Classes'!$B$15,+'4. Customer Growth'!$E22,+IF($B$18='2. Customer Classes'!$B$16,+'4. Customer Growth'!$G22,+IF($B$18='2. Customer Classes'!$B$17,+'4. Customer Growth'!$I22,+IF($B$18='2. Customer Classes'!$B$18,+'4. Customer Growth'!$K22,+IF($B$18='2. Customer Classes'!$B$19,+'4. Customer Growth'!$M22,IF($B$18='2. Customer Classes'!$B$20,+'4. Customer Growth'!$O22,0)))))))</f>
        <v>148</v>
      </c>
      <c r="H26" s="376">
        <f t="shared" si="3"/>
        <v>516961.0454054054</v>
      </c>
      <c r="I26" s="379">
        <f t="shared" si="4"/>
        <v>1370.1013513513512</v>
      </c>
      <c r="J26" s="342">
        <f t="shared" si="5"/>
        <v>2.6502990187140811E-3</v>
      </c>
      <c r="K26" s="183"/>
      <c r="L26" s="183"/>
      <c r="M26" s="190">
        <f t="shared" si="0"/>
        <v>2010</v>
      </c>
      <c r="N26" s="70">
        <f>IF($M$18='2. Customer Classes'!$B$14,+SUM('3. Consumption by Rate Class'!$D$85:$D$96),+IF($M$18='2. Customer Classes'!$B$15,+SUM('3. Consumption by Rate Class'!$F$85:$F$96),+IF($M$18='2. Customer Classes'!$B$16,+SUM('3. Consumption by Rate Class'!$H$85:$H$96),+IF($M$18='2. Customer Classes'!$B$17,+SUM('3. Consumption by Rate Class'!$J$85:$J$96),+IF($M$18='2. Customer Classes'!$B$18,+SUM('3. Consumption by Rate Class'!$L$85:$L$96),+IF($M$18='2. Customer Classes'!$B$19,+SUM('3. Consumption by Rate Class'!$O$85:$O$96),IF($M$18='2. Customer Classes'!$B$20,+SUM('3. Consumption by Rate Class'!$R$85:$R$96),0)))))))</f>
        <v>2383707.0499999998</v>
      </c>
      <c r="O26" s="458"/>
      <c r="P26" s="70">
        <f t="shared" si="6"/>
        <v>2383707.0499999998</v>
      </c>
      <c r="Q26" s="225">
        <f>+IF($M$18='2. Customer Classes'!$B$18,+SUM('3. Consumption by Rate Class'!$M$85:$M$96),+IF($M$18='2. Customer Classes'!$B$19,+SUM('3. Consumption by Rate Class'!$P$85:$P$96),IF($M$18='2. Customer Classes'!$B$20,+SUM('3. Consumption by Rate Class'!$S$85:$S$96),0)))</f>
        <v>6766</v>
      </c>
      <c r="R26" s="225">
        <f>IF($M$18='2. Customer Classes'!$B$14,+'4. Customer Growth'!$C22,+IF($M$18='2. Customer Classes'!$B$15,+'4. Customer Growth'!$E22,+IF($M$18='2. Customer Classes'!$B$16,+'4. Customer Growth'!$G22,+IF($M$18='2. Customer Classes'!$B$17,+'4. Customer Growth'!$I22,+IF($M$18='2. Customer Classes'!$B$18,+'4. Customer Growth'!$K22,+IF($M$18='2. Customer Classes'!$B$19,+'4. Customer Growth'!$M22,IF($M$18='2. Customer Classes'!$B$20,+'4. Customer Growth'!$O22,0)))))))</f>
        <v>2713</v>
      </c>
      <c r="S26" s="376">
        <f t="shared" si="7"/>
        <v>878.6240508661997</v>
      </c>
      <c r="T26" s="379">
        <f t="shared" si="8"/>
        <v>2.4939181717655732</v>
      </c>
      <c r="U26" s="342">
        <f t="shared" si="9"/>
        <v>2.8384360402004937E-3</v>
      </c>
      <c r="V26" s="64"/>
      <c r="W26" s="190">
        <f t="shared" si="1"/>
        <v>2010</v>
      </c>
      <c r="X26" s="70">
        <f>IF($W$18='2. Customer Classes'!$B$14,+SUM('3. Consumption by Rate Class'!$D$85:$D$96),+IF($W$18='2. Customer Classes'!$B$15,+SUM('3. Consumption by Rate Class'!$F$85:$F$96),+IF($W$18='2. Customer Classes'!$B$16,+SUM('3. Consumption by Rate Class'!$H$85:$H$96),+IF($W$18='2. Customer Classes'!$B$17,+SUM('3. Consumption by Rate Class'!$J$85:$J$96),+IF($W$18='2. Customer Classes'!$B$18,+SUM('3. Consumption by Rate Class'!$L$85:$L$96),+IF($W$18='2. Customer Classes'!$B$19,+SUM('3. Consumption by Rate Class'!$O$85:$O$96),IF($W$18='2. Customer Classes'!$B$20,+SUM('3. Consumption by Rate Class'!$R$85:$R$96),0)))))))</f>
        <v>233685.69</v>
      </c>
      <c r="Y26" s="458"/>
      <c r="Z26" s="70">
        <f t="shared" si="10"/>
        <v>233685.69</v>
      </c>
      <c r="AA26" s="225">
        <f>+IF($W$18='2. Customer Classes'!$B$18,+SUM('3. Consumption by Rate Class'!$M$85:$M$96),+IF($W$18='2. Customer Classes'!$B$19,+SUM('3. Consumption by Rate Class'!$P$85:$P$96),IF($W$18='2. Customer Classes'!$B$20,+SUM('3. Consumption by Rate Class'!$S$85:$S$96),0)))</f>
        <v>766</v>
      </c>
      <c r="AB26" s="225">
        <f>IF($W$18='2. Customer Classes'!$B$14,+'4. Customer Growth'!$C22,+IF($W$18='2. Customer Classes'!$B$15,+'4. Customer Growth'!$E22,+IF($W$18='2. Customer Classes'!$B$16,+'4. Customer Growth'!$G22,+IF($W$18='2. Customer Classes'!$B$17,+'4. Customer Growth'!$I22,+IF($W$18='2. Customer Classes'!$B$18,+'4. Customer Growth'!$K22,+IF($W$18='2. Customer Classes'!$B$19,+'4. Customer Growth'!$M22,IF($W$18='2. Customer Classes'!$B$20,+'4. Customer Growth'!$O22,0)))))))</f>
        <v>216</v>
      </c>
      <c r="AC26" s="376">
        <f t="shared" si="11"/>
        <v>1081.8781944444445</v>
      </c>
      <c r="AD26" s="379">
        <f t="shared" si="12"/>
        <v>3.5462962962962963</v>
      </c>
      <c r="AE26" s="342">
        <f t="shared" si="13"/>
        <v>3.2779071752318252E-3</v>
      </c>
      <c r="AG26" s="357">
        <f t="shared" si="14"/>
        <v>2010</v>
      </c>
      <c r="AH26" s="70">
        <f>IF($AG$18='2. Customer Classes'!$B$14,+SUM('3. Consumption by Rate Class'!$D$85:$D$96),+IF($AG$18='2. Customer Classes'!$B$15,+SUM('3. Consumption by Rate Class'!$F$85:$F$96),+IF($AG$18='2. Customer Classes'!$B$16,+SUM('3. Consumption by Rate Class'!$H$85:$H$96),+IF($AG$18='2. Customer Classes'!$B$17,+SUM('3. Consumption by Rate Class'!$J$85:$J$96),+IF($AG$18='2. Customer Classes'!$B$18,+SUM('3. Consumption by Rate Class'!$L$85:$L$96),+IF($AG$18='2. Customer Classes'!$B$19,+SUM('3. Consumption by Rate Class'!$O$85:$O$96),IF($AG$18='2. Customer Classes'!$B$20,+SUM('3. Consumption by Rate Class'!$R$85:$R$96),IF($AG$18='2. Customer Classes'!$B$21,+SUM('3. Consumption by Rate Class'!$U$85:$U$96),0))))))))</f>
        <v>458526.4</v>
      </c>
      <c r="AI26" s="458"/>
      <c r="AJ26" s="70">
        <f t="shared" si="15"/>
        <v>458526.4</v>
      </c>
      <c r="AK26" s="225">
        <f>+IF($AG$18='2. Customer Classes'!$B$18,+SUM('3. Consumption by Rate Class'!$M$85:$M$96),+IF($AG$18='2. Customer Classes'!$B$19,+SUM('3. Consumption by Rate Class'!$P$85:$P$96),IF($AG$18='2. Customer Classes'!$B$20,+SUM('3. Consumption by Rate Class'!$S$85:$S$96),IF($AG$18='2. Customer Classes'!$B$21,+SUM('3. Consumption by Rate Class'!$V$85:$V$96),0))))</f>
        <v>0</v>
      </c>
      <c r="AL26" s="225">
        <f>IF($AG$18='2. Customer Classes'!$B$14,+'4. Customer Growth'!$C22,+IF($AG$18='2. Customer Classes'!$B$15,+'4. Customer Growth'!$E22,+IF($AG$18='2. Customer Classes'!$B$16,+'4. Customer Growth'!$G22,+IF($AG$18='2. Customer Classes'!$B$17,+'4. Customer Growth'!$I22,+IF($AG$18='2. Customer Classes'!$B$18,+'4. Customer Growth'!$K22,+IF($AG$18='2. Customer Classes'!$B$19,+'4. Customer Growth'!$M22,IF($AG$18='2. Customer Classes'!$B$20,+'4. Customer Growth'!$O22,IF($AG$18='2. Customer Classes'!$B$21,+'4. Customer Growth'!$Q22,0))))))))</f>
        <v>20</v>
      </c>
      <c r="AM26" s="376">
        <f t="shared" si="16"/>
        <v>22926.32</v>
      </c>
      <c r="AN26" s="379">
        <f t="shared" si="17"/>
        <v>0</v>
      </c>
      <c r="AO26" s="342">
        <f t="shared" si="18"/>
        <v>0</v>
      </c>
      <c r="AQ26" s="357">
        <f t="shared" si="19"/>
        <v>2010</v>
      </c>
      <c r="AR26" s="70">
        <f>IF($AQ$18='2. Customer Classes'!$B$14,+SUM('3. Consumption by Rate Class'!$D$85:$D$96),+IF($AQ$18='2. Customer Classes'!$B$15,+SUM('3. Consumption by Rate Class'!$F$85:$F$96),+IF($AQ$18='2. Customer Classes'!$B$16,+SUM('3. Consumption by Rate Class'!$H$85:$H$96),+IF($AQ$18='2. Customer Classes'!$B$17,+SUM('3. Consumption by Rate Class'!$J$85:$J$96),+IF($AQ$18='2. Customer Classes'!$B$18,+SUM('3. Consumption by Rate Class'!$L$85:$L$96),+IF($AQ$18='2. Customer Classes'!$B$19,+SUM('3. Consumption by Rate Class'!$O$85:$O$96),IF($AQ$18='2. Customer Classes'!$B$20,+SUM('3. Consumption by Rate Class'!$R$85:$R$96),0)))))))</f>
        <v>0</v>
      </c>
      <c r="AS26" s="458"/>
      <c r="AT26" s="70">
        <f t="shared" si="20"/>
        <v>0</v>
      </c>
      <c r="AU26" s="225">
        <f>+IF($AQ$18='2. Customer Classes'!$B$18,+SUM('3. Consumption by Rate Class'!$M$85:$M$96),+IF($AQ$18='2. Customer Classes'!$B$19,+SUM('3. Consumption by Rate Class'!$P$85:$P$96),IF($AQ$18='2. Customer Classes'!$B$20,+SUM('3. Consumption by Rate Class'!$S$85:$S$96),0)))</f>
        <v>0</v>
      </c>
      <c r="AV26" s="225">
        <f>IF($AQ$18='2. Customer Classes'!$B$14,+'4. Customer Growth'!$C22,+IF($AQ$18='2. Customer Classes'!$B$15,+'4. Customer Growth'!$E22,+IF($AQ$18='2. Customer Classes'!$B$16,+'4. Customer Growth'!$G22,+IF($AQ$18='2. Customer Classes'!$B$17,+'4. Customer Growth'!$I22,+IF($AQ$18='2. Customer Classes'!$B$18,+'4. Customer Growth'!$K22,+IF($AQ$18='2. Customer Classes'!$B$19,+'4. Customer Growth'!$M22,IF($AQ$18='2. Customer Classes'!$B$20,+'4. Customer Growth'!$O22,0)))))))</f>
        <v>0</v>
      </c>
      <c r="AW26" s="376">
        <f t="shared" si="21"/>
        <v>0</v>
      </c>
      <c r="AX26" s="379">
        <f t="shared" si="22"/>
        <v>0</v>
      </c>
      <c r="AY26" s="342">
        <f t="shared" si="23"/>
        <v>0</v>
      </c>
    </row>
    <row r="27" spans="2:51" ht="12.75" customHeight="1" x14ac:dyDescent="0.2">
      <c r="B27" s="190">
        <f>'4. Customer Growth'!B23</f>
        <v>2011</v>
      </c>
      <c r="C27" s="70">
        <f>IF($B$18='2. Customer Classes'!$B$14,+SUM('3. Consumption by Rate Class'!$D$97:$D$108),+IF($B$18='2. Customer Classes'!$B$15,+SUM('3. Consumption by Rate Class'!$F$97:$F$108),+IF($B$18='2. Customer Classes'!$B$16,+SUM('3. Consumption by Rate Class'!$H$97:$H$108),+IF($B$18='2. Customer Classes'!$B$17,+SUM('3. Consumption by Rate Class'!$J$97:$J$108),+IF($B$18='2. Customer Classes'!$B$18,+SUM('3. Consumption by Rate Class'!$L$97:$L$108),+IF($B$18='2. Customer Classes'!$B$19,+SUM('3. Consumption by Rate Class'!$O$97:$O$108),IF($B$18='2. Customer Classes'!$B$20,+SUM('3. Consumption by Rate Class'!$R$97:$R$108),0)))))))</f>
        <v>74853997.430000007</v>
      </c>
      <c r="D27" s="458"/>
      <c r="E27" s="70">
        <f t="shared" si="2"/>
        <v>74853997.430000007</v>
      </c>
      <c r="F27" s="70">
        <f>+IF($B$18='2. Customer Classes'!$B$18,+SUM('3. Consumption by Rate Class'!$M$97:$M$108),+IF($B$18='2. Customer Classes'!$B$19,+SUM('3. Consumption by Rate Class'!$P$97:$P$108),IF($B$18='2. Customer Classes'!$B$20,+SUM('3. Consumption by Rate Class'!$S$97:$S$108),0)))</f>
        <v>203575</v>
      </c>
      <c r="G27" s="70">
        <f>IF($B$18='2. Customer Classes'!$B$14,+'4. Customer Growth'!$C23,+IF($B$18='2. Customer Classes'!$B$15,+'4. Customer Growth'!$E23,+IF($B$18='2. Customer Classes'!$B$16,+'4. Customer Growth'!$G23,+IF($B$18='2. Customer Classes'!$B$17,+'4. Customer Growth'!$I23,+IF($B$18='2. Customer Classes'!$B$18,+'4. Customer Growth'!$K23,+IF($B$18='2. Customer Classes'!$B$19,+'4. Customer Growth'!$M23,IF($B$18='2. Customer Classes'!$B$20,+'4. Customer Growth'!$O23,0)))))))</f>
        <v>145</v>
      </c>
      <c r="H27" s="376">
        <f t="shared" si="3"/>
        <v>516234.46503448283</v>
      </c>
      <c r="I27" s="379">
        <f t="shared" si="4"/>
        <v>1403.9655172413793</v>
      </c>
      <c r="J27" s="342">
        <f t="shared" si="5"/>
        <v>2.7196276349886845E-3</v>
      </c>
      <c r="K27" s="183"/>
      <c r="L27" s="183"/>
      <c r="M27" s="190">
        <f t="shared" si="0"/>
        <v>2011</v>
      </c>
      <c r="N27" s="70">
        <f>IF($M$18='2. Customer Classes'!$B$14,+SUM('3. Consumption by Rate Class'!$D$97:$D$108),+IF($M$18='2. Customer Classes'!$B$15,+SUM('3. Consumption by Rate Class'!$F$97:$F$108),+IF($M$18='2. Customer Classes'!$B$16,+SUM('3. Consumption by Rate Class'!$H$97:$H$108),+IF($M$18='2. Customer Classes'!$B$17,+SUM('3. Consumption by Rate Class'!$J$97:$J$108),+IF($M$18='2. Customer Classes'!$B$18,+SUM('3. Consumption by Rate Class'!$L$97:$L$108),+IF($M$18='2. Customer Classes'!$B$19,+SUM('3. Consumption by Rate Class'!$O$97:$O$108),IF($M$18='2. Customer Classes'!$B$20,+SUM('3. Consumption by Rate Class'!$R$97:$R$108),0)))))))</f>
        <v>2458955</v>
      </c>
      <c r="O27" s="458"/>
      <c r="P27" s="70">
        <f t="shared" si="6"/>
        <v>2458955</v>
      </c>
      <c r="Q27" s="225">
        <f>+IF($M$18='2. Customer Classes'!$B$18,+SUM('3. Consumption by Rate Class'!$M$97:$M$108),+IF($M$18='2. Customer Classes'!$B$19,+SUM('3. Consumption by Rate Class'!$P$97:$P$108),IF($M$18='2. Customer Classes'!$B$20,+SUM('3. Consumption by Rate Class'!$S$97:$S$108),0)))</f>
        <v>6840</v>
      </c>
      <c r="R27" s="225">
        <f>IF($M$18='2. Customer Classes'!$B$14,+'4. Customer Growth'!$C23,+IF($M$18='2. Customer Classes'!$B$15,+'4. Customer Growth'!$E23,+IF($M$18='2. Customer Classes'!$B$16,+'4. Customer Growth'!$G23,+IF($M$18='2. Customer Classes'!$B$17,+'4. Customer Growth'!$I23,+IF($M$18='2. Customer Classes'!$B$18,+'4. Customer Growth'!$K23,+IF($M$18='2. Customer Classes'!$B$19,+'4. Customer Growth'!$M23,IF($M$18='2. Customer Classes'!$B$20,+'4. Customer Growth'!$O23,0)))))))</f>
        <v>2769</v>
      </c>
      <c r="S27" s="376">
        <f t="shared" si="7"/>
        <v>888.02997472011555</v>
      </c>
      <c r="T27" s="379">
        <f t="shared" si="8"/>
        <v>2.4702058504875408</v>
      </c>
      <c r="U27" s="342">
        <f t="shared" si="9"/>
        <v>2.7816694490139103E-3</v>
      </c>
      <c r="V27" s="64"/>
      <c r="W27" s="190">
        <f t="shared" si="1"/>
        <v>2011</v>
      </c>
      <c r="X27" s="70">
        <f>IF($W$18='2. Customer Classes'!$B$14,+SUM('3. Consumption by Rate Class'!$D$97:$D$108),+IF($W$18='2. Customer Classes'!$B$15,+SUM('3. Consumption by Rate Class'!$F$97:$F$108),+IF($W$18='2. Customer Classes'!$B$16,+SUM('3. Consumption by Rate Class'!$H$97:$H$108),+IF($W$18='2. Customer Classes'!$B$17,+SUM('3. Consumption by Rate Class'!$J$97:$J$108),+IF($W$18='2. Customer Classes'!$B$18,+SUM('3. Consumption by Rate Class'!$L$97:$L$108),+IF($W$18='2. Customer Classes'!$B$19,+SUM('3. Consumption by Rate Class'!$O$97:$O$108),IF($W$18='2. Customer Classes'!$B$20,+SUM('3. Consumption by Rate Class'!$R$97:$R$108),0)))))))</f>
        <v>270899.02</v>
      </c>
      <c r="Y27" s="458"/>
      <c r="Z27" s="70">
        <f t="shared" si="10"/>
        <v>270899.02</v>
      </c>
      <c r="AA27" s="225">
        <f>+IF($W$18='2. Customer Classes'!$B$18,+SUM('3. Consumption by Rate Class'!$M$97:$M$108),+IF($W$18='2. Customer Classes'!$B$19,+SUM('3. Consumption by Rate Class'!$P$97:$P$108),IF($W$18='2. Customer Classes'!$B$20,+SUM('3. Consumption by Rate Class'!$S$97:$S$108),0)))</f>
        <v>734</v>
      </c>
      <c r="AB27" s="225">
        <f>IF($W$18='2. Customer Classes'!$B$14,+'4. Customer Growth'!$C23,+IF($W$18='2. Customer Classes'!$B$15,+'4. Customer Growth'!$E23,+IF($W$18='2. Customer Classes'!$B$16,+'4. Customer Growth'!$G23,+IF($W$18='2. Customer Classes'!$B$17,+'4. Customer Growth'!$I23,+IF($W$18='2. Customer Classes'!$B$18,+'4. Customer Growth'!$K23,+IF($W$18='2. Customer Classes'!$B$19,+'4. Customer Growth'!$M23,IF($W$18='2. Customer Classes'!$B$20,+'4. Customer Growth'!$O23,0)))))))</f>
        <v>209</v>
      </c>
      <c r="AC27" s="376">
        <f t="shared" si="11"/>
        <v>1296.1675598086126</v>
      </c>
      <c r="AD27" s="379">
        <f t="shared" si="12"/>
        <v>3.5119617224880382</v>
      </c>
      <c r="AE27" s="342">
        <f t="shared" si="13"/>
        <v>2.7094966973302448E-3</v>
      </c>
      <c r="AG27" s="357">
        <f t="shared" si="14"/>
        <v>2011</v>
      </c>
      <c r="AH27" s="70">
        <f>IF($AG$18='2. Customer Classes'!$B$14,+SUM('3. Consumption by Rate Class'!$D$97:$D$108),+IF($AG$18='2. Customer Classes'!$B$15,+SUM('3. Consumption by Rate Class'!$F$97:$F$108),+IF($AG$18='2. Customer Classes'!$B$16,+SUM('3. Consumption by Rate Class'!$H$97:$H$108),+IF($AG$18='2. Customer Classes'!$B$17,+SUM('3. Consumption by Rate Class'!$J$97:$J$108),+IF($AG$18='2. Customer Classes'!$B$18,+SUM('3. Consumption by Rate Class'!$L$97:$L$108),+IF($AG$18='2. Customer Classes'!$B$19,+SUM('3. Consumption by Rate Class'!$O$97:$O$108),IF($AG$18='2. Customer Classes'!$B$20,+SUM('3. Consumption by Rate Class'!$R$97:$R$108),IF($AG$18='2. Customer Classes'!$B$21,+SUM('3. Consumption by Rate Class'!$U$97:$U$108),0))))))))</f>
        <v>469307.04</v>
      </c>
      <c r="AI27" s="458"/>
      <c r="AJ27" s="70">
        <f t="shared" si="15"/>
        <v>469307.04</v>
      </c>
      <c r="AK27" s="225">
        <f>+IF($AG$18='2. Customer Classes'!$B$18,+SUM('3. Consumption by Rate Class'!$M$97:$M$108),+IF($AG$18='2. Customer Classes'!$B$19,+SUM('3. Consumption by Rate Class'!$P$97:$P$108),IF($AG$18='2. Customer Classes'!$B$20,+SUM('3. Consumption by Rate Class'!$S$97:$S$108),IF($AG$18='2. Customer Classes'!$B$21,+SUM('3. Consumption by Rate Class'!$V$97:$V$108),0))))</f>
        <v>0</v>
      </c>
      <c r="AL27" s="225">
        <f>IF($AG$18='2. Customer Classes'!$B$14,+'4. Customer Growth'!$C23,+IF($AG$18='2. Customer Classes'!$B$15,+'4. Customer Growth'!$E23,+IF($AG$18='2. Customer Classes'!$B$16,+'4. Customer Growth'!$G23,+IF($AG$18='2. Customer Classes'!$B$17,+'4. Customer Growth'!$I23,+IF($AG$18='2. Customer Classes'!$B$18,+'4. Customer Growth'!$K23,+IF($AG$18='2. Customer Classes'!$B$19,+'4. Customer Growth'!$M23,IF($AG$18='2. Customer Classes'!$B$20,+'4. Customer Growth'!$O23,IF($AG$18='2. Customer Classes'!$B$21,+'4. Customer Growth'!$Q23,0))))))))</f>
        <v>20</v>
      </c>
      <c r="AM27" s="376">
        <f t="shared" si="16"/>
        <v>23465.351999999999</v>
      </c>
      <c r="AN27" s="379">
        <f t="shared" si="17"/>
        <v>0</v>
      </c>
      <c r="AO27" s="342">
        <f t="shared" si="18"/>
        <v>0</v>
      </c>
      <c r="AQ27" s="357">
        <f t="shared" si="19"/>
        <v>2011</v>
      </c>
      <c r="AR27" s="70">
        <f>IF($AQ$18='2. Customer Classes'!$B$14,+SUM('3. Consumption by Rate Class'!$D$97:$D$108),+IF($AQ$18='2. Customer Classes'!$B$15,+SUM('3. Consumption by Rate Class'!$F$97:$F$108),+IF($AQ$18='2. Customer Classes'!$B$16,+SUM('3. Consumption by Rate Class'!$H$97:$H$108),+IF($AQ$18='2. Customer Classes'!$B$17,+SUM('3. Consumption by Rate Class'!$J$97:$J$108),+IF($AQ$18='2. Customer Classes'!$B$18,+SUM('3. Consumption by Rate Class'!$L$97:$L$108),+IF($AQ$18='2. Customer Classes'!$B$19,+SUM('3. Consumption by Rate Class'!$O$97:$O$108),IF($AQ$18='2. Customer Classes'!$B$20,+SUM('3. Consumption by Rate Class'!$R$97:$R$108),0)))))))</f>
        <v>0</v>
      </c>
      <c r="AS27" s="458"/>
      <c r="AT27" s="70">
        <f t="shared" si="20"/>
        <v>0</v>
      </c>
      <c r="AU27" s="225">
        <f>+IF($AQ$18='2. Customer Classes'!$B$18,+SUM('3. Consumption by Rate Class'!$M$97:$M$108),+IF($AQ$18='2. Customer Classes'!$B$19,+SUM('3. Consumption by Rate Class'!$P$97:$P$108),IF($AQ$18='2. Customer Classes'!$B$20,+SUM('3. Consumption by Rate Class'!$S$97:$S$108),0)))</f>
        <v>0</v>
      </c>
      <c r="AV27" s="225">
        <f>IF($AQ$18='2. Customer Classes'!$B$14,+'4. Customer Growth'!$C23,+IF($AQ$18='2. Customer Classes'!$B$15,+'4. Customer Growth'!$E23,+IF($AQ$18='2. Customer Classes'!$B$16,+'4. Customer Growth'!$G23,+IF($AQ$18='2. Customer Classes'!$B$17,+'4. Customer Growth'!$I23,+IF($AQ$18='2. Customer Classes'!$B$18,+'4. Customer Growth'!$K23,+IF($AQ$18='2. Customer Classes'!$B$19,+'4. Customer Growth'!$M23,IF($AQ$18='2. Customer Classes'!$B$20,+'4. Customer Growth'!$O23,0)))))))</f>
        <v>0</v>
      </c>
      <c r="AW27" s="376">
        <f t="shared" si="21"/>
        <v>0</v>
      </c>
      <c r="AX27" s="379">
        <f t="shared" si="22"/>
        <v>0</v>
      </c>
      <c r="AY27" s="342">
        <f t="shared" si="23"/>
        <v>0</v>
      </c>
    </row>
    <row r="28" spans="2:51" ht="12.75" customHeight="1" x14ac:dyDescent="0.2">
      <c r="B28" s="190">
        <f>'4. Customer Growth'!B24</f>
        <v>2012</v>
      </c>
      <c r="C28" s="70">
        <f>IF($B$18='2. Customer Classes'!$B$14,+SUM('3. Consumption by Rate Class'!$D$109:$D$120),+IF($B$18='2. Customer Classes'!$B$15,+SUM('3. Consumption by Rate Class'!$F$109:$F$120),+IF($B$18='2. Customer Classes'!$B$16,+SUM('3. Consumption by Rate Class'!$H$109:$H$120),+IF($B$18='2. Customer Classes'!$B$17,+SUM('3. Consumption by Rate Class'!$J$109:$J$120),+IF($B$18='2. Customer Classes'!$B$18,+SUM('3. Consumption by Rate Class'!$L$109:$L$120),+IF($B$18='2. Customer Classes'!$B$19,+SUM('3. Consumption by Rate Class'!$O$109:$O$120),IF($B$18='2. Customer Classes'!$B$20,+SUM('3. Consumption by Rate Class'!$R$109:$R$120),0)))))))</f>
        <v>74516293.329999998</v>
      </c>
      <c r="D28" s="458"/>
      <c r="E28" s="70">
        <f t="shared" si="2"/>
        <v>74516293.329999998</v>
      </c>
      <c r="F28" s="70">
        <f>+IF($B$18='2. Customer Classes'!$B$18,+SUM('3. Consumption by Rate Class'!$M$109:$M$120),+IF($B$18='2. Customer Classes'!$B$19,+SUM('3. Consumption by Rate Class'!$P$109:$P$120),IF($B$18='2. Customer Classes'!$B$20,+SUM('3. Consumption by Rate Class'!$S$109:$S$120),0)))</f>
        <v>207916</v>
      </c>
      <c r="G28" s="70">
        <f>IF($B$18='2. Customer Classes'!$B$14,+'4. Customer Growth'!$C24,+IF($B$18='2. Customer Classes'!$B$15,+'4. Customer Growth'!$E24,+IF($B$18='2. Customer Classes'!$B$16,+'4. Customer Growth'!$G24,+IF($B$18='2. Customer Classes'!$B$17,+'4. Customer Growth'!$I24,+IF($B$18='2. Customer Classes'!$B$18,+'4. Customer Growth'!$K24,+IF($B$18='2. Customer Classes'!$B$19,+'4. Customer Growth'!$M24,IF($B$18='2. Customer Classes'!$B$20,+'4. Customer Growth'!$O24,0)))))))</f>
        <v>145</v>
      </c>
      <c r="H28" s="376">
        <f t="shared" si="3"/>
        <v>513905.47124137927</v>
      </c>
      <c r="I28" s="379">
        <f t="shared" si="4"/>
        <v>1433.903448275862</v>
      </c>
      <c r="J28" s="342">
        <f t="shared" si="5"/>
        <v>2.7902085665913517E-3</v>
      </c>
      <c r="K28" s="183"/>
      <c r="L28" s="183"/>
      <c r="M28" s="190">
        <f t="shared" si="0"/>
        <v>2012</v>
      </c>
      <c r="N28" s="70">
        <f>IF($M$18='2. Customer Classes'!$B$14,+SUM('3. Consumption by Rate Class'!$D$109:$D$120),+IF($M$18='2. Customer Classes'!$B$15,+SUM('3. Consumption by Rate Class'!$F$109:$F$120),+IF($M$18='2. Customer Classes'!$B$16,+SUM('3. Consumption by Rate Class'!$H$109:$H$120),+IF($M$18='2. Customer Classes'!$B$17,+SUM('3. Consumption by Rate Class'!$J$109:$J$120),+IF($M$18='2. Customer Classes'!$B$18,+SUM('3. Consumption by Rate Class'!$L$109:$L$120),+IF($M$18='2. Customer Classes'!$B$19,+SUM('3. Consumption by Rate Class'!$O$109:$O$120),IF($M$18='2. Customer Classes'!$B$20,+SUM('3. Consumption by Rate Class'!$R$109:$R$120),0)))))))</f>
        <v>2432689.94</v>
      </c>
      <c r="O28" s="458"/>
      <c r="P28" s="70">
        <f t="shared" si="6"/>
        <v>2432689.94</v>
      </c>
      <c r="Q28" s="225">
        <f>+IF($M$18='2. Customer Classes'!$B$18,+SUM('3. Consumption by Rate Class'!$M$109:$M$120),+IF($M$18='2. Customer Classes'!$B$19,+SUM('3. Consumption by Rate Class'!$P$109:$P$120),IF($M$18='2. Customer Classes'!$B$20,+SUM('3. Consumption by Rate Class'!$S$109:$S$120),0)))</f>
        <v>6768.3999999999987</v>
      </c>
      <c r="R28" s="225">
        <f>IF($M$18='2. Customer Classes'!$B$14,+'4. Customer Growth'!$C24,+IF($M$18='2. Customer Classes'!$B$15,+'4. Customer Growth'!$E24,+IF($M$18='2. Customer Classes'!$B$16,+'4. Customer Growth'!$G24,+IF($M$18='2. Customer Classes'!$B$17,+'4. Customer Growth'!$I24,+IF($M$18='2. Customer Classes'!$B$18,+'4. Customer Growth'!$K24,+IF($M$18='2. Customer Classes'!$B$19,+'4. Customer Growth'!$M24,IF($M$18='2. Customer Classes'!$B$20,+'4. Customer Growth'!$O24,0)))))))</f>
        <v>2774.5</v>
      </c>
      <c r="S28" s="376">
        <f t="shared" si="7"/>
        <v>876.80300594701748</v>
      </c>
      <c r="T28" s="379">
        <f t="shared" si="8"/>
        <v>2.4395026130834379</v>
      </c>
      <c r="U28" s="342">
        <f t="shared" si="9"/>
        <v>2.7822699016052982E-3</v>
      </c>
      <c r="V28" s="64"/>
      <c r="W28" s="190">
        <f t="shared" si="1"/>
        <v>2012</v>
      </c>
      <c r="X28" s="70">
        <f>IF($W$18='2. Customer Classes'!$B$14,+SUM('3. Consumption by Rate Class'!$D$109:$D$120),+IF($W$18='2. Customer Classes'!$B$15,+SUM('3. Consumption by Rate Class'!$F$109:$F$120),+IF($W$18='2. Customer Classes'!$B$16,+SUM('3. Consumption by Rate Class'!$H$109:$H$120),+IF($W$18='2. Customer Classes'!$B$17,+SUM('3. Consumption by Rate Class'!$J$109:$J$120),+IF($W$18='2. Customer Classes'!$B$18,+SUM('3. Consumption by Rate Class'!$L$109:$L$120),+IF($W$18='2. Customer Classes'!$B$19,+SUM('3. Consumption by Rate Class'!$O$109:$O$120),IF($W$18='2. Customer Classes'!$B$20,+SUM('3. Consumption by Rate Class'!$R$109:$R$120),0)))))))</f>
        <v>243747.31</v>
      </c>
      <c r="Y28" s="458"/>
      <c r="Z28" s="70">
        <f t="shared" si="10"/>
        <v>243747.31</v>
      </c>
      <c r="AA28" s="225">
        <f>+IF($W$18='2. Customer Classes'!$B$18,+SUM('3. Consumption by Rate Class'!$M$109:$M$120),+IF($W$18='2. Customer Classes'!$B$19,+SUM('3. Consumption by Rate Class'!$P$109:$P$120),IF($W$18='2. Customer Classes'!$B$20,+SUM('3. Consumption by Rate Class'!$S$109:$S$120),0)))</f>
        <v>713</v>
      </c>
      <c r="AB28" s="225">
        <f>IF($W$18='2. Customer Classes'!$B$14,+'4. Customer Growth'!$C24,+IF($W$18='2. Customer Classes'!$B$15,+'4. Customer Growth'!$E24,+IF($W$18='2. Customer Classes'!$B$16,+'4. Customer Growth'!$G24,+IF($W$18='2. Customer Classes'!$B$17,+'4. Customer Growth'!$I24,+IF($W$18='2. Customer Classes'!$B$18,+'4. Customer Growth'!$K24,+IF($W$18='2. Customer Classes'!$B$19,+'4. Customer Growth'!$M24,IF($W$18='2. Customer Classes'!$B$20,+'4. Customer Growth'!$O24,0)))))))</f>
        <v>208.5</v>
      </c>
      <c r="AC28" s="376">
        <f t="shared" si="11"/>
        <v>1169.0518465227817</v>
      </c>
      <c r="AD28" s="379">
        <f t="shared" si="12"/>
        <v>3.4196642685851319</v>
      </c>
      <c r="AE28" s="342">
        <f t="shared" si="13"/>
        <v>2.9251604868993221E-3</v>
      </c>
      <c r="AG28" s="357">
        <f t="shared" si="14"/>
        <v>2012</v>
      </c>
      <c r="AH28" s="70">
        <f>IF($AG$18='2. Customer Classes'!$B$14,+SUM('3. Consumption by Rate Class'!$D$109:$D$120),+IF($AG$18='2. Customer Classes'!$B$15,+SUM('3. Consumption by Rate Class'!$F$109:$F$120),+IF($AG$18='2. Customer Classes'!$B$16,+SUM('3. Consumption by Rate Class'!$H$109:$H$120),+IF($AG$18='2. Customer Classes'!$B$17,+SUM('3. Consumption by Rate Class'!$J$109:$J$120),+IF($AG$18='2. Customer Classes'!$B$18,+SUM('3. Consumption by Rate Class'!$L$109:$L$120),+IF($AG$18='2. Customer Classes'!$B$19,+SUM('3. Consumption by Rate Class'!$O$109:$O$120),IF($AG$18='2. Customer Classes'!$B$20,+SUM('3. Consumption by Rate Class'!$R$109:$R$120),IF($AG$18='2. Customer Classes'!$B$21,+SUM('3. Consumption by Rate Class'!$U$109:$U$120),0))))))))</f>
        <v>448159.09</v>
      </c>
      <c r="AI28" s="458"/>
      <c r="AJ28" s="70">
        <f t="shared" si="15"/>
        <v>448159.09</v>
      </c>
      <c r="AK28" s="540">
        <f>+IF($AG$18='2. Customer Classes'!$B$18,+SUM('3. Consumption by Rate Class'!$M$109:$M$120),+IF($AG$18='2. Customer Classes'!$B$19,+SUM('3. Consumption by Rate Class'!$P$109:$P$120),IF($AG$18='2. Customer Classes'!$B$20,+SUM('3. Consumption by Rate Class'!$S$109:$S$120),IF($AG$18='2. Customer Classes'!$B$21,+SUM('3. Consumption by Rate Class'!$V$109:$V$120),0))))</f>
        <v>0</v>
      </c>
      <c r="AL28" s="225">
        <f>IF($AG$18='2. Customer Classes'!$B$14,+'4. Customer Growth'!$C24,+IF($AG$18='2. Customer Classes'!$B$15,+'4. Customer Growth'!$E24,+IF($AG$18='2. Customer Classes'!$B$16,+'4. Customer Growth'!$G24,+IF($AG$18='2. Customer Classes'!$B$17,+'4. Customer Growth'!$I24,+IF($AG$18='2. Customer Classes'!$B$18,+'4. Customer Growth'!$K24,+IF($AG$18='2. Customer Classes'!$B$19,+'4. Customer Growth'!$M24,IF($AG$18='2. Customer Classes'!$B$20,+'4. Customer Growth'!$O24,IF($AG$18='2. Customer Classes'!$B$21,+'4. Customer Growth'!$Q24,0))))))))</f>
        <v>20</v>
      </c>
      <c r="AM28" s="376">
        <f t="shared" si="16"/>
        <v>22407.9545</v>
      </c>
      <c r="AN28" s="379">
        <f t="shared" si="17"/>
        <v>0</v>
      </c>
      <c r="AO28" s="342">
        <f t="shared" si="18"/>
        <v>0</v>
      </c>
      <c r="AQ28" s="357">
        <f t="shared" si="19"/>
        <v>2012</v>
      </c>
      <c r="AR28" s="70">
        <f>IF($AQ$18='2. Customer Classes'!$B$14,+SUM('3. Consumption by Rate Class'!$D$109:$D$120),+IF($AQ$18='2. Customer Classes'!$B$15,+SUM('3. Consumption by Rate Class'!$F$109:$F$120),+IF($AQ$18='2. Customer Classes'!$B$16,+SUM('3. Consumption by Rate Class'!$H$109:$H$120),+IF($AQ$18='2. Customer Classes'!$B$17,+SUM('3. Consumption by Rate Class'!$J$109:$J$120),+IF($AQ$18='2. Customer Classes'!$B$18,+SUM('3. Consumption by Rate Class'!$L$109:$L$120),+IF($AQ$18='2. Customer Classes'!$B$19,+SUM('3. Consumption by Rate Class'!$O$109:$O$120),IF($AQ$18='2. Customer Classes'!$B$20,+SUM('3. Consumption by Rate Class'!$R$109:$R$120),0)))))))</f>
        <v>0</v>
      </c>
      <c r="AS28" s="458"/>
      <c r="AT28" s="70">
        <f t="shared" si="20"/>
        <v>0</v>
      </c>
      <c r="AU28" s="225">
        <f>+IF($AQ$18='2. Customer Classes'!$B$18,+SUM('3. Consumption by Rate Class'!$M$109:$M$120),+IF($AQ$18='2. Customer Classes'!$B$19,+SUM('3. Consumption by Rate Class'!$P$109:$P$120),IF($AQ$18='2. Customer Classes'!$B$20,+SUM('3. Consumption by Rate Class'!$S$109:$S$120),0)))</f>
        <v>0</v>
      </c>
      <c r="AV28" s="225">
        <f>IF($AQ$18='2. Customer Classes'!$B$14,+'4. Customer Growth'!$C24,+IF($AQ$18='2. Customer Classes'!$B$15,+'4. Customer Growth'!$E24,+IF($AQ$18='2. Customer Classes'!$B$16,+'4. Customer Growth'!$G24,+IF($AQ$18='2. Customer Classes'!$B$17,+'4. Customer Growth'!$I24,+IF($AQ$18='2. Customer Classes'!$B$18,+'4. Customer Growth'!$K24,+IF($AQ$18='2. Customer Classes'!$B$19,+'4. Customer Growth'!$M24,IF($AQ$18='2. Customer Classes'!$B$20,+'4. Customer Growth'!$O24,0)))))))</f>
        <v>0</v>
      </c>
      <c r="AW28" s="376">
        <f t="shared" si="21"/>
        <v>0</v>
      </c>
      <c r="AX28" s="379">
        <f t="shared" si="22"/>
        <v>0</v>
      </c>
      <c r="AY28" s="342">
        <f t="shared" si="23"/>
        <v>0</v>
      </c>
    </row>
    <row r="29" spans="2:51" ht="12.75" customHeight="1" x14ac:dyDescent="0.2">
      <c r="B29" s="190">
        <f>'4. Customer Growth'!B25</f>
        <v>2013</v>
      </c>
      <c r="C29" s="70">
        <f>IF($B$18='2. Customer Classes'!$B$14,+SUM('3. Consumption by Rate Class'!$D$121:$D$132),+IF($B$18='2. Customer Classes'!$B$15,+SUM('3. Consumption by Rate Class'!$F$121:$F$132),+IF($B$18='2. Customer Classes'!$B$16,+SUM('3. Consumption by Rate Class'!$H$121:$H$132),+IF($B$18='2. Customer Classes'!$B$17,+SUM('3. Consumption by Rate Class'!$J$121:$J$132),+IF($B$18='2. Customer Classes'!$B$18,+SUM('3. Consumption by Rate Class'!$L$121:$L$132),+IF($B$18='2. Customer Classes'!$B$19,+SUM('3. Consumption by Rate Class'!$O$121:$O$132),IF($B$18='2. Customer Classes'!$B$20,+SUM('3. Consumption by Rate Class'!$R$121:$R$132),0)))))))</f>
        <v>73596923.409999996</v>
      </c>
      <c r="D29" s="458"/>
      <c r="E29" s="70">
        <f t="shared" si="2"/>
        <v>73596923.409999996</v>
      </c>
      <c r="F29" s="70">
        <f>+IF($B$18='2. Customer Classes'!$B$18,+SUM('3. Consumption by Rate Class'!$M$121:$M$132),+IF($B$18='2. Customer Classes'!$B$19,+SUM('3. Consumption by Rate Class'!$P$121:$P$132),IF($B$18='2. Customer Classes'!$B$20,+SUM('3. Consumption by Rate Class'!$S$121:$S$132),0)))</f>
        <v>216501</v>
      </c>
      <c r="G29" s="70">
        <f>IF($B$18='2. Customer Classes'!$B$14,+'4. Customer Growth'!$C25,+IF($B$18='2. Customer Classes'!$B$15,+'4. Customer Growth'!$E25,+IF($B$18='2. Customer Classes'!$B$16,+'4. Customer Growth'!$G25,+IF($B$18='2. Customer Classes'!$B$17,+'4. Customer Growth'!$I25,+IF($B$18='2. Customer Classes'!$B$18,+'4. Customer Growth'!$K25,+IF($B$18='2. Customer Classes'!$B$19,+'4. Customer Growth'!$M25,IF($B$18='2. Customer Classes'!$B$20,+'4. Customer Growth'!$O25,0)))))))</f>
        <v>145.5</v>
      </c>
      <c r="H29" s="376">
        <f t="shared" si="3"/>
        <v>505820.7794501718</v>
      </c>
      <c r="I29" s="379">
        <f t="shared" si="4"/>
        <v>1487.979381443299</v>
      </c>
      <c r="J29" s="342">
        <f t="shared" si="5"/>
        <v>2.9417126418980564E-3</v>
      </c>
      <c r="K29" s="183"/>
      <c r="L29" s="183"/>
      <c r="M29" s="190">
        <f t="shared" si="0"/>
        <v>2013</v>
      </c>
      <c r="N29" s="70">
        <f>IF($M$18='2. Customer Classes'!$B$14,+SUM('3. Consumption by Rate Class'!$D$121:$D$132),+IF($M$18='2. Customer Classes'!$B$15,+SUM('3. Consumption by Rate Class'!$F$121:$F$132),+IF($M$18='2. Customer Classes'!$B$16,+SUM('3. Consumption by Rate Class'!$H$121:$H$132),+IF($M$18='2. Customer Classes'!$B$17,+SUM('3. Consumption by Rate Class'!$J$121:$J$132),+IF($M$18='2. Customer Classes'!$B$18,+SUM('3. Consumption by Rate Class'!$L$121:$L$132),+IF($M$18='2. Customer Classes'!$B$19,+SUM('3. Consumption by Rate Class'!$O$121:$O$132),IF($M$18='2. Customer Classes'!$B$20,+SUM('3. Consumption by Rate Class'!$R$121:$R$132),0)))))))</f>
        <v>2424248.81</v>
      </c>
      <c r="O29" s="458"/>
      <c r="P29" s="70">
        <f t="shared" si="6"/>
        <v>2424248.81</v>
      </c>
      <c r="Q29" s="225">
        <f>+IF($M$18='2. Customer Classes'!$B$18,+SUM('3. Consumption by Rate Class'!$M$121:$M$132),+IF($M$18='2. Customer Classes'!$B$19,+SUM('3. Consumption by Rate Class'!$P$121:$P$132),IF($M$18='2. Customer Classes'!$B$20,+SUM('3. Consumption by Rate Class'!$S$121:$S$132),0)))</f>
        <v>6765.9000000000005</v>
      </c>
      <c r="R29" s="225">
        <f>IF($M$18='2. Customer Classes'!$B$14,+'4. Customer Growth'!$C25,+IF($M$18='2. Customer Classes'!$B$15,+'4. Customer Growth'!$E25,+IF($M$18='2. Customer Classes'!$B$16,+'4. Customer Growth'!$G25,+IF($M$18='2. Customer Classes'!$B$17,+'4. Customer Growth'!$I25,+IF($M$18='2. Customer Classes'!$B$18,+'4. Customer Growth'!$K25,+IF($M$18='2. Customer Classes'!$B$19,+'4. Customer Growth'!$M25,IF($M$18='2. Customer Classes'!$B$20,+'4. Customer Growth'!$O25,0)))))))</f>
        <v>2787</v>
      </c>
      <c r="S29" s="376">
        <f t="shared" si="7"/>
        <v>869.84169716541089</v>
      </c>
      <c r="T29" s="379">
        <f t="shared" si="8"/>
        <v>2.4276641550053824</v>
      </c>
      <c r="U29" s="342">
        <f t="shared" si="9"/>
        <v>2.7909263983510011E-3</v>
      </c>
      <c r="V29" s="64"/>
      <c r="W29" s="190">
        <f t="shared" si="1"/>
        <v>2013</v>
      </c>
      <c r="X29" s="70">
        <f>IF($W$18='2. Customer Classes'!$B$14,+SUM('3. Consumption by Rate Class'!$D$121:$D$132),+IF($W$18='2. Customer Classes'!$B$15,+SUM('3. Consumption by Rate Class'!$F$121:$F$132),+IF($W$18='2. Customer Classes'!$B$16,+SUM('3. Consumption by Rate Class'!$H$121:$H$132),+IF($W$18='2. Customer Classes'!$B$17,+SUM('3. Consumption by Rate Class'!$J$121:$J$132),+IF($W$18='2. Customer Classes'!$B$18,+SUM('3. Consumption by Rate Class'!$L$121:$L$132),+IF($W$18='2. Customer Classes'!$B$19,+SUM('3. Consumption by Rate Class'!$O$121:$O$132),IF($W$18='2. Customer Classes'!$B$20,+SUM('3. Consumption by Rate Class'!$R$121:$R$132),0)))))))</f>
        <v>270899.02</v>
      </c>
      <c r="Y29" s="458"/>
      <c r="Z29" s="70">
        <f t="shared" si="10"/>
        <v>270899.02</v>
      </c>
      <c r="AA29" s="225">
        <f>+IF($W$18='2. Customer Classes'!$B$18,+SUM('3. Consumption by Rate Class'!$M$121:$M$132),+IF($W$18='2. Customer Classes'!$B$19,+SUM('3. Consumption by Rate Class'!$P$121:$P$132),IF($W$18='2. Customer Classes'!$B$20,+SUM('3. Consumption by Rate Class'!$S$121:$S$132),0)))</f>
        <v>700</v>
      </c>
      <c r="AB29" s="225">
        <f>IF($W$18='2. Customer Classes'!$B$14,+'4. Customer Growth'!$C25,+IF($W$18='2. Customer Classes'!$B$15,+'4. Customer Growth'!$E25,+IF($W$18='2. Customer Classes'!$B$16,+'4. Customer Growth'!$G25,+IF($W$18='2. Customer Classes'!$B$17,+'4. Customer Growth'!$I25,+IF($W$18='2. Customer Classes'!$B$18,+'4. Customer Growth'!$K25,+IF($W$18='2. Customer Classes'!$B$19,+'4. Customer Growth'!$M25,IF($W$18='2. Customer Classes'!$B$20,+'4. Customer Growth'!$O25,0)))))))</f>
        <v>206.5</v>
      </c>
      <c r="AC29" s="376">
        <f t="shared" si="11"/>
        <v>1311.8596610169493</v>
      </c>
      <c r="AD29" s="379">
        <f t="shared" si="12"/>
        <v>3.3898305084745761</v>
      </c>
      <c r="AE29" s="342">
        <f t="shared" si="13"/>
        <v>2.5839886759280264E-3</v>
      </c>
      <c r="AG29" s="357">
        <f t="shared" si="14"/>
        <v>2013</v>
      </c>
      <c r="AH29" s="70">
        <f>IF($AG$18='2. Customer Classes'!$B$14,+SUM('3. Consumption by Rate Class'!$D$121:$D$132),+IF($AG$18='2. Customer Classes'!$B$15,+SUM('3. Consumption by Rate Class'!$F$121:$F$132),+IF($AG$18='2. Customer Classes'!$B$16,+SUM('3. Consumption by Rate Class'!$H$121:$H$132),+IF($AG$18='2. Customer Classes'!$B$17,+SUM('3. Consumption by Rate Class'!$J$121:$J$132),+IF($AG$18='2. Customer Classes'!$B$18,+SUM('3. Consumption by Rate Class'!$L$121:$L$132),+IF($AG$18='2. Customer Classes'!$B$19,+SUM('3. Consumption by Rate Class'!$O$121:$O$132),IF($AG$18='2. Customer Classes'!$B$20,+SUM('3. Consumption by Rate Class'!$R$121:$R$132),IF($AG$18='2. Customer Classes'!$B$21,+SUM('3. Consumption by Rate Class'!$U$121:$U$132),0))))))))</f>
        <v>453470.7</v>
      </c>
      <c r="AI29" s="458"/>
      <c r="AJ29" s="70">
        <f t="shared" si="15"/>
        <v>453470.7</v>
      </c>
      <c r="AK29" s="225">
        <f>+IF($AG$18='2. Customer Classes'!$B$18,+SUM('3. Consumption by Rate Class'!$M$121:$M$132),+IF($AG$18='2. Customer Classes'!$B$19,+SUM('3. Consumption by Rate Class'!$P$121:$P$132),IF($AG$18='2. Customer Classes'!$B$20,+SUM('3. Consumption by Rate Class'!$S$121:$S$132),IF($AG$18='2. Customer Classes'!$B$21,+SUM('3. Consumption by Rate Class'!$V$121:$V$132),0))))</f>
        <v>0</v>
      </c>
      <c r="AL29" s="225">
        <f>IF($AG$18='2. Customer Classes'!$B$14,+'4. Customer Growth'!$C25,+IF($AG$18='2. Customer Classes'!$B$15,+'4. Customer Growth'!$E25,+IF($AG$18='2. Customer Classes'!$B$16,+'4. Customer Growth'!$G25,+IF($AG$18='2. Customer Classes'!$B$17,+'4. Customer Growth'!$I25,+IF($AG$18='2. Customer Classes'!$B$18,+'4. Customer Growth'!$K25,+IF($AG$18='2. Customer Classes'!$B$19,+'4. Customer Growth'!$M25,IF($AG$18='2. Customer Classes'!$B$20,+'4. Customer Growth'!$O25,IF($AG$18='2. Customer Classes'!$B$21,+'4. Customer Growth'!$Q25,0))))))))</f>
        <v>20</v>
      </c>
      <c r="AM29" s="376">
        <f t="shared" si="16"/>
        <v>22673.535</v>
      </c>
      <c r="AN29" s="379">
        <f t="shared" si="17"/>
        <v>0</v>
      </c>
      <c r="AO29" s="342">
        <f t="shared" si="18"/>
        <v>0</v>
      </c>
      <c r="AQ29" s="357">
        <f t="shared" si="19"/>
        <v>2013</v>
      </c>
      <c r="AR29" s="70">
        <f>IF($AQ$18='2. Customer Classes'!$B$14,+SUM('3. Consumption by Rate Class'!$D$121:$D$132),+IF($AQ$18='2. Customer Classes'!$B$15,+SUM('3. Consumption by Rate Class'!$F$121:$F$132),+IF($AQ$18='2. Customer Classes'!$B$16,+SUM('3. Consumption by Rate Class'!$H$121:$H$132),+IF($AQ$18='2. Customer Classes'!$B$17,+SUM('3. Consumption by Rate Class'!$J$121:$J$132),+IF($AQ$18='2. Customer Classes'!$B$18,+SUM('3. Consumption by Rate Class'!$L$121:$L$132),+IF($AQ$18='2. Customer Classes'!$B$19,+SUM('3. Consumption by Rate Class'!$O$121:$O$132),IF($AQ$18='2. Customer Classes'!$B$20,+SUM('3. Consumption by Rate Class'!$R$121:$R$132),0)))))))</f>
        <v>0</v>
      </c>
      <c r="AS29" s="458"/>
      <c r="AT29" s="70">
        <f t="shared" si="20"/>
        <v>0</v>
      </c>
      <c r="AU29" s="225">
        <f>+IF($AQ$18='2. Customer Classes'!$B$18,+SUM('3. Consumption by Rate Class'!$M$121:$M$132),+IF($AQ$18='2. Customer Classes'!$B$19,+SUM('3. Consumption by Rate Class'!$P$121:$P$132),IF($AQ$18='2. Customer Classes'!$B$20,+SUM('3. Consumption by Rate Class'!$S$121:$S$132),0)))</f>
        <v>0</v>
      </c>
      <c r="AV29" s="225">
        <f>IF($AQ$18='2. Customer Classes'!$B$14,+'4. Customer Growth'!$C25,+IF($AQ$18='2. Customer Classes'!$B$15,+'4. Customer Growth'!$E25,+IF($AQ$18='2. Customer Classes'!$B$16,+'4. Customer Growth'!$G25,+IF($AQ$18='2. Customer Classes'!$B$17,+'4. Customer Growth'!$I25,+IF($AQ$18='2. Customer Classes'!$B$18,+'4. Customer Growth'!$K25,+IF($AQ$18='2. Customer Classes'!$B$19,+'4. Customer Growth'!$M25,IF($AQ$18='2. Customer Classes'!$B$20,+'4. Customer Growth'!$O25,0)))))))</f>
        <v>0</v>
      </c>
      <c r="AW29" s="376">
        <f t="shared" si="21"/>
        <v>0</v>
      </c>
      <c r="AX29" s="379">
        <f t="shared" si="22"/>
        <v>0</v>
      </c>
      <c r="AY29" s="342">
        <f t="shared" si="23"/>
        <v>0</v>
      </c>
    </row>
    <row r="30" spans="2:51" ht="12.75" customHeight="1" x14ac:dyDescent="0.2">
      <c r="B30" s="190">
        <f>'4. Customer Growth'!B26</f>
        <v>2014</v>
      </c>
      <c r="C30" s="70">
        <f>IF($B$18='2. Customer Classes'!$B$14,+SUM('3. Consumption by Rate Class'!$D$133:$D$144),+IF($B$18='2. Customer Classes'!$B$15,+SUM('3. Consumption by Rate Class'!$F$133:$F$144),+IF($B$18='2. Customer Classes'!$B$16,+SUM('3. Consumption by Rate Class'!$H$133:$H$144),+IF($B$18='2. Customer Classes'!$B$17,+SUM('3. Consumption by Rate Class'!$J$133:$J$144),+IF($B$18='2. Customer Classes'!$B$18,+SUM('3. Consumption by Rate Class'!$L$133:$L$144),+IF($B$18='2. Customer Classes'!$B$19,+SUM('3. Consumption by Rate Class'!$O$133:$O$144),IF($B$18='2. Customer Classes'!$B$20,+SUM('3. Consumption by Rate Class'!$R$133:$R$144),0)))))))</f>
        <v>72512848.979999989</v>
      </c>
      <c r="D30" s="458"/>
      <c r="E30" s="70">
        <f t="shared" si="2"/>
        <v>72512848.979999989</v>
      </c>
      <c r="F30" s="70">
        <f>+IF($B$18='2. Customer Classes'!$B$18,+SUM('3. Consumption by Rate Class'!$M$133:$M$144),+IF($B$18='2. Customer Classes'!$B$19,+SUM('3. Consumption by Rate Class'!$P$133:$P$144),IF($B$18='2. Customer Classes'!$B$20,+SUM('3. Consumption by Rate Class'!$S$133:$S$144),0)))</f>
        <v>206399</v>
      </c>
      <c r="G30" s="70">
        <f>IF($B$18='2. Customer Classes'!$B$14,+'4. Customer Growth'!$C26,+IF($B$18='2. Customer Classes'!$B$15,+'4. Customer Growth'!$E26,+IF($B$18='2. Customer Classes'!$B$16,+'4. Customer Growth'!$G26,+IF($B$18='2. Customer Classes'!$B$17,+'4. Customer Growth'!$I26,+IF($B$18='2. Customer Classes'!$B$18,+'4. Customer Growth'!$K26,+IF($B$18='2. Customer Classes'!$B$19,+'4. Customer Growth'!$M26,IF($B$18='2. Customer Classes'!$B$20,+'4. Customer Growth'!$O26,0)))))))</f>
        <v>146.5</v>
      </c>
      <c r="H30" s="376">
        <f t="shared" si="3"/>
        <v>494968.25242320809</v>
      </c>
      <c r="I30" s="379">
        <f t="shared" si="4"/>
        <v>1408.8668941979522</v>
      </c>
      <c r="J30" s="342">
        <f t="shared" si="5"/>
        <v>2.8463783026498875E-3</v>
      </c>
      <c r="K30" s="183"/>
      <c r="L30" s="183"/>
      <c r="M30" s="190">
        <f t="shared" si="0"/>
        <v>2014</v>
      </c>
      <c r="N30" s="70">
        <f>IF($M$18='2. Customer Classes'!$B$14,+SUM('3. Consumption by Rate Class'!$D$133:$D$144),+IF($M$18='2. Customer Classes'!$B$15,+SUM('3. Consumption by Rate Class'!$F$133:$F$144),+IF($M$18='2. Customer Classes'!$B$16,+SUM('3. Consumption by Rate Class'!$H$133:$H$144),+IF($M$18='2. Customer Classes'!$B$17,+SUM('3. Consumption by Rate Class'!$J$133:$J$144),+IF($M$18='2. Customer Classes'!$B$18,+SUM('3. Consumption by Rate Class'!$L$133:$L$144),+IF($M$18='2. Customer Classes'!$B$19,+SUM('3. Consumption by Rate Class'!$O$133:$O$144),IF($M$18='2. Customer Classes'!$B$20,+SUM('3. Consumption by Rate Class'!$R$133:$R$144),0)))))))</f>
        <v>2439791.5699999998</v>
      </c>
      <c r="O30" s="458"/>
      <c r="P30" s="70">
        <f t="shared" si="6"/>
        <v>2439791.5699999998</v>
      </c>
      <c r="Q30" s="225">
        <f>+IF($M$18='2. Customer Classes'!$B$18,+SUM('3. Consumption by Rate Class'!$M$133:$M$144),+IF($M$18='2. Customer Classes'!$B$19,+SUM('3. Consumption by Rate Class'!$P$133:$P$144),IF($M$18='2. Customer Classes'!$B$20,+SUM('3. Consumption by Rate Class'!$S$133:$S$144),0)))</f>
        <v>6769.9599999999991</v>
      </c>
      <c r="R30" s="225">
        <f>IF($M$18='2. Customer Classes'!$B$14,+'4. Customer Growth'!$C26,+IF($M$18='2. Customer Classes'!$B$15,+'4. Customer Growth'!$E26,+IF($M$18='2. Customer Classes'!$B$16,+'4. Customer Growth'!$G26,+IF($M$18='2. Customer Classes'!$B$17,+'4. Customer Growth'!$I26,+IF($M$18='2. Customer Classes'!$B$18,+'4. Customer Growth'!$K26,+IF($M$18='2. Customer Classes'!$B$19,+'4. Customer Growth'!$M26,IF($M$18='2. Customer Classes'!$B$20,+'4. Customer Growth'!$O26,0)))))))</f>
        <v>2802.5</v>
      </c>
      <c r="S30" s="376">
        <f t="shared" si="7"/>
        <v>870.57683140053518</v>
      </c>
      <c r="T30" s="379">
        <f t="shared" si="8"/>
        <v>2.4156859946476357</v>
      </c>
      <c r="U30" s="342">
        <f t="shared" si="9"/>
        <v>2.7748108007439338E-3</v>
      </c>
      <c r="V30" s="64"/>
      <c r="W30" s="190">
        <f t="shared" si="1"/>
        <v>2014</v>
      </c>
      <c r="X30" s="70">
        <f>IF($W$18='2. Customer Classes'!$B$14,+SUM('3. Consumption by Rate Class'!$D$133:$D$144),+IF($W$18='2. Customer Classes'!$B$15,+SUM('3. Consumption by Rate Class'!$F$133:$F$144),+IF($W$18='2. Customer Classes'!$B$16,+SUM('3. Consumption by Rate Class'!$H$133:$H$144),+IF($W$18='2. Customer Classes'!$B$17,+SUM('3. Consumption by Rate Class'!$J$133:$J$144),+IF($W$18='2. Customer Classes'!$B$18,+SUM('3. Consumption by Rate Class'!$L$133:$L$144),+IF($W$18='2. Customer Classes'!$B$19,+SUM('3. Consumption by Rate Class'!$O$133:$O$144),IF($W$18='2. Customer Classes'!$B$20,+SUM('3. Consumption by Rate Class'!$R$133:$R$144),0)))))))</f>
        <v>245570.47</v>
      </c>
      <c r="Y30" s="458"/>
      <c r="Z30" s="70">
        <f t="shared" si="10"/>
        <v>245570.47</v>
      </c>
      <c r="AA30" s="225">
        <f>+IF($W$18='2. Customer Classes'!$B$18,+SUM('3. Consumption by Rate Class'!$M$133:$M$144),+IF($W$18='2. Customer Classes'!$B$19,+SUM('3. Consumption by Rate Class'!$P$133:$P$144),IF($W$18='2. Customer Classes'!$B$20,+SUM('3. Consumption by Rate Class'!$S$133:$S$144),0)))</f>
        <v>683.5</v>
      </c>
      <c r="AB30" s="225">
        <f>IF($W$18='2. Customer Classes'!$B$14,+'4. Customer Growth'!$C26,+IF($W$18='2. Customer Classes'!$B$15,+'4. Customer Growth'!$E26,+IF($W$18='2. Customer Classes'!$B$16,+'4. Customer Growth'!$G26,+IF($W$18='2. Customer Classes'!$B$17,+'4. Customer Growth'!$I26,+IF($W$18='2. Customer Classes'!$B$18,+'4. Customer Growth'!$K26,+IF($W$18='2. Customer Classes'!$B$19,+'4. Customer Growth'!$M26,IF($W$18='2. Customer Classes'!$B$20,+'4. Customer Growth'!$O26,0)))))))</f>
        <v>204</v>
      </c>
      <c r="AC30" s="376">
        <f t="shared" si="11"/>
        <v>1203.7768137254902</v>
      </c>
      <c r="AD30" s="379">
        <f t="shared" si="12"/>
        <v>3.3504901960784315</v>
      </c>
      <c r="AE30" s="342">
        <f t="shared" si="13"/>
        <v>2.7833151111369375E-3</v>
      </c>
      <c r="AG30" s="357">
        <f t="shared" si="14"/>
        <v>2014</v>
      </c>
      <c r="AH30" s="70">
        <f>IF($AG$18='2. Customer Classes'!$B$14,+SUM('3. Consumption by Rate Class'!$D$133:$D$144),+IF($AG$18='2. Customer Classes'!$B$15,+SUM('3. Consumption by Rate Class'!$F$133:$F$144),+IF($AG$18='2. Customer Classes'!$B$16,+SUM('3. Consumption by Rate Class'!$H$133:$H$144),+IF($AG$18='2. Customer Classes'!$B$17,+SUM('3. Consumption by Rate Class'!$J$133:$J$144),+IF($AG$18='2. Customer Classes'!$B$18,+SUM('3. Consumption by Rate Class'!$L$133:$L$144),+IF($AG$18='2. Customer Classes'!$B$19,+SUM('3. Consumption by Rate Class'!$O$133:$O$144),IF($AG$18='2. Customer Classes'!$B$20,+SUM('3. Consumption by Rate Class'!$R$133:$R$144),IF($AG$18='2. Customer Classes'!$B$21,+SUM('3. Consumption by Rate Class'!$U$133:$U$144),0))))))))</f>
        <v>454406.25</v>
      </c>
      <c r="AI30" s="458"/>
      <c r="AJ30" s="70">
        <f t="shared" si="15"/>
        <v>454406.25</v>
      </c>
      <c r="AK30" s="225">
        <f>+IF($AG$18='2. Customer Classes'!$B$18,+SUM('3. Consumption by Rate Class'!$M$133:$M$144),+IF($AG$18='2. Customer Classes'!$B$19,+SUM('3. Consumption by Rate Class'!$P$133:$P$144),IF($AG$18='2. Customer Classes'!$B$20,+SUM('3. Consumption by Rate Class'!$S$133:$S$144),IF($AG$18='2. Customer Classes'!$B$21,+SUM('3. Consumption by Rate Class'!$V$133:$V$144),0))))</f>
        <v>0</v>
      </c>
      <c r="AL30" s="225">
        <f>IF($AG$18='2. Customer Classes'!$B$14,+'4. Customer Growth'!$C26,+IF($AG$18='2. Customer Classes'!$B$15,+'4. Customer Growth'!$E26,+IF($AG$18='2. Customer Classes'!$B$16,+'4. Customer Growth'!$G26,+IF($AG$18='2. Customer Classes'!$B$17,+'4. Customer Growth'!$I26,+IF($AG$18='2. Customer Classes'!$B$18,+'4. Customer Growth'!$K26,+IF($AG$18='2. Customer Classes'!$B$19,+'4. Customer Growth'!$M26,IF($AG$18='2. Customer Classes'!$B$20,+'4. Customer Growth'!$O26,IF($AG$18='2. Customer Classes'!$B$21,+'4. Customer Growth'!$Q26,0))))))))</f>
        <v>20</v>
      </c>
      <c r="AM30" s="376">
        <f t="shared" si="16"/>
        <v>22720.3125</v>
      </c>
      <c r="AN30" s="379">
        <f t="shared" si="17"/>
        <v>0</v>
      </c>
      <c r="AO30" s="342">
        <f t="shared" si="18"/>
        <v>0</v>
      </c>
      <c r="AQ30" s="357">
        <f t="shared" si="19"/>
        <v>2014</v>
      </c>
      <c r="AR30" s="70">
        <f>IF($AQ$18='2. Customer Classes'!$B$14,+SUM('3. Consumption by Rate Class'!$D$133:$D$144),+IF($AQ$18='2. Customer Classes'!$B$15,+SUM('3. Consumption by Rate Class'!$F$133:$F$144),+IF($AQ$18='2. Customer Classes'!$B$16,+SUM('3. Consumption by Rate Class'!$H$133:$H$144),+IF($AQ$18='2. Customer Classes'!$B$17,+SUM('3. Consumption by Rate Class'!$J$133:$J$144),+IF($AQ$18='2. Customer Classes'!$B$18,+SUM('3. Consumption by Rate Class'!$L$133:$L$144),+IF($AQ$18='2. Customer Classes'!$B$19,+SUM('3. Consumption by Rate Class'!$O$133:$O$144),IF($AQ$18='2. Customer Classes'!$B$20,+SUM('3. Consumption by Rate Class'!$R$133:$R$144),0)))))))</f>
        <v>0</v>
      </c>
      <c r="AS30" s="458"/>
      <c r="AT30" s="70">
        <f t="shared" si="20"/>
        <v>0</v>
      </c>
      <c r="AU30" s="225">
        <f>+IF($AQ$18='2. Customer Classes'!$B$18,+SUM('3. Consumption by Rate Class'!$M$133:$M$144),+IF($AQ$18='2. Customer Classes'!$B$19,+SUM('3. Consumption by Rate Class'!$P$133:$P$144),IF($AQ$18='2. Customer Classes'!$B$20,+SUM('3. Consumption by Rate Class'!$S$133:$S$144),0)))</f>
        <v>0</v>
      </c>
      <c r="AV30" s="225">
        <f>IF($AQ$18='2. Customer Classes'!$B$14,+'4. Customer Growth'!$C26,+IF($AQ$18='2. Customer Classes'!$B$15,+'4. Customer Growth'!$E26,+IF($AQ$18='2. Customer Classes'!$B$16,+'4. Customer Growth'!$G26,+IF($AQ$18='2. Customer Classes'!$B$17,+'4. Customer Growth'!$I26,+IF($AQ$18='2. Customer Classes'!$B$18,+'4. Customer Growth'!$K26,+IF($AQ$18='2. Customer Classes'!$B$19,+'4. Customer Growth'!$M26,IF($AQ$18='2. Customer Classes'!$B$20,+'4. Customer Growth'!$O26,0)))))))</f>
        <v>0</v>
      </c>
      <c r="AW30" s="376">
        <f t="shared" si="21"/>
        <v>0</v>
      </c>
      <c r="AX30" s="379">
        <f t="shared" si="22"/>
        <v>0</v>
      </c>
      <c r="AY30" s="342">
        <f t="shared" si="23"/>
        <v>0</v>
      </c>
    </row>
    <row r="31" spans="2:51" ht="12.75" customHeight="1" x14ac:dyDescent="0.2">
      <c r="B31" s="190" t="str">
        <f>'4. Customer Growth'!B30</f>
        <v>2015</v>
      </c>
      <c r="C31" s="306">
        <f>+C30/'6. WS Regression Analysis'!$S$139*'6. WS Regression Analysis'!$S$151</f>
        <v>72294221.463539079</v>
      </c>
      <c r="D31" s="458"/>
      <c r="E31" s="70">
        <f t="shared" si="2"/>
        <v>72294221.463539079</v>
      </c>
      <c r="F31" s="283">
        <f>+E31*J34</f>
        <v>198903.90576628249</v>
      </c>
      <c r="G31" s="225">
        <f>IF($B$18='2. Customer Classes'!$B$14,+'4. Customer Growth'!$C42,+IF($B$18='2. Customer Classes'!$B$15,+'4. Customer Growth'!$E42,+IF($B$18='2. Customer Classes'!$B$16,+'4. Customer Growth'!$G42,+IF($B$18='2. Customer Classes'!$B$17,+'4. Customer Growth'!$I42,+IF($B$18='2. Customer Classes'!$B$18,+'4. Customer Growth'!$K42,+IF($B$18='2. Customer Classes'!$B$19,+'4. Customer Growth'!$M42,IF($B$18='2. Customer Classes'!$B$20,+'4. Customer Growth'!$O42,0)))))))</f>
        <v>146</v>
      </c>
      <c r="H31" s="376">
        <f t="shared" si="3"/>
        <v>495165.90043519915</v>
      </c>
      <c r="I31" s="379">
        <f t="shared" si="4"/>
        <v>1362.3555189471404</v>
      </c>
      <c r="J31" s="377"/>
      <c r="K31" s="80"/>
      <c r="L31" s="80"/>
      <c r="M31" s="190" t="str">
        <f t="shared" si="0"/>
        <v>2015</v>
      </c>
      <c r="N31" s="306">
        <f>+N30/'6. WS Regression Analysis'!$S$139*'6. WS Regression Analysis'!$S$151</f>
        <v>2432435.555457274</v>
      </c>
      <c r="O31" s="458"/>
      <c r="P31" s="499">
        <f t="shared" si="6"/>
        <v>2432435.555457274</v>
      </c>
      <c r="Q31" s="283">
        <f>P31*$U$34</f>
        <v>6772.1454156893096</v>
      </c>
      <c r="R31" s="225">
        <f>IF($M$18='2. Customer Classes'!$B$14,+'4. Customer Growth'!$C42,+IF($M$18='2. Customer Classes'!$B$15,+'4. Customer Growth'!$E42,+IF($M$18='2. Customer Classes'!$B$16,+'4. Customer Growth'!$G42,+IF($M$18='2. Customer Classes'!$B$17,+'4. Customer Growth'!$I42,+IF($M$18='2. Customer Classes'!$B$18,+'4. Customer Growth'!$K42,+IF($M$18='2. Customer Classes'!$B$19,+'4. Customer Growth'!$M42,IF($M$18='2. Customer Classes'!$B$20,+'4. Customer Growth'!$O42,0)))))))</f>
        <v>2825.4692256082153</v>
      </c>
      <c r="S31" s="376">
        <f t="shared" si="7"/>
        <v>860.89614192618353</v>
      </c>
      <c r="T31" s="379">
        <f t="shared" si="8"/>
        <v>2.3968215099676149</v>
      </c>
      <c r="U31" s="85"/>
      <c r="V31" s="64"/>
      <c r="W31" s="190" t="str">
        <f t="shared" si="1"/>
        <v>2015</v>
      </c>
      <c r="X31" s="306">
        <f>+X30/'6. WS Regression Analysis'!$S$139*'6. WS Regression Analysis'!$S$151</f>
        <v>244830.07070901303</v>
      </c>
      <c r="Y31" s="458"/>
      <c r="Z31" s="70">
        <f t="shared" si="10"/>
        <v>244830.07070901303</v>
      </c>
      <c r="AA31" s="283">
        <f>Z31*$AE$34</f>
        <v>697.66573773827554</v>
      </c>
      <c r="AB31" s="225">
        <f>IF($W$18='2. Customer Classes'!$B$14,+'4. Customer Growth'!$C42,+IF($W$18='2. Customer Classes'!$B$15,+'4. Customer Growth'!$E42,+IF($W$18='2. Customer Classes'!$B$16,+'4. Customer Growth'!$G42,+IF($W$18='2. Customer Classes'!$B$17,+'4. Customer Growth'!$I42,+IF($W$18='2. Customer Classes'!$B$18,+'4. Customer Growth'!$K42,+IF($W$18='2. Customer Classes'!$B$19,+'4. Customer Growth'!$M42,IF($W$18='2. Customer Classes'!$B$20,+'4. Customer Growth'!$O42,0)))))))</f>
        <v>199.44261639611278</v>
      </c>
      <c r="AC31" s="376">
        <f t="shared" si="11"/>
        <v>1227.5714946636895</v>
      </c>
      <c r="AD31" s="379">
        <f t="shared" si="12"/>
        <v>3.4980775440322258</v>
      </c>
      <c r="AE31" s="85"/>
      <c r="AG31" s="357" t="str">
        <f t="shared" si="14"/>
        <v>2015</v>
      </c>
      <c r="AH31" s="306">
        <f>+AH30/'6. WS Regression Analysis'!$S$139*'6. WS Regression Analysis'!$S$151</f>
        <v>453036.20715519035</v>
      </c>
      <c r="AI31" s="458"/>
      <c r="AJ31" s="499">
        <f t="shared" si="15"/>
        <v>453036.20715519035</v>
      </c>
      <c r="AK31" s="306">
        <f>AJ31*$AO$34</f>
        <v>0</v>
      </c>
      <c r="AL31" s="225">
        <f>IF($AG$18='2. Customer Classes'!$B$14,+'4. Customer Growth'!$C42,+IF($AG$18='2. Customer Classes'!$B$15,+'4. Customer Growth'!$E42,+IF($AG$18='2. Customer Classes'!$B$16,+'4. Customer Growth'!$G42,+IF($AG$18='2. Customer Classes'!$B$17,+'4. Customer Growth'!$I42,+IF($AG$18='2. Customer Classes'!$B$18,+'4. Customer Growth'!$K42,+IF($AG$18='2. Customer Classes'!$B$19,+'4. Customer Growth'!$M42,IF($AG$18='2. Customer Classes'!$B$20,+'4. Customer Growth'!$O42,IF($AG$18='2. Customer Classes'!$B$21,+'4. Customer Growth'!$Q42,0))))))))</f>
        <v>20</v>
      </c>
      <c r="AM31" s="376">
        <f t="shared" si="16"/>
        <v>22651.810357759518</v>
      </c>
      <c r="AN31" s="379">
        <f t="shared" si="17"/>
        <v>0</v>
      </c>
      <c r="AO31" s="85"/>
      <c r="AQ31" s="357" t="str">
        <f t="shared" si="19"/>
        <v>2015</v>
      </c>
      <c r="AR31" s="306">
        <f>+AR30/'6. WS Regression Analysis'!$S$139*'6. WS Regression Analysis'!$S$151</f>
        <v>0</v>
      </c>
      <c r="AS31" s="458"/>
      <c r="AT31" s="499">
        <f t="shared" si="20"/>
        <v>0</v>
      </c>
      <c r="AU31" s="306">
        <f>AT31*$AY$34</f>
        <v>0</v>
      </c>
      <c r="AV31" s="225">
        <f>IF($AQ$18='2. Customer Classes'!$B$14,+'4. Customer Growth'!$C42,+IF($AQ$18='2. Customer Classes'!$B$15,+'4. Customer Growth'!$E42,+IF($AQ$18='2. Customer Classes'!$B$16,+'4. Customer Growth'!$G42,+IF($AQ$18='2. Customer Classes'!$B$17,+'4. Customer Growth'!$I42,+IF($AQ$18='2. Customer Classes'!$B$18,+'4. Customer Growth'!$K42,+IF($AQ$18='2. Customer Classes'!$B$19,+'4. Customer Growth'!$M42,IF($AQ$18='2. Customer Classes'!$B$20,+'4. Customer Growth'!$O42,0)))))))</f>
        <v>0</v>
      </c>
      <c r="AW31" s="376">
        <f t="shared" si="21"/>
        <v>0</v>
      </c>
      <c r="AX31" s="379">
        <f t="shared" si="22"/>
        <v>0</v>
      </c>
      <c r="AY31" s="85"/>
    </row>
    <row r="32" spans="2:51" x14ac:dyDescent="0.2">
      <c r="B32" s="190" t="str">
        <f>'4. Customer Growth'!B31</f>
        <v>2016</v>
      </c>
      <c r="C32" s="306">
        <f>+C30/'6. WS Regression Analysis'!$S$139*'6. WS Regression Analysis'!$S$163</f>
        <v>72157389.865685463</v>
      </c>
      <c r="D32" s="458"/>
      <c r="E32" s="70">
        <f t="shared" si="2"/>
        <v>72157389.865685463</v>
      </c>
      <c r="F32" s="283">
        <f>+E32*J34</f>
        <v>198527.4394499663</v>
      </c>
      <c r="G32" s="225">
        <f>IF($B$18='2. Customer Classes'!$B$14,+'4. Customer Growth'!$C43,+IF($B$18='2. Customer Classes'!$B$15,+'4. Customer Growth'!$E43,+IF($B$18='2. Customer Classes'!$B$16,+'4. Customer Growth'!$G43,+IF($B$18='2. Customer Classes'!$B$17,+'4. Customer Growth'!$I43,+IF($B$18='2. Customer Classes'!$B$18,+'4. Customer Growth'!$K43,+IF($B$18='2. Customer Classes'!$B$19,+'4. Customer Growth'!$M43,IF($B$18='2. Customer Classes'!$B$20,+'4. Customer Growth'!$O43,0)))))))</f>
        <v>148</v>
      </c>
      <c r="H32" s="376">
        <f t="shared" si="3"/>
        <v>487549.93152490177</v>
      </c>
      <c r="I32" s="379">
        <f t="shared" si="4"/>
        <v>1341.4016179051778</v>
      </c>
      <c r="J32" s="377"/>
      <c r="K32" s="80"/>
      <c r="L32" s="80"/>
      <c r="M32" s="190" t="str">
        <f t="shared" si="0"/>
        <v>2016</v>
      </c>
      <c r="N32" s="306">
        <f>+N30/'6. WS Regression Analysis'!$S$139*'6. WS Regression Analysis'!$S$163</f>
        <v>2427831.6737501165</v>
      </c>
      <c r="O32" s="458">
        <v>-1156000</v>
      </c>
      <c r="P32" s="499">
        <f t="shared" si="6"/>
        <v>1271831.6737501165</v>
      </c>
      <c r="Q32" s="283">
        <f>P32*$U$34</f>
        <v>3540.907392013577</v>
      </c>
      <c r="R32" s="225">
        <f>IF($M$18='2. Customer Classes'!$B$14,+'4. Customer Growth'!$C43,+IF($M$18='2. Customer Classes'!$B$15,+'4. Customer Growth'!$E43,+IF($M$18='2. Customer Classes'!$B$16,+'4. Customer Growth'!$G43,+IF($M$18='2. Customer Classes'!$B$17,+'4. Customer Growth'!$I43,+IF($M$18='2. Customer Classes'!$B$18,+'4. Customer Growth'!$K43,+IF($M$18='2. Customer Classes'!$B$19,+'4. Customer Growth'!$M43,IF($M$18='2. Customer Classes'!$B$20,+'4. Customer Growth'!$O43,0)))))))</f>
        <v>2848.6267064617618</v>
      </c>
      <c r="S32" s="376">
        <f t="shared" si="7"/>
        <v>446.47186339477952</v>
      </c>
      <c r="T32" s="379">
        <f t="shared" si="8"/>
        <v>1.2430226059390166</v>
      </c>
      <c r="U32" s="85"/>
      <c r="V32" s="64"/>
      <c r="W32" s="190" t="str">
        <f t="shared" si="1"/>
        <v>2016</v>
      </c>
      <c r="X32" s="306">
        <f>+X30/'6. WS Regression Analysis'!$S$139*'6. WS Regression Analysis'!$S$163</f>
        <v>244366.67973391793</v>
      </c>
      <c r="Y32" s="458"/>
      <c r="Z32" s="70">
        <f t="shared" si="10"/>
        <v>244366.67973391793</v>
      </c>
      <c r="AA32" s="283">
        <f>Z32*$AE$34</f>
        <v>696.34526266115472</v>
      </c>
      <c r="AB32" s="225">
        <f>IF($W$18='2. Customer Classes'!$B$14,+'4. Customer Growth'!$C43,+IF($W$18='2. Customer Classes'!$B$15,+'4. Customer Growth'!$E43,+IF($W$18='2. Customer Classes'!$B$16,+'4. Customer Growth'!$G43,+IF($W$18='2. Customer Classes'!$B$17,+'4. Customer Growth'!$I43,+IF($W$18='2. Customer Classes'!$B$18,+'4. Customer Growth'!$K43,+IF($W$18='2. Customer Classes'!$B$19,+'4. Customer Growth'!$M43,IF($W$18='2. Customer Classes'!$B$20,+'4. Customer Growth'!$O43,0)))))))</f>
        <v>194.98704526924996</v>
      </c>
      <c r="AC32" s="376">
        <f t="shared" si="11"/>
        <v>1253.2457189475413</v>
      </c>
      <c r="AD32" s="379">
        <f t="shared" si="12"/>
        <v>3.5712386004906063</v>
      </c>
      <c r="AE32" s="85"/>
      <c r="AG32" s="357" t="str">
        <f t="shared" si="14"/>
        <v>2016</v>
      </c>
      <c r="AH32" s="306">
        <f>+AH30/'6. WS Regression Analysis'!$S$139*'6. WS Regression Analysis'!$S$163</f>
        <v>452178.74348996708</v>
      </c>
      <c r="AI32" s="458"/>
      <c r="AJ32" s="499">
        <f t="shared" si="15"/>
        <v>452178.74348996708</v>
      </c>
      <c r="AK32" s="306">
        <f>AJ32*$AO$34</f>
        <v>0</v>
      </c>
      <c r="AL32" s="225">
        <f>IF($AG$18='2. Customer Classes'!$B$14,+'4. Customer Growth'!$C43,+IF($AG$18='2. Customer Classes'!$B$15,+'4. Customer Growth'!$E43,+IF($AG$18='2. Customer Classes'!$B$16,+'4. Customer Growth'!$G43,+IF($AG$18='2. Customer Classes'!$B$17,+'4. Customer Growth'!$I43,+IF($AG$18='2. Customer Classes'!$B$18,+'4. Customer Growth'!$K43,+IF($AG$18='2. Customer Classes'!$B$19,+'4. Customer Growth'!$M43,IF($AG$18='2. Customer Classes'!$B$20,+'4. Customer Growth'!$O43,IF($AG$18='2. Customer Classes'!$B$21,+'4. Customer Growth'!$Q43,0))))))))</f>
        <v>20</v>
      </c>
      <c r="AM32" s="376">
        <f t="shared" si="16"/>
        <v>22608.937174498355</v>
      </c>
      <c r="AN32" s="379">
        <f t="shared" si="17"/>
        <v>0</v>
      </c>
      <c r="AO32" s="85"/>
      <c r="AQ32" s="357" t="str">
        <f t="shared" si="19"/>
        <v>2016</v>
      </c>
      <c r="AR32" s="306">
        <f>+AR30/'6. WS Regression Analysis'!$S$139*'6. WS Regression Analysis'!$S$163</f>
        <v>0</v>
      </c>
      <c r="AS32" s="458"/>
      <c r="AT32" s="499">
        <f t="shared" si="20"/>
        <v>0</v>
      </c>
      <c r="AU32" s="306">
        <f>AT32*$AY$34</f>
        <v>0</v>
      </c>
      <c r="AV32" s="225">
        <f>IF($AQ$18='2. Customer Classes'!$B$14,+'4. Customer Growth'!$C43,+IF($AQ$18='2. Customer Classes'!$B$15,+'4. Customer Growth'!$E43,+IF($AQ$18='2. Customer Classes'!$B$16,+'4. Customer Growth'!$G43,+IF($AQ$18='2. Customer Classes'!$B$17,+'4. Customer Growth'!$I43,+IF($AQ$18='2. Customer Classes'!$B$18,+'4. Customer Growth'!$K43,+IF($AQ$18='2. Customer Classes'!$B$19,+'4. Customer Growth'!$M43,IF($AQ$18='2. Customer Classes'!$B$20,+'4. Customer Growth'!$O43,0)))))))</f>
        <v>0</v>
      </c>
      <c r="AW32" s="376">
        <f t="shared" si="21"/>
        <v>0</v>
      </c>
      <c r="AX32" s="379">
        <f t="shared" si="22"/>
        <v>0</v>
      </c>
      <c r="AY32" s="85"/>
    </row>
    <row r="33" spans="2:51" x14ac:dyDescent="0.2">
      <c r="B33" s="74"/>
      <c r="C33" s="492"/>
      <c r="D33" s="492"/>
      <c r="E33" s="225"/>
      <c r="F33" s="283"/>
      <c r="G33" s="281"/>
      <c r="H33" s="281"/>
      <c r="I33" s="283"/>
      <c r="J33" s="377"/>
      <c r="K33" s="80"/>
      <c r="L33" s="80"/>
      <c r="M33" s="74"/>
      <c r="N33" s="492"/>
      <c r="O33" s="492"/>
      <c r="P33" s="225"/>
      <c r="Q33" s="283"/>
      <c r="R33" s="283"/>
      <c r="S33" s="283"/>
      <c r="T33" s="283"/>
      <c r="U33" s="86"/>
      <c r="V33" s="64"/>
      <c r="W33" s="74"/>
      <c r="X33" s="492"/>
      <c r="Y33" s="492"/>
      <c r="Z33" s="283"/>
      <c r="AA33" s="283"/>
      <c r="AB33" s="283"/>
      <c r="AC33" s="283"/>
      <c r="AD33" s="283"/>
      <c r="AE33" s="242"/>
      <c r="AG33" s="74"/>
      <c r="AH33" s="492"/>
      <c r="AI33" s="492"/>
      <c r="AJ33" s="283"/>
      <c r="AK33" s="283"/>
      <c r="AL33" s="283"/>
      <c r="AM33" s="283"/>
      <c r="AN33" s="283"/>
      <c r="AO33" s="242"/>
      <c r="AQ33" s="74"/>
      <c r="AR33" s="492"/>
      <c r="AS33" s="492"/>
      <c r="AT33" s="306"/>
      <c r="AU33" s="306"/>
      <c r="AV33" s="306"/>
      <c r="AW33" s="306"/>
      <c r="AX33" s="306"/>
      <c r="AY33" s="242"/>
    </row>
    <row r="34" spans="2:51" ht="16.5" customHeight="1" x14ac:dyDescent="0.2">
      <c r="B34" s="235" t="s">
        <v>162</v>
      </c>
      <c r="C34" s="493"/>
      <c r="D34" s="493"/>
      <c r="E34" s="761">
        <v>10</v>
      </c>
      <c r="F34" s="189"/>
      <c r="G34" s="331"/>
      <c r="H34" s="337">
        <f>AVERAGE(H21:H31)</f>
        <v>529716.11670194834</v>
      </c>
      <c r="I34" s="383">
        <f>IF($E$34=1,+AVERAGE(I30:I30),+IF($E$34=2,+AVERAGE(I29:I30),+IF($E$34=3,+AVERAGE(I28:I30),+IF($E$34=4,+AVERAGE(I27:I30),+IF($E$34=5,+AVERAGE(I26:I30),+IF($E$34=6,+AVERAGE(I25:I30),+IF($E$34=7,+AVERAGE(I24:I30),+IF($E$34=8,+AVERAGE(I23:I30),+IF($E$34=9,+AVERAGE(I22:I30),+IF($E$34=10,+AVERAGE(I21:I30),0))))))))))</f>
        <v>1465.8344450571449</v>
      </c>
      <c r="J34" s="314">
        <f>IF($E$34=1,+AVERAGE(J30:J30),+IF($E$34=2,+AVERAGE(J29:J30),+IF($E$34=3,+AVERAGE(J28:J30),+IF($E$34=4,+AVERAGE(J27:J30),+IF($E$34=5,+AVERAGE(J26:J30),+IF($E$34=6,+AVERAGE(J25:J30),+IF($E$34=7,+AVERAGE(J24:J30),+IF($E$34=8,+AVERAGE(J23:J30),+IF($E$34=9,+AVERAGE(J22:J30),+IF($E$34=10,+AVERAGE(J21:J30),0))))))))))</f>
        <v>2.7513112630529928E-3</v>
      </c>
      <c r="K34" s="184"/>
      <c r="L34" s="184"/>
      <c r="M34" s="235" t="s">
        <v>162</v>
      </c>
      <c r="N34" s="498"/>
      <c r="O34" s="498"/>
      <c r="P34" s="776">
        <v>10</v>
      </c>
      <c r="Q34" s="189"/>
      <c r="R34" s="189"/>
      <c r="S34" s="337">
        <f>AVERAGE(S21:S32)</f>
        <v>856.85932766033113</v>
      </c>
      <c r="T34" s="337">
        <f>AVERAGE(T21:T32)</f>
        <v>2.3851027217789755</v>
      </c>
      <c r="U34" s="337">
        <f>AVERAGE(U21:U32)</f>
        <v>2.7841006519147894E-3</v>
      </c>
      <c r="V34" s="64"/>
      <c r="W34" s="235" t="s">
        <v>162</v>
      </c>
      <c r="X34" s="498"/>
      <c r="Y34" s="498"/>
      <c r="Z34" s="776">
        <v>10</v>
      </c>
      <c r="AA34" s="189"/>
      <c r="AB34" s="189"/>
      <c r="AC34" s="337">
        <f>AVERAGE(AC21:AC32)</f>
        <v>1198.7905203248697</v>
      </c>
      <c r="AD34" s="337">
        <f>AVERAGE(AD21:AD32)</f>
        <v>3.4084195052249164</v>
      </c>
      <c r="AE34" s="191">
        <f>IF($Z$34=1,+AVERAGE(AE30:AE30),+IF($Z$34=2,+AVERAGE(AE29:AE30),+IF($Z$34=3,+AVERAGE(AE28:AE30),+IF($Z$34=4,+AVERAGE(AE27:AE30),+IF($Z$34=5,+AVERAGE(AE26:AE30),+IF($Z$34=6,+AVERAGE(AE25:AE30),+IF($Z$34=7,+AVERAGE(AE24:AE30),+IF($Z$34=8,+AVERAGE(AE23:AE30),+IF($Z$34=9,+AVERAGE(AE22:AE30),+IF($Z$34=10,+AVERAGE(AE21:AE30),0))))))))))</f>
        <v>2.8495917013701701E-3</v>
      </c>
      <c r="AG34" s="235" t="s">
        <v>162</v>
      </c>
      <c r="AH34" s="498"/>
      <c r="AI34" s="498"/>
      <c r="AJ34" s="776">
        <v>10</v>
      </c>
      <c r="AK34" s="189"/>
      <c r="AL34" s="189"/>
      <c r="AM34" s="337">
        <f>AVERAGE(AM21:AM32)</f>
        <v>22601.214929158741</v>
      </c>
      <c r="AN34" s="382">
        <f>IF($AJ$34=1,+AVERAGE(AN30:AN30),+IF($AJ$34=2,+AVERAGE(AN29:AN30),+IF($AJ$34=3,+AVERAGE(AN28:AN30),+IF($AJ$34=4,+AVERAGE(AN27:AN30),+IF($AJ$34=5,+AVERAGE(AN26:AN30),+IF($AJ$34=6,+AVERAGE(AN25:AN30),+IF($AJ$34=7,+AVERAGE(AN24:AN30),+IF($AJ$34=8,+AVERAGE(AN23:AN30),+IF($AJ$34=9,+AVERAGE(AN22:AN30),+IF($AJ$34=10,+AVERAGE(AN21:AN30),0))))))))))</f>
        <v>0</v>
      </c>
      <c r="AO34" s="191">
        <f>IF($AJ$34=1,+AVERAGE(AO30:AO30),+IF($AJ$34=2,+AVERAGE(AO29:AO30),+IF($AJ$34=3,+AVERAGE(AO28:AO30),+IF($AJ$34=4,+AVERAGE(AO27:AO30),+IF($AJ$34=5,+AVERAGE(AO26:AO30),+IF($AJ$34=6,+AVERAGE(AO25:AO30),+IF($AJ$34=7,+AVERAGE(AO24:AO30),+IF($AJ$34=8,+AVERAGE(AO23:AO30),+IF($AJ$34=9,+AVERAGE(AO22:AO30),+IF($AJ$34=10,+AVERAGE(AO21:AO30),0))))))))))</f>
        <v>0</v>
      </c>
      <c r="AQ34" s="235" t="s">
        <v>162</v>
      </c>
      <c r="AR34" s="498"/>
      <c r="AS34" s="498"/>
      <c r="AT34" s="776">
        <v>4</v>
      </c>
      <c r="AU34" s="189"/>
      <c r="AV34" s="189"/>
      <c r="AW34" s="337">
        <f>IF($AT$34=1,+AVERAGE(AW30:AW30),+IF($AT$34=2,+AVERAGE(AW29:AW30),+IF($AT$34=3,+AVERAGE(AW28:AW30),+IF($AT$34=4,+AVERAGE(AW27:AW30),+IF($AT$34=5,+AVERAGE(AW26:AW30),+IF($AT$34=6,+AVERAGE(AW25:AW30),+IF($AT$34=7,+AVERAGE(AW24:AW30),+IF($AT$34=8,+AVERAGE(AW23:AW30),+IF($AT$34=9,+AVERAGE(AW22:AW30),+IF($AT$34=10,+AVERAGE(AW21:AW30),0))))))))))</f>
        <v>0</v>
      </c>
      <c r="AX34" s="382">
        <f>IF($AT$34=1,+AVERAGE(AX30:AX30),+IF($AT$34=2,+AVERAGE(AX29:AX30),+IF($AT$34=3,+AVERAGE(AX28:AX30),+IF($AT$34=4,+AVERAGE(AX27:AX30),+IF($AT$34=5,+AVERAGE(AX26:AX30),+IF($AT$34=6,+AVERAGE(AX25:AX30),+IF($AT$34=7,+AVERAGE(AX24:AX30),+IF($AT$34=8,+AVERAGE(AX23:AX30),+IF($AT$34=9,+AVERAGE(AX22:AX30),+IF($AT$34=10,+AVERAGE(AX21:AX30),0))))))))))</f>
        <v>0</v>
      </c>
      <c r="AY34" s="191">
        <f>IF($AT$34=1,+AVERAGE(AY30:AY30),+IF($AT$34=2,+AVERAGE(AY29:AY30),+IF($AT$34=3,+AVERAGE(AY28:AY30),+IF($AT$34=4,+AVERAGE(AY27:AY30),+IF($AT$34=5,+AVERAGE(AY26:AY30),+IF($AT$34=6,+AVERAGE(AY25:AY30),+IF($AT$34=7,+AVERAGE(AY24:AY30),+IF($AT$34=8,+AVERAGE(AY23:AY30),+IF($AT$34=9,+AVERAGE(AY22:AY30),+IF($AT$34=10,+AVERAGE(AY21:AY30),0))))))))))</f>
        <v>0</v>
      </c>
    </row>
    <row r="35" spans="2:51" ht="13.5" thickBot="1" x14ac:dyDescent="0.25">
      <c r="B35" s="192"/>
      <c r="C35" s="494"/>
      <c r="D35" s="494"/>
      <c r="E35" s="193"/>
      <c r="F35" s="193"/>
      <c r="G35" s="332"/>
      <c r="H35" s="806" t="s">
        <v>30</v>
      </c>
      <c r="I35" s="193"/>
      <c r="J35" s="381"/>
      <c r="M35" s="192"/>
      <c r="N35" s="494"/>
      <c r="O35" s="494"/>
      <c r="P35" s="193"/>
      <c r="Q35" s="91"/>
      <c r="R35" s="91"/>
      <c r="S35" s="91"/>
      <c r="T35" s="91"/>
      <c r="U35" s="194"/>
      <c r="W35" s="90"/>
      <c r="X35" s="480"/>
      <c r="Y35" s="480"/>
      <c r="Z35" s="91"/>
      <c r="AA35" s="91"/>
      <c r="AB35" s="91"/>
      <c r="AC35" s="91"/>
      <c r="AD35" s="91"/>
      <c r="AE35" s="194"/>
      <c r="AG35" s="90"/>
      <c r="AH35" s="480"/>
      <c r="AI35" s="480"/>
      <c r="AJ35" s="91"/>
      <c r="AK35" s="91"/>
      <c r="AL35" s="91"/>
      <c r="AM35" s="91"/>
      <c r="AN35" s="91"/>
      <c r="AO35" s="194"/>
      <c r="AQ35" s="90"/>
      <c r="AR35" s="480"/>
      <c r="AS35" s="480"/>
      <c r="AT35" s="91"/>
      <c r="AU35" s="91"/>
      <c r="AV35" s="91"/>
      <c r="AW35" s="91"/>
      <c r="AX35" s="91"/>
      <c r="AY35" s="194"/>
    </row>
    <row r="36" spans="2:51" x14ac:dyDescent="0.2">
      <c r="B36" s="1036" t="s">
        <v>156</v>
      </c>
      <c r="C36" s="1036"/>
      <c r="D36" s="1036"/>
      <c r="E36" s="1036"/>
      <c r="F36" s="1036"/>
      <c r="G36" s="1036"/>
      <c r="H36" s="1036"/>
      <c r="I36" s="1036"/>
      <c r="J36" s="1036"/>
      <c r="M36" s="1036" t="s">
        <v>156</v>
      </c>
      <c r="N36" s="1036"/>
      <c r="O36" s="1036"/>
      <c r="P36" s="1036"/>
      <c r="Q36" s="1036"/>
      <c r="R36" s="1036"/>
      <c r="S36" s="1036"/>
      <c r="T36" s="1036"/>
      <c r="U36" s="1036"/>
      <c r="W36" s="1016" t="s">
        <v>156</v>
      </c>
      <c r="X36" s="1016"/>
      <c r="Y36" s="1016"/>
      <c r="Z36" s="1016"/>
      <c r="AA36" s="1016"/>
      <c r="AB36" s="1016"/>
      <c r="AC36" s="1016"/>
      <c r="AD36" s="1016"/>
      <c r="AE36" s="1016"/>
      <c r="AG36" s="1036" t="s">
        <v>156</v>
      </c>
      <c r="AH36" s="1036"/>
      <c r="AI36" s="1036"/>
      <c r="AJ36" s="1036"/>
      <c r="AK36" s="1036"/>
      <c r="AL36" s="1036"/>
      <c r="AM36" s="1036"/>
      <c r="AN36" s="1036"/>
      <c r="AO36" s="1036"/>
      <c r="AQ36" s="1036" t="s">
        <v>156</v>
      </c>
      <c r="AR36" s="1036"/>
      <c r="AS36" s="1036"/>
      <c r="AT36" s="1036"/>
      <c r="AU36" s="1036"/>
      <c r="AV36" s="1036"/>
      <c r="AW36" s="1036"/>
      <c r="AX36" s="1036"/>
      <c r="AY36" s="1036"/>
    </row>
    <row r="37" spans="2:51" x14ac:dyDescent="0.2">
      <c r="B37" s="148"/>
      <c r="C37" s="148"/>
      <c r="D37" s="148"/>
      <c r="E37" s="148"/>
      <c r="F37" s="148"/>
      <c r="G37" s="149"/>
      <c r="H37" s="150"/>
      <c r="I37" s="151"/>
      <c r="J37" s="153"/>
      <c r="M37" s="148"/>
      <c r="N37" s="148"/>
      <c r="O37" s="148"/>
      <c r="P37" s="148"/>
      <c r="Q37" s="148"/>
      <c r="R37" s="149"/>
      <c r="S37" s="150"/>
      <c r="T37" s="151"/>
      <c r="U37" s="153"/>
      <c r="W37" s="148"/>
      <c r="X37" s="148"/>
      <c r="Y37" s="148"/>
      <c r="Z37" s="148"/>
      <c r="AA37" s="148"/>
      <c r="AB37" s="149"/>
      <c r="AC37" s="150"/>
      <c r="AD37" s="151"/>
      <c r="AE37" s="153"/>
      <c r="AG37" s="148"/>
      <c r="AH37" s="148"/>
      <c r="AI37" s="148"/>
      <c r="AJ37" s="148"/>
      <c r="AK37" s="148"/>
      <c r="AL37" s="149"/>
      <c r="AM37" s="150"/>
      <c r="AN37" s="151"/>
      <c r="AO37" s="153"/>
      <c r="AQ37" s="148"/>
      <c r="AR37" s="148"/>
      <c r="AS37" s="148"/>
      <c r="AT37" s="148"/>
      <c r="AU37" s="148"/>
      <c r="AV37" s="149"/>
      <c r="AW37" s="150"/>
      <c r="AX37" s="151"/>
      <c r="AY37" s="153"/>
    </row>
    <row r="38" spans="2:51" x14ac:dyDescent="0.2">
      <c r="B38" s="148"/>
      <c r="C38" s="148"/>
      <c r="D38" s="148"/>
      <c r="E38" s="148"/>
      <c r="F38" s="148"/>
      <c r="G38" s="149"/>
      <c r="H38" s="150"/>
      <c r="I38" s="151"/>
      <c r="J38" s="153"/>
      <c r="M38" s="148"/>
      <c r="N38" s="148"/>
      <c r="O38" s="148"/>
      <c r="P38" s="148"/>
      <c r="Q38" s="148"/>
      <c r="R38" s="149"/>
      <c r="S38" s="150"/>
      <c r="T38" s="151"/>
      <c r="U38" s="153"/>
      <c r="W38" s="148"/>
      <c r="X38" s="148"/>
      <c r="Y38" s="148"/>
      <c r="Z38" s="148"/>
      <c r="AA38" s="148"/>
      <c r="AB38" s="149"/>
      <c r="AC38" s="150"/>
      <c r="AD38" s="151"/>
      <c r="AE38" s="153"/>
      <c r="AG38" s="148"/>
      <c r="AH38" s="148"/>
      <c r="AI38" s="148"/>
      <c r="AJ38" s="148"/>
      <c r="AK38" s="148"/>
      <c r="AL38" s="149"/>
      <c r="AM38" s="150"/>
      <c r="AN38" s="151"/>
      <c r="AO38" s="153"/>
      <c r="AQ38" s="148"/>
      <c r="AR38" s="148"/>
      <c r="AS38" s="148"/>
      <c r="AT38" s="148"/>
      <c r="AU38" s="148"/>
      <c r="AV38" s="149"/>
      <c r="AW38" s="150"/>
      <c r="AX38" s="151"/>
      <c r="AY38" s="153"/>
    </row>
    <row r="39" spans="2:51" x14ac:dyDescent="0.2">
      <c r="B39" s="148"/>
      <c r="C39" s="148"/>
      <c r="D39" s="148"/>
      <c r="E39" s="148"/>
      <c r="F39" s="148"/>
      <c r="G39" s="149"/>
      <c r="H39" s="150"/>
      <c r="I39" s="151"/>
      <c r="J39" s="153"/>
      <c r="M39" s="148"/>
      <c r="N39" s="148"/>
      <c r="O39" s="148"/>
      <c r="P39" s="148"/>
      <c r="Q39" s="148"/>
      <c r="R39" s="149"/>
      <c r="S39" s="150"/>
      <c r="T39" s="151"/>
      <c r="U39" s="153"/>
      <c r="W39" s="148"/>
      <c r="X39" s="148"/>
      <c r="Y39" s="148"/>
      <c r="Z39" s="148"/>
      <c r="AA39" s="148"/>
      <c r="AB39" s="149"/>
      <c r="AC39" s="150"/>
      <c r="AD39" s="151"/>
      <c r="AE39" s="153"/>
      <c r="AG39" s="148"/>
      <c r="AH39" s="148"/>
      <c r="AI39" s="148"/>
      <c r="AJ39" s="148"/>
      <c r="AK39" s="148"/>
      <c r="AL39" s="149"/>
      <c r="AM39" s="150"/>
      <c r="AN39" s="151"/>
      <c r="AO39" s="153"/>
      <c r="AQ39" s="148"/>
      <c r="AR39" s="148"/>
      <c r="AS39" s="148"/>
      <c r="AT39" s="148"/>
      <c r="AU39" s="148"/>
      <c r="AV39" s="149"/>
      <c r="AW39" s="150"/>
      <c r="AX39" s="151"/>
      <c r="AY39" s="153"/>
    </row>
    <row r="40" spans="2:51" x14ac:dyDescent="0.2">
      <c r="B40" s="148"/>
      <c r="C40" s="148"/>
      <c r="D40" s="148"/>
      <c r="E40" s="148"/>
      <c r="F40" s="148"/>
      <c r="G40" s="149"/>
      <c r="H40" s="150"/>
      <c r="I40" s="151"/>
      <c r="J40" s="153"/>
      <c r="M40" s="148"/>
      <c r="N40" s="148"/>
      <c r="O40" s="148"/>
      <c r="P40" s="148"/>
      <c r="Q40" s="148"/>
      <c r="R40" s="149"/>
      <c r="S40" s="150"/>
      <c r="T40" s="151"/>
      <c r="U40" s="153"/>
      <c r="W40" s="148"/>
      <c r="X40" s="148"/>
      <c r="Y40" s="148"/>
      <c r="Z40" s="148"/>
      <c r="AA40" s="148"/>
      <c r="AB40" s="149"/>
      <c r="AC40" s="150"/>
      <c r="AD40" s="151"/>
      <c r="AE40" s="153"/>
      <c r="AG40" s="148"/>
      <c r="AH40" s="148"/>
      <c r="AI40" s="148"/>
      <c r="AJ40" s="148"/>
      <c r="AK40" s="148"/>
      <c r="AL40" s="149"/>
      <c r="AM40" s="150"/>
      <c r="AN40" s="151"/>
      <c r="AO40" s="153"/>
      <c r="AQ40" s="148"/>
      <c r="AR40" s="148"/>
      <c r="AS40" s="148"/>
      <c r="AT40" s="148"/>
      <c r="AU40" s="148"/>
      <c r="AV40" s="149"/>
      <c r="AW40" s="150"/>
      <c r="AX40" s="151"/>
      <c r="AY40" s="153"/>
    </row>
    <row r="41" spans="2:51" ht="15" x14ac:dyDescent="0.2">
      <c r="B41" s="1017" t="s">
        <v>176</v>
      </c>
      <c r="C41" s="1017"/>
      <c r="D41" s="1017"/>
      <c r="E41" s="1017"/>
      <c r="F41" s="1017"/>
      <c r="G41" s="1017"/>
      <c r="H41" s="1017"/>
      <c r="I41" s="1017"/>
      <c r="J41" s="1017"/>
      <c r="M41" s="1017" t="s">
        <v>176</v>
      </c>
      <c r="N41" s="1017"/>
      <c r="O41" s="1017"/>
      <c r="P41" s="1017"/>
      <c r="Q41" s="1017"/>
      <c r="R41" s="1017"/>
      <c r="S41" s="1017"/>
      <c r="T41" s="1017"/>
      <c r="U41" s="1017"/>
      <c r="W41" s="1017" t="s">
        <v>176</v>
      </c>
      <c r="X41" s="1017"/>
      <c r="Y41" s="1017"/>
      <c r="Z41" s="1017"/>
      <c r="AA41" s="1017"/>
      <c r="AB41" s="1017"/>
      <c r="AC41" s="1017"/>
      <c r="AD41" s="1017"/>
      <c r="AE41" s="1017"/>
      <c r="AG41" s="1017" t="s">
        <v>176</v>
      </c>
      <c r="AH41" s="1017"/>
      <c r="AI41" s="1017"/>
      <c r="AJ41" s="1017"/>
      <c r="AK41" s="1017"/>
      <c r="AL41" s="1017"/>
      <c r="AM41" s="1017"/>
      <c r="AN41" s="1017"/>
      <c r="AO41" s="1017"/>
      <c r="AQ41" s="1017" t="s">
        <v>176</v>
      </c>
      <c r="AR41" s="1017"/>
      <c r="AS41" s="1017"/>
      <c r="AT41" s="1017"/>
      <c r="AU41" s="1017"/>
      <c r="AV41" s="1017"/>
      <c r="AW41" s="1017"/>
      <c r="AX41" s="1017"/>
      <c r="AY41" s="1017"/>
    </row>
    <row r="42" spans="2:51" x14ac:dyDescent="0.2">
      <c r="J42" s="319"/>
    </row>
    <row r="43" spans="2:51" x14ac:dyDescent="0.2">
      <c r="J43" s="319"/>
    </row>
    <row r="44" spans="2:51" x14ac:dyDescent="0.2">
      <c r="J44" s="319"/>
    </row>
    <row r="45" spans="2:51" x14ac:dyDescent="0.2">
      <c r="J45" s="319"/>
    </row>
    <row r="46" spans="2:51" ht="13.5" thickBot="1" x14ac:dyDescent="0.25">
      <c r="J46" s="319"/>
    </row>
    <row r="47" spans="2:51" ht="13.5" thickBot="1" x14ac:dyDescent="0.25">
      <c r="B47" s="1037" t="str">
        <f>+B18</f>
        <v>General Service &gt; 50 kW - 4999 kW</v>
      </c>
      <c r="C47" s="1038"/>
      <c r="D47" s="1038"/>
      <c r="E47" s="1038"/>
      <c r="F47" s="1038"/>
      <c r="G47" s="1038"/>
      <c r="H47" s="1038"/>
      <c r="I47" s="1038"/>
      <c r="J47" s="1039"/>
      <c r="M47" s="1037" t="str">
        <f>+M18</f>
        <v>Streetlighting</v>
      </c>
      <c r="N47" s="1038"/>
      <c r="O47" s="1038"/>
      <c r="P47" s="1038"/>
      <c r="Q47" s="1038"/>
      <c r="R47" s="1038"/>
      <c r="S47" s="1038"/>
      <c r="T47" s="1038"/>
      <c r="U47" s="1039"/>
      <c r="W47" s="1037" t="str">
        <f>+W18</f>
        <v>Sentinel Lighting</v>
      </c>
      <c r="X47" s="1038"/>
      <c r="Y47" s="1038"/>
      <c r="Z47" s="1038"/>
      <c r="AA47" s="1038"/>
      <c r="AB47" s="1038"/>
      <c r="AC47" s="1038"/>
      <c r="AD47" s="1038"/>
      <c r="AE47" s="1039"/>
      <c r="AG47" s="1037" t="str">
        <f>+AG18</f>
        <v>Unmetered Scattered Load</v>
      </c>
      <c r="AH47" s="1038"/>
      <c r="AI47" s="1038"/>
      <c r="AJ47" s="1038"/>
      <c r="AK47" s="1038"/>
      <c r="AL47" s="1038"/>
      <c r="AM47" s="1038"/>
      <c r="AN47" s="1038"/>
      <c r="AO47" s="1039"/>
      <c r="AQ47" s="1037">
        <f>+AQ18</f>
        <v>0</v>
      </c>
      <c r="AR47" s="1038"/>
      <c r="AS47" s="1038"/>
      <c r="AT47" s="1038"/>
      <c r="AU47" s="1038"/>
      <c r="AV47" s="1038"/>
      <c r="AW47" s="1038"/>
      <c r="AX47" s="1038"/>
      <c r="AY47" s="1039"/>
    </row>
    <row r="48" spans="2:51" ht="29.25" customHeight="1" thickBot="1" x14ac:dyDescent="0.25">
      <c r="B48" s="347" t="s">
        <v>33</v>
      </c>
      <c r="C48" s="495"/>
      <c r="D48" s="495"/>
      <c r="E48" s="348" t="s">
        <v>40</v>
      </c>
      <c r="F48" s="348" t="s">
        <v>184</v>
      </c>
      <c r="G48" s="348" t="s">
        <v>185</v>
      </c>
      <c r="H48" s="354" t="s">
        <v>188</v>
      </c>
      <c r="I48" s="348" t="s">
        <v>186</v>
      </c>
      <c r="J48" s="349" t="s">
        <v>187</v>
      </c>
      <c r="K48" s="317"/>
      <c r="L48" s="317"/>
      <c r="M48" s="347" t="s">
        <v>33</v>
      </c>
      <c r="N48" s="495"/>
      <c r="O48" s="495"/>
      <c r="P48" s="348" t="s">
        <v>40</v>
      </c>
      <c r="Q48" s="348" t="s">
        <v>184</v>
      </c>
      <c r="R48" s="348" t="s">
        <v>185</v>
      </c>
      <c r="S48" s="354" t="s">
        <v>188</v>
      </c>
      <c r="T48" s="348" t="s">
        <v>186</v>
      </c>
      <c r="U48" s="349" t="s">
        <v>187</v>
      </c>
      <c r="W48" s="347" t="s">
        <v>33</v>
      </c>
      <c r="X48" s="495"/>
      <c r="Y48" s="495"/>
      <c r="Z48" s="348" t="s">
        <v>40</v>
      </c>
      <c r="AA48" s="348" t="s">
        <v>184</v>
      </c>
      <c r="AB48" s="348" t="s">
        <v>185</v>
      </c>
      <c r="AC48" s="354" t="s">
        <v>188</v>
      </c>
      <c r="AD48" s="348" t="s">
        <v>186</v>
      </c>
      <c r="AE48" s="349" t="s">
        <v>187</v>
      </c>
      <c r="AG48" s="347" t="s">
        <v>33</v>
      </c>
      <c r="AH48" s="495"/>
      <c r="AI48" s="495"/>
      <c r="AJ48" s="348" t="s">
        <v>40</v>
      </c>
      <c r="AK48" s="348" t="s">
        <v>184</v>
      </c>
      <c r="AL48" s="348" t="s">
        <v>185</v>
      </c>
      <c r="AM48" s="354" t="s">
        <v>188</v>
      </c>
      <c r="AN48" s="348" t="s">
        <v>186</v>
      </c>
      <c r="AO48" s="349" t="s">
        <v>187</v>
      </c>
      <c r="AQ48" s="347" t="s">
        <v>33</v>
      </c>
      <c r="AR48" s="495"/>
      <c r="AS48" s="495"/>
      <c r="AT48" s="348" t="s">
        <v>40</v>
      </c>
      <c r="AU48" s="348" t="s">
        <v>184</v>
      </c>
      <c r="AV48" s="348" t="s">
        <v>185</v>
      </c>
      <c r="AW48" s="354" t="s">
        <v>188</v>
      </c>
      <c r="AX48" s="348" t="s">
        <v>186</v>
      </c>
      <c r="AY48" s="349" t="s">
        <v>187</v>
      </c>
    </row>
    <row r="49" spans="2:51" ht="12.75" customHeight="1" x14ac:dyDescent="0.2">
      <c r="B49" s="9" t="str">
        <f>+B31</f>
        <v>2015</v>
      </c>
      <c r="C49" s="496"/>
      <c r="D49" s="496"/>
      <c r="E49" s="343">
        <f>+G31-G30</f>
        <v>-0.5</v>
      </c>
      <c r="F49" s="344">
        <f>+H34</f>
        <v>529716.11670194834</v>
      </c>
      <c r="G49" s="350">
        <f>+I34</f>
        <v>1465.8344450571449</v>
      </c>
      <c r="H49" s="1040" t="s">
        <v>179</v>
      </c>
      <c r="I49" s="352">
        <f>IF(H49="Yes",+F49*E49+$E$31,$E$31)</f>
        <v>72294221.463539079</v>
      </c>
      <c r="J49" s="345">
        <f>IF(H49="Yes",+G49*E49+$F$31,$F$31)</f>
        <v>198903.90576628249</v>
      </c>
      <c r="M49" s="9" t="str">
        <f>+M31</f>
        <v>2015</v>
      </c>
      <c r="N49" s="496"/>
      <c r="O49" s="496"/>
      <c r="P49" s="343">
        <f>+R31-R30</f>
        <v>22.969225608215311</v>
      </c>
      <c r="Q49" s="344">
        <f>+S34</f>
        <v>856.85932766033113</v>
      </c>
      <c r="R49" s="350">
        <f>+T34</f>
        <v>2.3851027217789755</v>
      </c>
      <c r="S49" s="1040" t="s">
        <v>179</v>
      </c>
      <c r="T49" s="352">
        <f>IF(S49="Yes",+Q49*P49+$P$31,$P$31)</f>
        <v>2432435.555457274</v>
      </c>
      <c r="U49" s="345">
        <f>IF(S49="Yes",+R49*P49+$Q$31,$Q$31)</f>
        <v>6772.1454156893096</v>
      </c>
      <c r="W49" s="9" t="str">
        <f>+W31</f>
        <v>2015</v>
      </c>
      <c r="X49" s="496"/>
      <c r="Y49" s="496"/>
      <c r="Z49" s="343">
        <f>+AB31-AB30</f>
        <v>-4.5573836038872173</v>
      </c>
      <c r="AA49" s="344">
        <f>+AC34</f>
        <v>1198.7905203248697</v>
      </c>
      <c r="AB49" s="350">
        <f>+AD34</f>
        <v>3.4084195052249164</v>
      </c>
      <c r="AC49" s="1040" t="s">
        <v>179</v>
      </c>
      <c r="AD49" s="352">
        <f>IF(AC49="Yes",+AA49*Z49+$Z$31,$Z$31)</f>
        <v>244830.07070901303</v>
      </c>
      <c r="AE49" s="345">
        <f>IF(AC49="Yes",+AB49*Z49+$AA$31,$AA$31)</f>
        <v>697.66573773827554</v>
      </c>
      <c r="AG49" s="9" t="str">
        <f>+AG31</f>
        <v>2015</v>
      </c>
      <c r="AH49" s="496"/>
      <c r="AI49" s="496"/>
      <c r="AJ49" s="343">
        <f>+AL31-AL30</f>
        <v>0</v>
      </c>
      <c r="AK49" s="344">
        <f>+AM34</f>
        <v>22601.214929158741</v>
      </c>
      <c r="AL49" s="350">
        <f>+AN34</f>
        <v>0</v>
      </c>
      <c r="AM49" s="1040" t="s">
        <v>179</v>
      </c>
      <c r="AN49" s="352">
        <f>IF(AM49="Yes",+AK49*AJ49+$AJ$31,$AJ$31)</f>
        <v>453036.20715519035</v>
      </c>
      <c r="AO49" s="345">
        <f>IF(AM49="Yes",+AL49*AJ49+$AK$31,$AK$31)</f>
        <v>0</v>
      </c>
      <c r="AQ49" s="9" t="str">
        <f>+AQ31</f>
        <v>2015</v>
      </c>
      <c r="AR49" s="496"/>
      <c r="AS49" s="496"/>
      <c r="AT49" s="343">
        <f>+AV31-AV30</f>
        <v>0</v>
      </c>
      <c r="AU49" s="344">
        <f>+AW34</f>
        <v>0</v>
      </c>
      <c r="AV49" s="350">
        <f>+AX34</f>
        <v>0</v>
      </c>
      <c r="AW49" s="1040" t="s">
        <v>179</v>
      </c>
      <c r="AX49" s="352">
        <f>IF(AW49="Yes",+AU49*AT49+$AT$31,$AT$31)</f>
        <v>0</v>
      </c>
      <c r="AY49" s="345">
        <f>IF(AW49="Yes",+AV49*AT49+$AU$31,$AU$31)</f>
        <v>0</v>
      </c>
    </row>
    <row r="50" spans="2:51" ht="13.5" customHeight="1" thickBot="1" x14ac:dyDescent="0.25">
      <c r="B50" s="21" t="str">
        <f>+B32</f>
        <v>2016</v>
      </c>
      <c r="C50" s="497"/>
      <c r="D50" s="497"/>
      <c r="E50" s="339">
        <f>+G32-G30</f>
        <v>1.5</v>
      </c>
      <c r="F50" s="378">
        <f>+H34</f>
        <v>529716.11670194834</v>
      </c>
      <c r="G50" s="351">
        <f>+I34</f>
        <v>1465.8344450571449</v>
      </c>
      <c r="H50" s="1041"/>
      <c r="I50" s="353">
        <f>IF(H49="Yes",+F50*E50+$E$32,$E$32)</f>
        <v>72157389.865685463</v>
      </c>
      <c r="J50" s="346">
        <f>IF(H49="Yes",+G50*E50+$F$32,$F$32)</f>
        <v>198527.4394499663</v>
      </c>
      <c r="M50" s="21" t="str">
        <f>+M32</f>
        <v>2016</v>
      </c>
      <c r="N50" s="497"/>
      <c r="O50" s="497"/>
      <c r="P50" s="339">
        <f>+R32-R30</f>
        <v>46.126706461761842</v>
      </c>
      <c r="Q50" s="378">
        <f>+S34</f>
        <v>856.85932766033113</v>
      </c>
      <c r="R50" s="351">
        <f>+T34</f>
        <v>2.3851027217789755</v>
      </c>
      <c r="S50" s="1041"/>
      <c r="T50" s="353">
        <f>IF(S49="Yes",+Q50*P50+$P$32,$P$32)</f>
        <v>1271831.6737501165</v>
      </c>
      <c r="U50" s="346">
        <f>IF(S49="Yes",+R50*P50+$Q$32,$Q$32)</f>
        <v>3540.907392013577</v>
      </c>
      <c r="W50" s="21" t="str">
        <f>+W32</f>
        <v>2016</v>
      </c>
      <c r="X50" s="497"/>
      <c r="Y50" s="497"/>
      <c r="Z50" s="339">
        <f>+AB32-AB30</f>
        <v>-9.0129547307500388</v>
      </c>
      <c r="AA50" s="378">
        <f>+AC34</f>
        <v>1198.7905203248697</v>
      </c>
      <c r="AB50" s="351">
        <f>+AD34</f>
        <v>3.4084195052249164</v>
      </c>
      <c r="AC50" s="1041"/>
      <c r="AD50" s="353">
        <f>IF(AC49="Yes",+AA50*Z50+$Z$32,$Z$32)</f>
        <v>244366.67973391793</v>
      </c>
      <c r="AE50" s="346">
        <f>IF(AC49="Yes",+AB50*Z50+$AA$32,$AA$32)</f>
        <v>696.34526266115472</v>
      </c>
      <c r="AG50" s="21" t="str">
        <f>+AG32</f>
        <v>2016</v>
      </c>
      <c r="AH50" s="497"/>
      <c r="AI50" s="497"/>
      <c r="AJ50" s="339">
        <f>+AL32-AL30</f>
        <v>0</v>
      </c>
      <c r="AK50" s="378">
        <f>+AM34</f>
        <v>22601.214929158741</v>
      </c>
      <c r="AL50" s="351">
        <f>+AN34</f>
        <v>0</v>
      </c>
      <c r="AM50" s="1041"/>
      <c r="AN50" s="353">
        <f>IF(AM49="Yes",+AK50*AJ50+$AJ$32,$AJ$32)</f>
        <v>452178.74348996708</v>
      </c>
      <c r="AO50" s="346">
        <f>IF(AM49="Yes",+AL50*AJ50+$AK$32,$AK$32)</f>
        <v>0</v>
      </c>
      <c r="AQ50" s="21" t="str">
        <f>+AQ32</f>
        <v>2016</v>
      </c>
      <c r="AR50" s="497"/>
      <c r="AS50" s="497"/>
      <c r="AT50" s="339">
        <f>+AV32-AV30</f>
        <v>0</v>
      </c>
      <c r="AU50" s="378">
        <f>+AW34</f>
        <v>0</v>
      </c>
      <c r="AV50" s="351">
        <f>+AX34</f>
        <v>0</v>
      </c>
      <c r="AW50" s="1041"/>
      <c r="AX50" s="353">
        <f>IF(AW49="Yes",+AU50*AT50+$AT$32,$AT$32)</f>
        <v>0</v>
      </c>
      <c r="AY50" s="346">
        <f>IF(AW49="Yes",+AV50*AT50+$AU$32,$AU$32)</f>
        <v>0</v>
      </c>
    </row>
    <row r="51" spans="2:51" x14ac:dyDescent="0.2">
      <c r="J51" s="319"/>
    </row>
    <row r="52" spans="2:51" x14ac:dyDescent="0.2">
      <c r="B52" s="356" t="s">
        <v>190</v>
      </c>
      <c r="C52" s="356"/>
      <c r="D52" s="356"/>
    </row>
    <row r="54" spans="2:51" x14ac:dyDescent="0.2">
      <c r="H54" s="355"/>
    </row>
    <row r="57" spans="2:51" ht="26.25" hidden="1" thickBot="1" x14ac:dyDescent="0.25">
      <c r="B57" s="1042" t="s">
        <v>163</v>
      </c>
      <c r="C57" s="1043"/>
      <c r="D57" s="1043"/>
      <c r="E57" s="1044"/>
      <c r="H57" s="320" t="s">
        <v>151</v>
      </c>
      <c r="I57" s="321" t="s">
        <v>148</v>
      </c>
    </row>
    <row r="58" spans="2:51" hidden="1" x14ac:dyDescent="0.2">
      <c r="B58" s="315">
        <v>1</v>
      </c>
      <c r="C58" s="324"/>
      <c r="D58" s="324"/>
      <c r="E58" s="324"/>
      <c r="F58" s="329">
        <f>+B21</f>
        <v>2005</v>
      </c>
      <c r="G58" s="333"/>
      <c r="H58" s="326">
        <f>SUM('6. WS Regression Analysis'!J20:K31)</f>
        <v>209875751.15141216</v>
      </c>
      <c r="I58" s="322">
        <f>SUM('6. WS Regression Analysis'!R20:R31)</f>
        <v>203293901.55999801</v>
      </c>
    </row>
    <row r="59" spans="2:51" hidden="1" x14ac:dyDescent="0.2">
      <c r="B59" s="315">
        <v>2</v>
      </c>
      <c r="C59" s="324"/>
      <c r="D59" s="324"/>
      <c r="E59" s="324"/>
      <c r="F59" s="329">
        <f t="shared" ref="F59:F67" si="24">+B22</f>
        <v>2006</v>
      </c>
      <c r="G59" s="334"/>
      <c r="H59" s="327">
        <f>SUM('6. WS Regression Analysis'!J32:J43)</f>
        <v>203367791.46020103</v>
      </c>
      <c r="I59" s="323">
        <f>SUM('6. WS Regression Analysis'!R32:R43)</f>
        <v>197705360.17346084</v>
      </c>
    </row>
    <row r="60" spans="2:51" hidden="1" x14ac:dyDescent="0.2">
      <c r="B60" s="315">
        <v>3</v>
      </c>
      <c r="C60" s="324"/>
      <c r="D60" s="324"/>
      <c r="E60" s="324"/>
      <c r="F60" s="329">
        <f t="shared" si="24"/>
        <v>2007</v>
      </c>
      <c r="G60" s="334"/>
      <c r="H60" s="327">
        <f>SUM('6. WS Regression Analysis'!J44:J55)</f>
        <v>205302856.46000004</v>
      </c>
      <c r="I60" s="323">
        <f>SUM('6. WS Regression Analysis'!R44:R55)</f>
        <v>200129976.47693971</v>
      </c>
    </row>
    <row r="61" spans="2:51" hidden="1" x14ac:dyDescent="0.2">
      <c r="B61" s="315">
        <v>4</v>
      </c>
      <c r="C61" s="324"/>
      <c r="D61" s="324"/>
      <c r="E61" s="324"/>
      <c r="F61" s="329">
        <f t="shared" si="24"/>
        <v>2008</v>
      </c>
      <c r="G61" s="334"/>
      <c r="H61" s="327">
        <f>SUM('6. WS Regression Analysis'!J56:J67)</f>
        <v>194146899.85907778</v>
      </c>
      <c r="I61" s="323">
        <f>SUM('6. WS Regression Analysis'!R56:R67)</f>
        <v>199499870.71552044</v>
      </c>
    </row>
    <row r="62" spans="2:51" hidden="1" x14ac:dyDescent="0.2">
      <c r="B62" s="315">
        <v>5</v>
      </c>
      <c r="C62" s="324"/>
      <c r="D62" s="324"/>
      <c r="E62" s="324"/>
      <c r="F62" s="329">
        <f t="shared" si="24"/>
        <v>2009</v>
      </c>
      <c r="G62" s="334"/>
      <c r="H62" s="327">
        <f>SUM('6. WS Regression Analysis'!J68:J79)</f>
        <v>201115656.45999998</v>
      </c>
      <c r="I62" s="323">
        <f>SUM('6. WS Regression Analysis'!R68:R79)</f>
        <v>198852587.20216557</v>
      </c>
    </row>
    <row r="63" spans="2:51" hidden="1" x14ac:dyDescent="0.2">
      <c r="B63" s="315">
        <v>6</v>
      </c>
      <c r="C63" s="324"/>
      <c r="D63" s="324"/>
      <c r="E63" s="324"/>
      <c r="F63" s="329">
        <f t="shared" si="24"/>
        <v>2010</v>
      </c>
      <c r="G63" s="334"/>
      <c r="H63" s="327">
        <f>SUM('6. WS Regression Analysis'!J80:J91)</f>
        <v>197081317.46300003</v>
      </c>
      <c r="I63" s="323">
        <f>SUM('6. WS Regression Analysis'!R80:R91)</f>
        <v>199110325.82630143</v>
      </c>
    </row>
    <row r="64" spans="2:51" hidden="1" x14ac:dyDescent="0.2">
      <c r="B64" s="315">
        <v>7</v>
      </c>
      <c r="C64" s="324"/>
      <c r="D64" s="324"/>
      <c r="E64" s="324"/>
      <c r="F64" s="329">
        <f t="shared" si="24"/>
        <v>2011</v>
      </c>
      <c r="G64" s="334"/>
      <c r="H64" s="327">
        <f>SUM('6. WS Regression Analysis'!J92:J103)</f>
        <v>199623009.43799999</v>
      </c>
      <c r="I64" s="323">
        <f>SUM('6. WS Regression Analysis'!R92:R103)</f>
        <v>197163923.49149352</v>
      </c>
    </row>
    <row r="65" spans="2:10" hidden="1" x14ac:dyDescent="0.2">
      <c r="B65" s="315">
        <v>8</v>
      </c>
      <c r="C65" s="324"/>
      <c r="D65" s="324"/>
      <c r="E65" s="324"/>
      <c r="F65" s="329">
        <f t="shared" si="24"/>
        <v>2012</v>
      </c>
      <c r="G65" s="334"/>
      <c r="H65" s="327">
        <f>SUM('6. WS Regression Analysis'!J104:J115)</f>
        <v>194771161.25000003</v>
      </c>
      <c r="I65" s="341">
        <f>SUM('6. WS Regression Analysis'!R104:R115)</f>
        <v>200033688.73731855</v>
      </c>
      <c r="J65" s="313" t="s">
        <v>189</v>
      </c>
    </row>
    <row r="66" spans="2:10" hidden="1" x14ac:dyDescent="0.2">
      <c r="B66" s="315">
        <v>9</v>
      </c>
      <c r="C66" s="324"/>
      <c r="D66" s="324"/>
      <c r="E66" s="324"/>
      <c r="F66" s="329">
        <f t="shared" si="24"/>
        <v>2013</v>
      </c>
      <c r="G66" s="334"/>
      <c r="H66" s="327">
        <f>SUM('6. WS Regression Analysis'!J116:J127)</f>
        <v>198259056.0149</v>
      </c>
      <c r="I66" s="341">
        <f>SUM('6. WS Regression Analysis'!R116:R117)</f>
        <v>39985176.178234398</v>
      </c>
      <c r="J66" s="313" t="s">
        <v>178</v>
      </c>
    </row>
    <row r="67" spans="2:10" ht="13.5" hidden="1" thickBot="1" x14ac:dyDescent="0.25">
      <c r="B67" s="316">
        <v>10</v>
      </c>
      <c r="C67" s="325"/>
      <c r="D67" s="325"/>
      <c r="E67" s="325"/>
      <c r="F67" s="329">
        <f t="shared" si="24"/>
        <v>2014</v>
      </c>
      <c r="G67" s="335"/>
      <c r="H67" s="328">
        <f>SUM('6. WS Regression Analysis'!J128:J139)</f>
        <v>191637148.35999998</v>
      </c>
      <c r="I67" s="340">
        <f>SUM('6. WS Regression Analysis'!R128:R139)</f>
        <v>200120990.86278558</v>
      </c>
      <c r="J67" s="313" t="s">
        <v>179</v>
      </c>
    </row>
    <row r="68" spans="2:10" hidden="1" x14ac:dyDescent="0.2"/>
  </sheetData>
  <mergeCells count="26">
    <mergeCell ref="AG41:AO41"/>
    <mergeCell ref="B47:J47"/>
    <mergeCell ref="M47:U47"/>
    <mergeCell ref="W47:AE47"/>
    <mergeCell ref="AG47:AO47"/>
    <mergeCell ref="B18:J18"/>
    <mergeCell ref="M18:U18"/>
    <mergeCell ref="W18:AE18"/>
    <mergeCell ref="AG18:AO18"/>
    <mergeCell ref="B57:E57"/>
    <mergeCell ref="H49:H50"/>
    <mergeCell ref="S49:S50"/>
    <mergeCell ref="AC49:AC50"/>
    <mergeCell ref="AM49:AM50"/>
    <mergeCell ref="B36:J36"/>
    <mergeCell ref="B41:J41"/>
    <mergeCell ref="M36:U36"/>
    <mergeCell ref="M41:U41"/>
    <mergeCell ref="W36:AE36"/>
    <mergeCell ref="W41:AE41"/>
    <mergeCell ref="AG36:AO36"/>
    <mergeCell ref="AQ18:AY18"/>
    <mergeCell ref="AQ36:AY36"/>
    <mergeCell ref="AQ41:AY41"/>
    <mergeCell ref="AQ47:AY47"/>
    <mergeCell ref="AW49:AW50"/>
  </mergeCells>
  <dataValidations count="2">
    <dataValidation type="list" allowBlank="1" showInputMessage="1" showErrorMessage="1" sqref="E34 Z34 P34 AJ34 AT34">
      <formula1>$B$58:$B$67</formula1>
    </dataValidation>
    <dataValidation type="list" allowBlank="1" showInputMessage="1" showErrorMessage="1" sqref="H49 AW49 S49 AC49 AM49">
      <formula1>$J$66:$J$67</formula1>
    </dataValidation>
  </dataValidations>
  <pageMargins left="0.7" right="0.7" top="0.75" bottom="0.75" header="0.3" footer="0.3"/>
  <pageSetup orientation="portrait" horizontalDpi="4294967293"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'2. Customer Classes'!$B$14:$B$21</xm:f>
          </x14:formula1>
          <xm:sqref>B18:J18 M18:U18 W18:AE18 AG18:AO18 AQ18:AY18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7</vt:i4>
      </vt:variant>
    </vt:vector>
  </HeadingPairs>
  <TitlesOfParts>
    <vt:vector size="24" baseType="lpstr">
      <vt:lpstr>1. LDC Info</vt:lpstr>
      <vt:lpstr>2. Customer Classes</vt:lpstr>
      <vt:lpstr>3. Consumption by Rate Class</vt:lpstr>
      <vt:lpstr>4. Customer Growth</vt:lpstr>
      <vt:lpstr>5.Variables</vt:lpstr>
      <vt:lpstr>6. WS Regression Analysis</vt:lpstr>
      <vt:lpstr>6.1 Regression Scenarios</vt:lpstr>
      <vt:lpstr>7. Weather Senstive Class</vt:lpstr>
      <vt:lpstr>8. KW and Non-Weather Sensitive</vt:lpstr>
      <vt:lpstr>9. Weather Adj LF</vt:lpstr>
      <vt:lpstr>10. CDM Adjustment</vt:lpstr>
      <vt:lpstr>10. CDM Adjustment V2</vt:lpstr>
      <vt:lpstr>10.1 CDM Allocation</vt:lpstr>
      <vt:lpstr>11. Final Load Forecast</vt:lpstr>
      <vt:lpstr>12. Analysis_ Avg Per Cust</vt:lpstr>
      <vt:lpstr>14. Winter Flag</vt:lpstr>
      <vt:lpstr>13. Analysis_Weather adj LF</vt:lpstr>
      <vt:lpstr>AllVariables</vt:lpstr>
      <vt:lpstr>'5.Variables'!Print_Area</vt:lpstr>
      <vt:lpstr>Variable1</vt:lpstr>
      <vt:lpstr>Variable2</vt:lpstr>
      <vt:lpstr>Variable3</vt:lpstr>
      <vt:lpstr>Variable5</vt:lpstr>
      <vt:lpstr>Variable6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2008-02-27T14:40:29Z</dcterms:created>
  <dcterms:modified xsi:type="dcterms:W3CDTF">2016-01-27T20:03:30Z</dcterms:modified>
</cp:coreProperties>
</file>